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honyai.bernadett\Desktop\Közgyűlések\Április 29. közgy - pm\Költségvetés módosítása\Új mappa\"/>
    </mc:Choice>
  </mc:AlternateContent>
  <bookViews>
    <workbookView xWindow="-120" yWindow="-120" windowWidth="20730" windowHeight="11760" tabRatio="934" firstSheet="5" activeTab="21"/>
  </bookViews>
  <sheets>
    <sheet name="1.Onbe" sheetId="113" r:id="rId1"/>
    <sheet name="1.A Norm" sheetId="174" r:id="rId2"/>
    <sheet name="2.Onki" sheetId="115" r:id="rId3"/>
    <sheet name="3.Inbe " sheetId="152" r:id="rId4"/>
    <sheet name="3.A Inbe" sheetId="153" r:id="rId5"/>
    <sheet name="4.Inki" sheetId="157" r:id="rId6"/>
    <sheet name="5.Infelhki" sheetId="156" r:id="rId7"/>
    <sheet name="6.Önk.műk." sheetId="105" r:id="rId8"/>
    <sheet name="6.A Alapítv" sheetId="106" r:id="rId9"/>
    <sheet name="7.Beruh." sheetId="134" r:id="rId10"/>
    <sheet name="8.Felúj." sheetId="147" r:id="rId11"/>
    <sheet name="9.Projekt" sheetId="144" r:id="rId12"/>
    <sheet name="10.MVP és hazai" sheetId="148" r:id="rId13"/>
    <sheet name="11.EKF" sheetId="149" r:id="rId14"/>
    <sheet name="12.Mérleg" sheetId="109" r:id="rId15"/>
    <sheet name="13.Létszám" sheetId="150" r:id="rId16"/>
    <sheet name="14. Többéves" sheetId="172" r:id="rId17"/>
    <sheet name="15.Hitel állomány" sheetId="49" r:id="rId18"/>
    <sheet name="15.A Beruh.hitel" sheetId="159" r:id="rId19"/>
    <sheet name="15.B Beruh.hitel" sheetId="126" r:id="rId20"/>
    <sheet name="16.EU" sheetId="173" r:id="rId21"/>
    <sheet name="17.Közv.tám." sheetId="151" r:id="rId22"/>
  </sheets>
  <externalReferences>
    <externalReference r:id="rId23"/>
  </externalReferences>
  <definedNames>
    <definedName name="_4._sz._sor_részletezése" localSheetId="1">#REF!</definedName>
    <definedName name="_4._sz._sor_részletezése" localSheetId="0">#REF!</definedName>
    <definedName name="_4._sz._sor_részletezése" localSheetId="12">#REF!</definedName>
    <definedName name="_4._sz._sor_részletezése" localSheetId="13">#REF!</definedName>
    <definedName name="_4._sz._sor_részletezése" localSheetId="20">#REF!</definedName>
    <definedName name="_4._sz._sor_részletezése" localSheetId="21">#REF!</definedName>
    <definedName name="_4._sz._sor_részletezése" localSheetId="6">#REF!</definedName>
    <definedName name="_4._sz._sor_részletezése" localSheetId="8">#REF!</definedName>
    <definedName name="_4._sz._sor_részletezése" localSheetId="9">#REF!</definedName>
    <definedName name="_4._sz._sor_részletezése" localSheetId="10">#REF!</definedName>
    <definedName name="_4._sz._sor_részletezése" localSheetId="11">#REF!</definedName>
    <definedName name="_4._sz._sor_részletezése">#REF!</definedName>
    <definedName name="_xlnm.Print_Titles" localSheetId="0">'1.Onbe'!$5:$7</definedName>
    <definedName name="_xlnm.Print_Titles" localSheetId="12">'10.MVP és hazai'!$5:$9</definedName>
    <definedName name="_xlnm.Print_Titles" localSheetId="13">'11.EKF'!$5:$9</definedName>
    <definedName name="_xlnm.Print_Titles" localSheetId="15">'13.Létszám'!$6:$6</definedName>
    <definedName name="_xlnm.Print_Titles" localSheetId="16">'14. Többéves'!$5:$8</definedName>
    <definedName name="_xlnm.Print_Titles" localSheetId="20">'16.EU'!$6:$10</definedName>
    <definedName name="_xlnm.Print_Titles" localSheetId="2">'2.Onki'!$5:$7</definedName>
    <definedName name="_xlnm.Print_Titles" localSheetId="4">'3.A Inbe'!$5:$8</definedName>
    <definedName name="_xlnm.Print_Titles" localSheetId="3">'3.Inbe '!$5:$8</definedName>
    <definedName name="_xlnm.Print_Titles" localSheetId="5">'4.Inki'!$5:$8</definedName>
    <definedName name="_xlnm.Print_Titles" localSheetId="6">'5.Infelhki'!$5:$8</definedName>
    <definedName name="_xlnm.Print_Titles" localSheetId="8">'6.A Alapítv'!$6:$9</definedName>
    <definedName name="_xlnm.Print_Titles" localSheetId="7">'6.Önk.műk.'!$5:$8</definedName>
    <definedName name="_xlnm.Print_Titles" localSheetId="9">'7.Beruh.'!$5:$9</definedName>
    <definedName name="_xlnm.Print_Titles" localSheetId="10">'8.Felúj.'!$4:$8</definedName>
    <definedName name="_xlnm.Print_Titles" localSheetId="11">'9.Projekt'!$5:$9</definedName>
    <definedName name="_xlnm.Print_Area" localSheetId="1">'1.A Norm'!$A$1:$E$43</definedName>
    <definedName name="_xlnm.Print_Area" localSheetId="0">'1.Onbe'!$A$1:$L$63</definedName>
    <definedName name="_xlnm.Print_Area" localSheetId="12">'10.MVP és hazai'!$A$1:$P$90</definedName>
    <definedName name="_xlnm.Print_Area" localSheetId="13">'11.EKF'!$A$1:$Q$129</definedName>
    <definedName name="_xlnm.Print_Area" localSheetId="14">'12.Mérleg'!$A$1:$I$39</definedName>
    <definedName name="_xlnm.Print_Area" localSheetId="15">'13.Létszám'!$A$1:$G$33</definedName>
    <definedName name="_xlnm.Print_Area" localSheetId="16">'14. Többéves'!$A$1:$F$79</definedName>
    <definedName name="_xlnm.Print_Area" localSheetId="18">'15.A Beruh.hitel'!$A$1:$E$34</definedName>
    <definedName name="_xlnm.Print_Area" localSheetId="19">'15.B Beruh.hitel'!$A$1:$E$21</definedName>
    <definedName name="_xlnm.Print_Area" localSheetId="17">'15.Hitel állomány'!$A$1:$T$16</definedName>
    <definedName name="_xlnm.Print_Area" localSheetId="2">'2.Onki'!$A$1:$L$41</definedName>
    <definedName name="_xlnm.Print_Area" localSheetId="4">'3.A Inbe'!$A$1:$H$30</definedName>
    <definedName name="_xlnm.Print_Area" localSheetId="3">'3.Inbe '!$A$1:$O$147</definedName>
    <definedName name="_xlnm.Print_Area" localSheetId="5">'4.Inki'!$A$1:$R$258</definedName>
    <definedName name="_xlnm.Print_Area" localSheetId="6">'5.Infelhki'!$A$1:$K$157</definedName>
    <definedName name="_xlnm.Print_Area" localSheetId="8">'6.A Alapítv'!$A$1:$C$87</definedName>
    <definedName name="_xlnm.Print_Area" localSheetId="7">'6.Önk.műk.'!$A$1:$N$602</definedName>
    <definedName name="_xlnm.Print_Area" localSheetId="9">'7.Beruh.'!$A$1:$M$183</definedName>
    <definedName name="_xlnm.Print_Area" localSheetId="10">'8.Felúj.'!$A$1:$L$15</definedName>
    <definedName name="_xlnm.Print_Area" localSheetId="11">'9.Projekt'!$A$1:$P$121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39" i="173" l="1"/>
  <c r="S39" i="173"/>
  <c r="R39" i="173"/>
  <c r="Q39" i="173"/>
  <c r="O39" i="173"/>
  <c r="K39" i="173"/>
  <c r="J39" i="173"/>
  <c r="I39" i="173"/>
  <c r="H39" i="173"/>
  <c r="X38" i="173"/>
  <c r="P38" i="173"/>
  <c r="G38" i="173" s="1"/>
  <c r="X36" i="173"/>
  <c r="P36" i="173"/>
  <c r="G36" i="173"/>
  <c r="X34" i="173"/>
  <c r="P34" i="173"/>
  <c r="G34" i="173" s="1"/>
  <c r="X32" i="173"/>
  <c r="P32" i="173"/>
  <c r="G32" i="173"/>
  <c r="V31" i="173"/>
  <c r="X31" i="173" s="1"/>
  <c r="G31" i="173" s="1"/>
  <c r="P31" i="173"/>
  <c r="V30" i="173"/>
  <c r="U30" i="173"/>
  <c r="X30" i="173" s="1"/>
  <c r="G30" i="173" s="1"/>
  <c r="P30" i="173"/>
  <c r="X29" i="173"/>
  <c r="G29" i="173" s="1"/>
  <c r="U29" i="173"/>
  <c r="P29" i="173"/>
  <c r="V28" i="173"/>
  <c r="U28" i="173"/>
  <c r="X28" i="173" s="1"/>
  <c r="T28" i="173"/>
  <c r="N28" i="173"/>
  <c r="M28" i="173"/>
  <c r="M39" i="173" s="1"/>
  <c r="L28" i="173"/>
  <c r="L39" i="173" s="1"/>
  <c r="V27" i="173"/>
  <c r="X27" i="173" s="1"/>
  <c r="G27" i="173" s="1"/>
  <c r="P27" i="173"/>
  <c r="X26" i="173"/>
  <c r="P26" i="173"/>
  <c r="G26" i="173" s="1"/>
  <c r="X25" i="173"/>
  <c r="P25" i="173"/>
  <c r="G25" i="173"/>
  <c r="V24" i="173"/>
  <c r="X24" i="173" s="1"/>
  <c r="G24" i="173" s="1"/>
  <c r="P24" i="173"/>
  <c r="V23" i="173"/>
  <c r="X23" i="173" s="1"/>
  <c r="G23" i="173" s="1"/>
  <c r="P23" i="173"/>
  <c r="T22" i="173"/>
  <c r="X22" i="173" s="1"/>
  <c r="G22" i="173" s="1"/>
  <c r="P22" i="173"/>
  <c r="V21" i="173"/>
  <c r="U21" i="173"/>
  <c r="X21" i="173" s="1"/>
  <c r="G21" i="173" s="1"/>
  <c r="P21" i="173"/>
  <c r="V20" i="173"/>
  <c r="U20" i="173"/>
  <c r="X20" i="173" s="1"/>
  <c r="G20" i="173" s="1"/>
  <c r="P20" i="173"/>
  <c r="V19" i="173"/>
  <c r="U19" i="173"/>
  <c r="X19" i="173" s="1"/>
  <c r="G19" i="173" s="1"/>
  <c r="P19" i="173"/>
  <c r="M19" i="173"/>
  <c r="V18" i="173"/>
  <c r="U18" i="173"/>
  <c r="X18" i="173" s="1"/>
  <c r="G18" i="173" s="1"/>
  <c r="P18" i="173"/>
  <c r="V17" i="173"/>
  <c r="U17" i="173"/>
  <c r="X17" i="173" s="1"/>
  <c r="G17" i="173" s="1"/>
  <c r="S17" i="173"/>
  <c r="P17" i="173"/>
  <c r="X16" i="173"/>
  <c r="V16" i="173"/>
  <c r="P16" i="173"/>
  <c r="N16" i="173"/>
  <c r="N39" i="173" s="1"/>
  <c r="G16" i="173"/>
  <c r="X15" i="173"/>
  <c r="P15" i="173"/>
  <c r="G15" i="173" s="1"/>
  <c r="V14" i="173"/>
  <c r="U14" i="173"/>
  <c r="X14" i="173" s="1"/>
  <c r="G14" i="173" s="1"/>
  <c r="P14" i="173"/>
  <c r="V13" i="173"/>
  <c r="V39" i="173" s="1"/>
  <c r="P13" i="173"/>
  <c r="U12" i="173"/>
  <c r="U39" i="173" s="1"/>
  <c r="T12" i="173"/>
  <c r="T39" i="173" s="1"/>
  <c r="P12" i="173"/>
  <c r="E33" i="150"/>
  <c r="D33" i="150"/>
  <c r="D31" i="150"/>
  <c r="F30" i="150"/>
  <c r="F29" i="150"/>
  <c r="F28" i="150"/>
  <c r="F27" i="150"/>
  <c r="E26" i="150"/>
  <c r="E31" i="150" s="1"/>
  <c r="D26" i="150"/>
  <c r="F25" i="150"/>
  <c r="F24" i="150"/>
  <c r="F23" i="150"/>
  <c r="F22" i="150"/>
  <c r="F21" i="150"/>
  <c r="F20" i="150"/>
  <c r="F19" i="150"/>
  <c r="F18" i="150"/>
  <c r="F17" i="150"/>
  <c r="F16" i="150"/>
  <c r="F15" i="150"/>
  <c r="F14" i="150"/>
  <c r="F13" i="150"/>
  <c r="F33" i="150" s="1"/>
  <c r="F12" i="150"/>
  <c r="F11" i="150"/>
  <c r="F10" i="150"/>
  <c r="F9" i="150"/>
  <c r="F8" i="150"/>
  <c r="F7" i="150"/>
  <c r="F26" i="150" s="1"/>
  <c r="F31" i="150" s="1"/>
  <c r="O120" i="149"/>
  <c r="O121" i="149" s="1"/>
  <c r="N120" i="149"/>
  <c r="N121" i="149" s="1"/>
  <c r="M120" i="149"/>
  <c r="M121" i="149" s="1"/>
  <c r="L120" i="149"/>
  <c r="L121" i="149" s="1"/>
  <c r="K120" i="149"/>
  <c r="K121" i="149" s="1"/>
  <c r="J120" i="149"/>
  <c r="J121" i="149" s="1"/>
  <c r="I120" i="149"/>
  <c r="P120" i="149" s="1"/>
  <c r="G119" i="149"/>
  <c r="F119" i="149"/>
  <c r="P118" i="149"/>
  <c r="E116" i="149" s="1"/>
  <c r="M118" i="149"/>
  <c r="P117" i="149"/>
  <c r="P115" i="149"/>
  <c r="E113" i="149" s="1"/>
  <c r="M115" i="149"/>
  <c r="P114" i="149"/>
  <c r="P112" i="149"/>
  <c r="E110" i="149" s="1"/>
  <c r="M112" i="149"/>
  <c r="P111" i="149"/>
  <c r="P109" i="149"/>
  <c r="E107" i="149" s="1"/>
  <c r="M109" i="149"/>
  <c r="P108" i="149"/>
  <c r="P105" i="149"/>
  <c r="K105" i="149"/>
  <c r="K106" i="149" s="1"/>
  <c r="P106" i="149" s="1"/>
  <c r="E104" i="149" s="1"/>
  <c r="E119" i="149" s="1"/>
  <c r="O101" i="149"/>
  <c r="N101" i="149"/>
  <c r="M101" i="149"/>
  <c r="L101" i="149"/>
  <c r="K101" i="149"/>
  <c r="J101" i="149"/>
  <c r="I101" i="149"/>
  <c r="O100" i="149"/>
  <c r="N100" i="149"/>
  <c r="M100" i="149"/>
  <c r="M123" i="149" s="1"/>
  <c r="L100" i="149"/>
  <c r="K100" i="149"/>
  <c r="K102" i="149" s="1"/>
  <c r="J100" i="149"/>
  <c r="I100" i="149"/>
  <c r="I123" i="149" s="1"/>
  <c r="G99" i="149"/>
  <c r="F99" i="149"/>
  <c r="M98" i="149"/>
  <c r="K98" i="149"/>
  <c r="P97" i="149"/>
  <c r="P96" i="149"/>
  <c r="P100" i="149" s="1"/>
  <c r="O93" i="149"/>
  <c r="N93" i="149"/>
  <c r="M93" i="149"/>
  <c r="L93" i="149"/>
  <c r="K93" i="149"/>
  <c r="J93" i="149"/>
  <c r="I93" i="149"/>
  <c r="P92" i="149"/>
  <c r="O92" i="149"/>
  <c r="O94" i="149" s="1"/>
  <c r="N92" i="149"/>
  <c r="N94" i="149" s="1"/>
  <c r="M92" i="149"/>
  <c r="M94" i="149" s="1"/>
  <c r="L92" i="149"/>
  <c r="L94" i="149" s="1"/>
  <c r="K92" i="149"/>
  <c r="K94" i="149" s="1"/>
  <c r="J92" i="149"/>
  <c r="J94" i="149" s="1"/>
  <c r="I92" i="149"/>
  <c r="I94" i="149" s="1"/>
  <c r="G91" i="149"/>
  <c r="F91" i="149"/>
  <c r="M90" i="149"/>
  <c r="P90" i="149" s="1"/>
  <c r="P89" i="149"/>
  <c r="E88" i="149"/>
  <c r="M87" i="149"/>
  <c r="P87" i="149" s="1"/>
  <c r="P86" i="149"/>
  <c r="E85" i="149"/>
  <c r="M84" i="149"/>
  <c r="P84" i="149" s="1"/>
  <c r="E82" i="149" s="1"/>
  <c r="P83" i="149"/>
  <c r="P82" i="149"/>
  <c r="P80" i="149"/>
  <c r="M80" i="149"/>
  <c r="P79" i="149"/>
  <c r="P93" i="149" s="1"/>
  <c r="P78" i="149"/>
  <c r="E78" i="149"/>
  <c r="E91" i="149" s="1"/>
  <c r="M75" i="149"/>
  <c r="O74" i="149"/>
  <c r="N74" i="149"/>
  <c r="M74" i="149"/>
  <c r="K74" i="149"/>
  <c r="J74" i="149"/>
  <c r="I74" i="149"/>
  <c r="O73" i="149"/>
  <c r="O75" i="149" s="1"/>
  <c r="N73" i="149"/>
  <c r="N75" i="149" s="1"/>
  <c r="M73" i="149"/>
  <c r="L73" i="149"/>
  <c r="K73" i="149"/>
  <c r="K75" i="149" s="1"/>
  <c r="J73" i="149"/>
  <c r="J75" i="149" s="1"/>
  <c r="I73" i="149"/>
  <c r="G72" i="149"/>
  <c r="F72" i="149"/>
  <c r="K71" i="149"/>
  <c r="J71" i="149"/>
  <c r="I71" i="149"/>
  <c r="L70" i="149"/>
  <c r="K70" i="149"/>
  <c r="P69" i="149"/>
  <c r="P73" i="149" s="1"/>
  <c r="K69" i="149"/>
  <c r="O65" i="149"/>
  <c r="N65" i="149"/>
  <c r="M65" i="149"/>
  <c r="L65" i="149"/>
  <c r="K65" i="149"/>
  <c r="J65" i="149"/>
  <c r="I65" i="149"/>
  <c r="P65" i="149" s="1"/>
  <c r="O64" i="149"/>
  <c r="O66" i="149" s="1"/>
  <c r="N64" i="149"/>
  <c r="N66" i="149" s="1"/>
  <c r="M64" i="149"/>
  <c r="M66" i="149" s="1"/>
  <c r="L64" i="149"/>
  <c r="L66" i="149" s="1"/>
  <c r="K64" i="149"/>
  <c r="K66" i="149" s="1"/>
  <c r="J64" i="149"/>
  <c r="J66" i="149" s="1"/>
  <c r="I64" i="149"/>
  <c r="I66" i="149" s="1"/>
  <c r="P66" i="149" s="1"/>
  <c r="G63" i="149"/>
  <c r="F63" i="149"/>
  <c r="P62" i="149"/>
  <c r="M62" i="149"/>
  <c r="P61" i="149"/>
  <c r="P60" i="149"/>
  <c r="E60" i="149"/>
  <c r="M58" i="149"/>
  <c r="P58" i="149" s="1"/>
  <c r="E56" i="149" s="1"/>
  <c r="P57" i="149"/>
  <c r="P56" i="149"/>
  <c r="N53" i="149"/>
  <c r="J53" i="149"/>
  <c r="O52" i="149"/>
  <c r="N52" i="149"/>
  <c r="M52" i="149"/>
  <c r="L52" i="149"/>
  <c r="K52" i="149"/>
  <c r="J52" i="149"/>
  <c r="P52" i="149" s="1"/>
  <c r="I52" i="149"/>
  <c r="O51" i="149"/>
  <c r="O53" i="149" s="1"/>
  <c r="N51" i="149"/>
  <c r="M51" i="149"/>
  <c r="M53" i="149" s="1"/>
  <c r="L51" i="149"/>
  <c r="L53" i="149" s="1"/>
  <c r="K51" i="149"/>
  <c r="K53" i="149" s="1"/>
  <c r="J51" i="149"/>
  <c r="I51" i="149"/>
  <c r="I53" i="149" s="1"/>
  <c r="F50" i="149"/>
  <c r="N49" i="149"/>
  <c r="P49" i="149" s="1"/>
  <c r="E47" i="149" s="1"/>
  <c r="P48" i="149"/>
  <c r="P47" i="149"/>
  <c r="P51" i="149" s="1"/>
  <c r="K45" i="149"/>
  <c r="J45" i="149"/>
  <c r="P45" i="149" s="1"/>
  <c r="I45" i="149"/>
  <c r="P44" i="149"/>
  <c r="P43" i="149"/>
  <c r="G43" i="149"/>
  <c r="O39" i="149"/>
  <c r="N39" i="149"/>
  <c r="M39" i="149"/>
  <c r="L39" i="149"/>
  <c r="K39" i="149"/>
  <c r="J39" i="149"/>
  <c r="P39" i="149" s="1"/>
  <c r="I39" i="149"/>
  <c r="P38" i="149"/>
  <c r="P40" i="149" s="1"/>
  <c r="O38" i="149"/>
  <c r="O40" i="149" s="1"/>
  <c r="N38" i="149"/>
  <c r="N40" i="149" s="1"/>
  <c r="M38" i="149"/>
  <c r="M40" i="149" s="1"/>
  <c r="L38" i="149"/>
  <c r="L40" i="149" s="1"/>
  <c r="K38" i="149"/>
  <c r="K40" i="149" s="1"/>
  <c r="J38" i="149"/>
  <c r="J40" i="149" s="1"/>
  <c r="I38" i="149"/>
  <c r="I40" i="149" s="1"/>
  <c r="F37" i="149"/>
  <c r="M36" i="149"/>
  <c r="P36" i="149" s="1"/>
  <c r="E34" i="149" s="1"/>
  <c r="P35" i="149"/>
  <c r="P34" i="149"/>
  <c r="P32" i="149"/>
  <c r="M32" i="149"/>
  <c r="P31" i="149"/>
  <c r="P30" i="149"/>
  <c r="E30" i="149"/>
  <c r="M28" i="149"/>
  <c r="P28" i="149" s="1"/>
  <c r="E26" i="149" s="1"/>
  <c r="P27" i="149"/>
  <c r="P26" i="149"/>
  <c r="P24" i="149"/>
  <c r="M24" i="149"/>
  <c r="P23" i="149"/>
  <c r="P22" i="149"/>
  <c r="E22" i="149"/>
  <c r="M20" i="149"/>
  <c r="P20" i="149" s="1"/>
  <c r="E18" i="149" s="1"/>
  <c r="P19" i="149"/>
  <c r="P18" i="149"/>
  <c r="K15" i="149"/>
  <c r="J15" i="149"/>
  <c r="P15" i="149" s="1"/>
  <c r="I15" i="149"/>
  <c r="P14" i="149"/>
  <c r="P13" i="149"/>
  <c r="G13" i="149"/>
  <c r="N83" i="148"/>
  <c r="L83" i="148"/>
  <c r="K83" i="148"/>
  <c r="J83" i="148"/>
  <c r="I83" i="148"/>
  <c r="N82" i="148"/>
  <c r="N84" i="148" s="1"/>
  <c r="M82" i="148"/>
  <c r="L82" i="148"/>
  <c r="L84" i="148" s="1"/>
  <c r="J82" i="148"/>
  <c r="J84" i="148" s="1"/>
  <c r="I82" i="148"/>
  <c r="I84" i="148" s="1"/>
  <c r="P81" i="148"/>
  <c r="M80" i="148"/>
  <c r="O80" i="148" s="1"/>
  <c r="E78" i="148" s="1"/>
  <c r="O79" i="148"/>
  <c r="M76" i="148"/>
  <c r="O76" i="148" s="1"/>
  <c r="L74" i="148"/>
  <c r="K74" i="148"/>
  <c r="O74" i="148" s="1"/>
  <c r="E72" i="148" s="1"/>
  <c r="O73" i="148"/>
  <c r="O72" i="148"/>
  <c r="M70" i="148"/>
  <c r="K70" i="148"/>
  <c r="O70" i="148" s="1"/>
  <c r="E68" i="148" s="1"/>
  <c r="O69" i="148"/>
  <c r="O68" i="148"/>
  <c r="O66" i="148"/>
  <c r="K66" i="148"/>
  <c r="O65" i="148"/>
  <c r="O64" i="148"/>
  <c r="E64" i="148"/>
  <c r="M62" i="148"/>
  <c r="O62" i="148" s="1"/>
  <c r="E60" i="148" s="1"/>
  <c r="O61" i="148"/>
  <c r="O60" i="148"/>
  <c r="O58" i="148"/>
  <c r="M58" i="148"/>
  <c r="O57" i="148"/>
  <c r="O56" i="148"/>
  <c r="E56" i="148"/>
  <c r="M54" i="148"/>
  <c r="O54" i="148" s="1"/>
  <c r="E52" i="148" s="1"/>
  <c r="O53" i="148"/>
  <c r="O52" i="148"/>
  <c r="O50" i="148"/>
  <c r="M50" i="148"/>
  <c r="O49" i="148"/>
  <c r="O48" i="148"/>
  <c r="E48" i="148"/>
  <c r="K46" i="148"/>
  <c r="O46" i="148" s="1"/>
  <c r="E44" i="148" s="1"/>
  <c r="O45" i="148"/>
  <c r="O44" i="148"/>
  <c r="K44" i="148"/>
  <c r="K82" i="148" s="1"/>
  <c r="K84" i="148" s="1"/>
  <c r="M42" i="148"/>
  <c r="O42" i="148" s="1"/>
  <c r="E40" i="148" s="1"/>
  <c r="O41" i="148"/>
  <c r="O40" i="148"/>
  <c r="M38" i="148"/>
  <c r="K38" i="148"/>
  <c r="O38" i="148" s="1"/>
  <c r="E36" i="148" s="1"/>
  <c r="O37" i="148"/>
  <c r="O36" i="148"/>
  <c r="M34" i="148"/>
  <c r="K34" i="148"/>
  <c r="O34" i="148" s="1"/>
  <c r="E32" i="148" s="1"/>
  <c r="O33" i="148"/>
  <c r="O32" i="148"/>
  <c r="O30" i="148"/>
  <c r="N30" i="148"/>
  <c r="O29" i="148"/>
  <c r="O28" i="148"/>
  <c r="E28" i="148"/>
  <c r="M26" i="148"/>
  <c r="K26" i="148"/>
  <c r="O26" i="148" s="1"/>
  <c r="O25" i="148"/>
  <c r="O24" i="148"/>
  <c r="F24" i="148"/>
  <c r="E24" i="148" s="1"/>
  <c r="M22" i="148"/>
  <c r="K22" i="148"/>
  <c r="O22" i="148" s="1"/>
  <c r="E20" i="148" s="1"/>
  <c r="O21" i="148"/>
  <c r="O20" i="148"/>
  <c r="F20" i="148"/>
  <c r="M18" i="148"/>
  <c r="O18" i="148" s="1"/>
  <c r="E16" i="148" s="1"/>
  <c r="O17" i="148"/>
  <c r="O16" i="148"/>
  <c r="F16" i="148"/>
  <c r="M14" i="148"/>
  <c r="K14" i="148"/>
  <c r="O14" i="148" s="1"/>
  <c r="E12" i="148" s="1"/>
  <c r="O13" i="148"/>
  <c r="O12" i="148"/>
  <c r="N117" i="144"/>
  <c r="L117" i="144"/>
  <c r="J117" i="144"/>
  <c r="N116" i="144"/>
  <c r="M116" i="144"/>
  <c r="L116" i="144"/>
  <c r="K116" i="144"/>
  <c r="J116" i="144"/>
  <c r="I116" i="144"/>
  <c r="O116" i="144" s="1"/>
  <c r="P115" i="144"/>
  <c r="N115" i="144"/>
  <c r="M115" i="144"/>
  <c r="M117" i="144" s="1"/>
  <c r="L115" i="144"/>
  <c r="K115" i="144"/>
  <c r="K117" i="144" s="1"/>
  <c r="J115" i="144"/>
  <c r="I115" i="144"/>
  <c r="I117" i="144" s="1"/>
  <c r="K113" i="144"/>
  <c r="O113" i="144" s="1"/>
  <c r="E111" i="144" s="1"/>
  <c r="O112" i="144"/>
  <c r="K110" i="144"/>
  <c r="O110" i="144" s="1"/>
  <c r="E108" i="144" s="1"/>
  <c r="O109" i="144"/>
  <c r="O108" i="144"/>
  <c r="L106" i="144"/>
  <c r="K106" i="144"/>
  <c r="O106" i="144" s="1"/>
  <c r="E104" i="144" s="1"/>
  <c r="O105" i="144"/>
  <c r="O104" i="144"/>
  <c r="O102" i="144"/>
  <c r="K102" i="144"/>
  <c r="O101" i="144"/>
  <c r="O100" i="144"/>
  <c r="E100" i="144"/>
  <c r="M98" i="144"/>
  <c r="K98" i="144"/>
  <c r="O98" i="144" s="1"/>
  <c r="E96" i="144" s="1"/>
  <c r="O97" i="144"/>
  <c r="O96" i="144"/>
  <c r="K94" i="144"/>
  <c r="O94" i="144" s="1"/>
  <c r="E92" i="144" s="1"/>
  <c r="O93" i="144"/>
  <c r="O92" i="144"/>
  <c r="G92" i="144"/>
  <c r="K90" i="144"/>
  <c r="O90" i="144" s="1"/>
  <c r="E88" i="144" s="1"/>
  <c r="O89" i="144"/>
  <c r="O88" i="144"/>
  <c r="K86" i="144"/>
  <c r="J86" i="144"/>
  <c r="O86" i="144" s="1"/>
  <c r="E84" i="144" s="1"/>
  <c r="I86" i="144"/>
  <c r="O85" i="144"/>
  <c r="O84" i="144"/>
  <c r="L82" i="144"/>
  <c r="O82" i="144" s="1"/>
  <c r="E80" i="144" s="1"/>
  <c r="O81" i="144"/>
  <c r="O80" i="144"/>
  <c r="F80" i="144"/>
  <c r="K78" i="144"/>
  <c r="O78" i="144" s="1"/>
  <c r="E76" i="144" s="1"/>
  <c r="O77" i="144"/>
  <c r="O76" i="144"/>
  <c r="F76" i="144"/>
  <c r="M74" i="144"/>
  <c r="K74" i="144"/>
  <c r="O74" i="144" s="1"/>
  <c r="O73" i="144"/>
  <c r="O72" i="144"/>
  <c r="F72" i="144"/>
  <c r="M70" i="144"/>
  <c r="K70" i="144"/>
  <c r="O70" i="144" s="1"/>
  <c r="E68" i="144" s="1"/>
  <c r="O69" i="144"/>
  <c r="O68" i="144"/>
  <c r="F68" i="144"/>
  <c r="M66" i="144"/>
  <c r="K66" i="144"/>
  <c r="O66" i="144" s="1"/>
  <c r="O65" i="144"/>
  <c r="O64" i="144"/>
  <c r="G64" i="144"/>
  <c r="M62" i="144"/>
  <c r="K62" i="144"/>
  <c r="O62" i="144" s="1"/>
  <c r="E60" i="144" s="1"/>
  <c r="O61" i="144"/>
  <c r="O60" i="144"/>
  <c r="F60" i="144"/>
  <c r="K58" i="144"/>
  <c r="O58" i="144" s="1"/>
  <c r="E56" i="144" s="1"/>
  <c r="O57" i="144"/>
  <c r="O56" i="144"/>
  <c r="F56" i="144"/>
  <c r="M54" i="144"/>
  <c r="K54" i="144"/>
  <c r="O54" i="144" s="1"/>
  <c r="E52" i="144" s="1"/>
  <c r="O53" i="144"/>
  <c r="O52" i="144"/>
  <c r="M50" i="144"/>
  <c r="K50" i="144"/>
  <c r="O50" i="144" s="1"/>
  <c r="O49" i="144"/>
  <c r="O48" i="144"/>
  <c r="F48" i="144"/>
  <c r="M46" i="144"/>
  <c r="K46" i="144"/>
  <c r="O46" i="144" s="1"/>
  <c r="O45" i="144"/>
  <c r="O44" i="144"/>
  <c r="G44" i="144"/>
  <c r="F44" i="144"/>
  <c r="E44" i="144" s="1"/>
  <c r="M42" i="144"/>
  <c r="K42" i="144"/>
  <c r="O42" i="144" s="1"/>
  <c r="E40" i="144" s="1"/>
  <c r="O41" i="144"/>
  <c r="O40" i="144"/>
  <c r="F40" i="144"/>
  <c r="M38" i="144"/>
  <c r="K38" i="144"/>
  <c r="O38" i="144" s="1"/>
  <c r="O37" i="144"/>
  <c r="O36" i="144"/>
  <c r="F36" i="144"/>
  <c r="M34" i="144"/>
  <c r="K34" i="144"/>
  <c r="O34" i="144" s="1"/>
  <c r="E32" i="144" s="1"/>
  <c r="O33" i="144"/>
  <c r="O32" i="144"/>
  <c r="F32" i="144"/>
  <c r="M30" i="144"/>
  <c r="K30" i="144"/>
  <c r="O30" i="144" s="1"/>
  <c r="E28" i="144" s="1"/>
  <c r="O29" i="144"/>
  <c r="O28" i="144"/>
  <c r="M26" i="144"/>
  <c r="K26" i="144"/>
  <c r="O26" i="144" s="1"/>
  <c r="E24" i="144" s="1"/>
  <c r="O25" i="144"/>
  <c r="O24" i="144"/>
  <c r="M22" i="144"/>
  <c r="K22" i="144"/>
  <c r="O22" i="144" s="1"/>
  <c r="E20" i="144" s="1"/>
  <c r="O21" i="144"/>
  <c r="O20" i="144"/>
  <c r="M18" i="144"/>
  <c r="K18" i="144"/>
  <c r="O18" i="144" s="1"/>
  <c r="E16" i="144" s="1"/>
  <c r="O17" i="144"/>
  <c r="O16" i="144"/>
  <c r="L14" i="144"/>
  <c r="O14" i="144" s="1"/>
  <c r="E12" i="144" s="1"/>
  <c r="O13" i="144"/>
  <c r="O12" i="144"/>
  <c r="F12" i="144"/>
  <c r="K179" i="134"/>
  <c r="J179" i="134"/>
  <c r="I179" i="134"/>
  <c r="L179" i="134" s="1"/>
  <c r="K178" i="134"/>
  <c r="K180" i="134" s="1"/>
  <c r="I178" i="134"/>
  <c r="J176" i="134"/>
  <c r="L176" i="134" s="1"/>
  <c r="E173" i="134" s="1"/>
  <c r="L175" i="134"/>
  <c r="L174" i="134"/>
  <c r="L171" i="134"/>
  <c r="J171" i="134"/>
  <c r="L170" i="134"/>
  <c r="J168" i="134"/>
  <c r="L168" i="134" s="1"/>
  <c r="E166" i="134" s="1"/>
  <c r="L167" i="134"/>
  <c r="J165" i="134"/>
  <c r="L165" i="134" s="1"/>
  <c r="E163" i="134" s="1"/>
  <c r="L164" i="134"/>
  <c r="K162" i="134"/>
  <c r="L162" i="134" s="1"/>
  <c r="E159" i="134" s="1"/>
  <c r="L161" i="134"/>
  <c r="L160" i="134"/>
  <c r="L158" i="134"/>
  <c r="J158" i="134"/>
  <c r="L157" i="134"/>
  <c r="L156" i="134"/>
  <c r="E155" i="134"/>
  <c r="J154" i="134"/>
  <c r="L154" i="134" s="1"/>
  <c r="E151" i="134" s="1"/>
  <c r="L153" i="134"/>
  <c r="L152" i="134"/>
  <c r="L150" i="134"/>
  <c r="J150" i="134"/>
  <c r="L149" i="134"/>
  <c r="L148" i="134"/>
  <c r="E147" i="134"/>
  <c r="J146" i="134"/>
  <c r="L146" i="134" s="1"/>
  <c r="E143" i="134" s="1"/>
  <c r="L145" i="134"/>
  <c r="L144" i="134"/>
  <c r="L142" i="134"/>
  <c r="J142" i="134"/>
  <c r="L141" i="134"/>
  <c r="L140" i="134"/>
  <c r="G139" i="134"/>
  <c r="E139" i="134" s="1"/>
  <c r="L138" i="134"/>
  <c r="J138" i="134"/>
  <c r="L137" i="134"/>
  <c r="L136" i="134"/>
  <c r="E135" i="134"/>
  <c r="J134" i="134"/>
  <c r="L134" i="134" s="1"/>
  <c r="E131" i="134" s="1"/>
  <c r="L133" i="134"/>
  <c r="L132" i="134"/>
  <c r="L130" i="134"/>
  <c r="J130" i="134"/>
  <c r="L129" i="134"/>
  <c r="L128" i="134"/>
  <c r="E127" i="134"/>
  <c r="J126" i="134"/>
  <c r="L126" i="134" s="1"/>
  <c r="E123" i="134" s="1"/>
  <c r="L125" i="134"/>
  <c r="L124" i="134"/>
  <c r="L122" i="134"/>
  <c r="J122" i="134"/>
  <c r="L121" i="134"/>
  <c r="L120" i="134"/>
  <c r="E119" i="134"/>
  <c r="J118" i="134"/>
  <c r="L118" i="134" s="1"/>
  <c r="E115" i="134" s="1"/>
  <c r="L117" i="134"/>
  <c r="L116" i="134"/>
  <c r="L114" i="134"/>
  <c r="J114" i="134"/>
  <c r="L113" i="134"/>
  <c r="L112" i="134"/>
  <c r="E111" i="134"/>
  <c r="J110" i="134"/>
  <c r="L110" i="134" s="1"/>
  <c r="E107" i="134" s="1"/>
  <c r="L109" i="134"/>
  <c r="L108" i="134"/>
  <c r="L106" i="134"/>
  <c r="J106" i="134"/>
  <c r="L105" i="134"/>
  <c r="L104" i="134"/>
  <c r="E103" i="134"/>
  <c r="J102" i="134"/>
  <c r="L102" i="134" s="1"/>
  <c r="E99" i="134" s="1"/>
  <c r="L101" i="134"/>
  <c r="L100" i="134"/>
  <c r="I98" i="134"/>
  <c r="L97" i="134"/>
  <c r="L96" i="134"/>
  <c r="J96" i="134"/>
  <c r="J178" i="134" s="1"/>
  <c r="J180" i="134" s="1"/>
  <c r="J94" i="134"/>
  <c r="L94" i="134" s="1"/>
  <c r="E91" i="134" s="1"/>
  <c r="L93" i="134"/>
  <c r="L92" i="134"/>
  <c r="L90" i="134"/>
  <c r="J90" i="134"/>
  <c r="L89" i="134"/>
  <c r="L88" i="134"/>
  <c r="E87" i="134"/>
  <c r="J86" i="134"/>
  <c r="L86" i="134" s="1"/>
  <c r="E83" i="134" s="1"/>
  <c r="L85" i="134"/>
  <c r="L84" i="134"/>
  <c r="L82" i="134"/>
  <c r="J82" i="134"/>
  <c r="L81" i="134"/>
  <c r="L80" i="134"/>
  <c r="E79" i="134"/>
  <c r="J78" i="134"/>
  <c r="L78" i="134" s="1"/>
  <c r="E75" i="134" s="1"/>
  <c r="L77" i="134"/>
  <c r="L76" i="134"/>
  <c r="L74" i="134"/>
  <c r="J74" i="134"/>
  <c r="L73" i="134"/>
  <c r="L72" i="134"/>
  <c r="E71" i="134"/>
  <c r="J70" i="134"/>
  <c r="L70" i="134" s="1"/>
  <c r="E67" i="134" s="1"/>
  <c r="L69" i="134"/>
  <c r="L68" i="134"/>
  <c r="L66" i="134"/>
  <c r="J66" i="134"/>
  <c r="L65" i="134"/>
  <c r="L64" i="134"/>
  <c r="E63" i="134"/>
  <c r="I62" i="134"/>
  <c r="L61" i="134"/>
  <c r="J60" i="134"/>
  <c r="L60" i="134" s="1"/>
  <c r="F59" i="134"/>
  <c r="J58" i="134"/>
  <c r="L58" i="134" s="1"/>
  <c r="E55" i="134" s="1"/>
  <c r="L57" i="134"/>
  <c r="L56" i="134"/>
  <c r="L54" i="134"/>
  <c r="J54" i="134"/>
  <c r="L53" i="134"/>
  <c r="L52" i="134"/>
  <c r="F51" i="134"/>
  <c r="E51" i="134" s="1"/>
  <c r="L50" i="134"/>
  <c r="J50" i="134"/>
  <c r="L49" i="134"/>
  <c r="L48" i="134"/>
  <c r="F47" i="134"/>
  <c r="E47" i="134" s="1"/>
  <c r="L45" i="134"/>
  <c r="J44" i="134"/>
  <c r="J46" i="134" s="1"/>
  <c r="L46" i="134" s="1"/>
  <c r="E43" i="134" s="1"/>
  <c r="L42" i="134"/>
  <c r="J42" i="134"/>
  <c r="L41" i="134"/>
  <c r="L40" i="134"/>
  <c r="F39" i="134"/>
  <c r="E39" i="134" s="1"/>
  <c r="L38" i="134"/>
  <c r="J38" i="134"/>
  <c r="L37" i="134"/>
  <c r="L36" i="134"/>
  <c r="F35" i="134"/>
  <c r="E35" i="134" s="1"/>
  <c r="L34" i="134"/>
  <c r="J34" i="134"/>
  <c r="L33" i="134"/>
  <c r="L32" i="134"/>
  <c r="F31" i="134"/>
  <c r="E31" i="134" s="1"/>
  <c r="L30" i="134"/>
  <c r="J30" i="134"/>
  <c r="L29" i="134"/>
  <c r="L28" i="134"/>
  <c r="F27" i="134"/>
  <c r="E27" i="134" s="1"/>
  <c r="L26" i="134"/>
  <c r="J26" i="134"/>
  <c r="L25" i="134"/>
  <c r="L24" i="134"/>
  <c r="E23" i="134"/>
  <c r="J22" i="134"/>
  <c r="L22" i="134" s="1"/>
  <c r="E19" i="134" s="1"/>
  <c r="L21" i="134"/>
  <c r="L20" i="134"/>
  <c r="L18" i="134"/>
  <c r="J18" i="134"/>
  <c r="L17" i="134"/>
  <c r="L16" i="134"/>
  <c r="F15" i="134"/>
  <c r="E15" i="134" s="1"/>
  <c r="L13" i="134"/>
  <c r="J12" i="134"/>
  <c r="J14" i="134" s="1"/>
  <c r="L14" i="134" s="1"/>
  <c r="E11" i="134" s="1"/>
  <c r="C87" i="106"/>
  <c r="M593" i="105"/>
  <c r="M592" i="105"/>
  <c r="K592" i="105"/>
  <c r="J592" i="105"/>
  <c r="M591" i="105"/>
  <c r="K591" i="105"/>
  <c r="K593" i="105" s="1"/>
  <c r="J591" i="105"/>
  <c r="J593" i="105" s="1"/>
  <c r="L570" i="105"/>
  <c r="I570" i="105"/>
  <c r="I569" i="105"/>
  <c r="L567" i="105"/>
  <c r="I567" i="105" s="1"/>
  <c r="I566" i="105"/>
  <c r="L564" i="105"/>
  <c r="I564" i="105"/>
  <c r="I563" i="105"/>
  <c r="L561" i="105"/>
  <c r="I561" i="105" s="1"/>
  <c r="I560" i="105"/>
  <c r="L558" i="105"/>
  <c r="I558" i="105"/>
  <c r="I557" i="105"/>
  <c r="I556" i="105"/>
  <c r="L554" i="105"/>
  <c r="I554" i="105"/>
  <c r="I553" i="105"/>
  <c r="I552" i="105"/>
  <c r="N550" i="105"/>
  <c r="I550" i="105"/>
  <c r="I549" i="105"/>
  <c r="I548" i="105"/>
  <c r="L546" i="105"/>
  <c r="I546" i="105"/>
  <c r="I545" i="105"/>
  <c r="I544" i="105"/>
  <c r="L542" i="105"/>
  <c r="I542" i="105"/>
  <c r="I541" i="105"/>
  <c r="L539" i="105"/>
  <c r="I539" i="105" s="1"/>
  <c r="I538" i="105"/>
  <c r="I537" i="105"/>
  <c r="N533" i="105"/>
  <c r="I533" i="105" s="1"/>
  <c r="I532" i="105"/>
  <c r="I531" i="105"/>
  <c r="N529" i="105"/>
  <c r="I529" i="105" s="1"/>
  <c r="I528" i="105"/>
  <c r="I527" i="105"/>
  <c r="N525" i="105"/>
  <c r="I525" i="105" s="1"/>
  <c r="I524" i="105"/>
  <c r="I523" i="105"/>
  <c r="N521" i="105"/>
  <c r="I521" i="105" s="1"/>
  <c r="I520" i="105"/>
  <c r="I519" i="105"/>
  <c r="N517" i="105"/>
  <c r="I517" i="105" s="1"/>
  <c r="I516" i="105"/>
  <c r="I515" i="105"/>
  <c r="N512" i="105"/>
  <c r="N511" i="105"/>
  <c r="G510" i="105"/>
  <c r="F510" i="105"/>
  <c r="E510" i="105"/>
  <c r="L508" i="105"/>
  <c r="I508" i="105"/>
  <c r="I507" i="105"/>
  <c r="I506" i="105"/>
  <c r="L504" i="105"/>
  <c r="I504" i="105"/>
  <c r="I503" i="105"/>
  <c r="I502" i="105"/>
  <c r="L500" i="105"/>
  <c r="I500" i="105"/>
  <c r="I499" i="105"/>
  <c r="I498" i="105"/>
  <c r="G497" i="105"/>
  <c r="L496" i="105"/>
  <c r="I496" i="105" s="1"/>
  <c r="I495" i="105"/>
  <c r="I494" i="105"/>
  <c r="L492" i="105"/>
  <c r="I492" i="105" s="1"/>
  <c r="I491" i="105"/>
  <c r="I490" i="105"/>
  <c r="L488" i="105"/>
  <c r="I488" i="105" s="1"/>
  <c r="I487" i="105"/>
  <c r="I486" i="105"/>
  <c r="L484" i="105"/>
  <c r="I484" i="105" s="1"/>
  <c r="I483" i="105"/>
  <c r="I482" i="105"/>
  <c r="L480" i="105"/>
  <c r="I480" i="105" s="1"/>
  <c r="I479" i="105"/>
  <c r="I478" i="105"/>
  <c r="L476" i="105"/>
  <c r="I476" i="105" s="1"/>
  <c r="I475" i="105"/>
  <c r="I474" i="105"/>
  <c r="L472" i="105"/>
  <c r="I472" i="105" s="1"/>
  <c r="I471" i="105"/>
  <c r="I470" i="105"/>
  <c r="L468" i="105"/>
  <c r="I468" i="105" s="1"/>
  <c r="I467" i="105"/>
  <c r="I466" i="105"/>
  <c r="L464" i="105"/>
  <c r="I464" i="105" s="1"/>
  <c r="I463" i="105"/>
  <c r="I462" i="105"/>
  <c r="L460" i="105"/>
  <c r="I460" i="105" s="1"/>
  <c r="I459" i="105"/>
  <c r="I458" i="105"/>
  <c r="L456" i="105"/>
  <c r="I456" i="105" s="1"/>
  <c r="I455" i="105"/>
  <c r="I454" i="105"/>
  <c r="L452" i="105"/>
  <c r="I452" i="105" s="1"/>
  <c r="I451" i="105"/>
  <c r="I450" i="105"/>
  <c r="L448" i="105"/>
  <c r="I448" i="105" s="1"/>
  <c r="I447" i="105"/>
  <c r="I446" i="105"/>
  <c r="L444" i="105"/>
  <c r="I444" i="105" s="1"/>
  <c r="I443" i="105"/>
  <c r="I442" i="105"/>
  <c r="N437" i="105"/>
  <c r="I437" i="105" s="1"/>
  <c r="I436" i="105"/>
  <c r="I435" i="105"/>
  <c r="N433" i="105"/>
  <c r="I433" i="105" s="1"/>
  <c r="I432" i="105"/>
  <c r="I431" i="105"/>
  <c r="N429" i="105"/>
  <c r="I429" i="105" s="1"/>
  <c r="I428" i="105"/>
  <c r="I427" i="105"/>
  <c r="N425" i="105"/>
  <c r="L425" i="105"/>
  <c r="I425" i="105"/>
  <c r="I424" i="105"/>
  <c r="I423" i="105"/>
  <c r="L420" i="105"/>
  <c r="I420" i="105"/>
  <c r="I419" i="105"/>
  <c r="I418" i="105"/>
  <c r="N415" i="105"/>
  <c r="I415" i="105"/>
  <c r="I414" i="105"/>
  <c r="I413" i="105"/>
  <c r="L411" i="105"/>
  <c r="I411" i="105"/>
  <c r="I410" i="105"/>
  <c r="I409" i="105"/>
  <c r="L407" i="105"/>
  <c r="I407" i="105"/>
  <c r="I406" i="105"/>
  <c r="I405" i="105"/>
  <c r="L403" i="105"/>
  <c r="I403" i="105"/>
  <c r="I402" i="105"/>
  <c r="I401" i="105"/>
  <c r="L399" i="105"/>
  <c r="I399" i="105"/>
  <c r="I398" i="105"/>
  <c r="I397" i="105"/>
  <c r="K395" i="105"/>
  <c r="J395" i="105"/>
  <c r="I394" i="105"/>
  <c r="L393" i="105"/>
  <c r="I392" i="105"/>
  <c r="N390" i="105"/>
  <c r="I390" i="105"/>
  <c r="I389" i="105"/>
  <c r="I388" i="105"/>
  <c r="I385" i="105"/>
  <c r="L384" i="105"/>
  <c r="L385" i="105" s="1"/>
  <c r="I384" i="105"/>
  <c r="I383" i="105"/>
  <c r="I382" i="105"/>
  <c r="L380" i="105"/>
  <c r="I380" i="105"/>
  <c r="I379" i="105"/>
  <c r="I378" i="105"/>
  <c r="L375" i="105"/>
  <c r="I375" i="105"/>
  <c r="I374" i="105"/>
  <c r="I373" i="105"/>
  <c r="L371" i="105"/>
  <c r="I371" i="105"/>
  <c r="I370" i="105"/>
  <c r="I369" i="105"/>
  <c r="N365" i="105"/>
  <c r="I365" i="105"/>
  <c r="I364" i="105"/>
  <c r="I363" i="105"/>
  <c r="N361" i="105"/>
  <c r="I361" i="105"/>
  <c r="I360" i="105"/>
  <c r="I359" i="105"/>
  <c r="N357" i="105"/>
  <c r="I357" i="105"/>
  <c r="I356" i="105"/>
  <c r="I355" i="105"/>
  <c r="L353" i="105"/>
  <c r="I353" i="105"/>
  <c r="I352" i="105"/>
  <c r="I351" i="105"/>
  <c r="L348" i="105"/>
  <c r="I348" i="105"/>
  <c r="L347" i="105"/>
  <c r="L591" i="105" s="1"/>
  <c r="I347" i="105"/>
  <c r="L345" i="105"/>
  <c r="I345" i="105" s="1"/>
  <c r="N344" i="105"/>
  <c r="I344" i="105" s="1"/>
  <c r="I343" i="105"/>
  <c r="N342" i="105"/>
  <c r="N345" i="105" s="1"/>
  <c r="I342" i="105"/>
  <c r="L340" i="105"/>
  <c r="I340" i="105"/>
  <c r="I339" i="105"/>
  <c r="I338" i="105"/>
  <c r="L336" i="105"/>
  <c r="K336" i="105"/>
  <c r="J336" i="105"/>
  <c r="I336" i="105"/>
  <c r="I335" i="105"/>
  <c r="I334" i="105"/>
  <c r="L332" i="105"/>
  <c r="I332" i="105"/>
  <c r="I331" i="105"/>
  <c r="I330" i="105"/>
  <c r="L328" i="105"/>
  <c r="I328" i="105"/>
  <c r="I327" i="105"/>
  <c r="I326" i="105"/>
  <c r="L324" i="105"/>
  <c r="I324" i="105"/>
  <c r="I323" i="105"/>
  <c r="I322" i="105"/>
  <c r="L319" i="105"/>
  <c r="I319" i="105"/>
  <c r="I318" i="105"/>
  <c r="I317" i="105"/>
  <c r="N315" i="105"/>
  <c r="I315" i="105"/>
  <c r="I314" i="105"/>
  <c r="I313" i="105"/>
  <c r="L311" i="105"/>
  <c r="I311" i="105"/>
  <c r="I310" i="105"/>
  <c r="I309" i="105"/>
  <c r="L306" i="105"/>
  <c r="I306" i="105"/>
  <c r="I305" i="105"/>
  <c r="I304" i="105"/>
  <c r="L302" i="105"/>
  <c r="I302" i="105"/>
  <c r="I301" i="105"/>
  <c r="I300" i="105"/>
  <c r="N297" i="105"/>
  <c r="I297" i="105"/>
  <c r="I296" i="105"/>
  <c r="I295" i="105"/>
  <c r="N294" i="105"/>
  <c r="N298" i="105" s="1"/>
  <c r="I298" i="105" s="1"/>
  <c r="I294" i="105"/>
  <c r="I293" i="105"/>
  <c r="I292" i="105"/>
  <c r="I291" i="105"/>
  <c r="N289" i="105"/>
  <c r="I289" i="105" s="1"/>
  <c r="I288" i="105"/>
  <c r="I287" i="105"/>
  <c r="N285" i="105"/>
  <c r="I285" i="105" s="1"/>
  <c r="I284" i="105"/>
  <c r="I283" i="105"/>
  <c r="L281" i="105"/>
  <c r="I281" i="105" s="1"/>
  <c r="I280" i="105"/>
  <c r="I279" i="105"/>
  <c r="M277" i="105"/>
  <c r="I277" i="105" s="1"/>
  <c r="I276" i="105"/>
  <c r="I275" i="105"/>
  <c r="K273" i="105"/>
  <c r="J273" i="105"/>
  <c r="I273" i="105"/>
  <c r="I272" i="105"/>
  <c r="I271" i="105"/>
  <c r="K269" i="105"/>
  <c r="J269" i="105"/>
  <c r="I269" i="105" s="1"/>
  <c r="I268" i="105"/>
  <c r="I267" i="105"/>
  <c r="M265" i="105"/>
  <c r="I265" i="105" s="1"/>
  <c r="I264" i="105"/>
  <c r="I263" i="105"/>
  <c r="M261" i="105"/>
  <c r="I261" i="105" s="1"/>
  <c r="I260" i="105"/>
  <c r="I259" i="105"/>
  <c r="M257" i="105"/>
  <c r="I257" i="105" s="1"/>
  <c r="I256" i="105"/>
  <c r="I255" i="105"/>
  <c r="M253" i="105"/>
  <c r="I253" i="105" s="1"/>
  <c r="I252" i="105"/>
  <c r="I251" i="105"/>
  <c r="M249" i="105"/>
  <c r="I249" i="105" s="1"/>
  <c r="I248" i="105"/>
  <c r="I247" i="105"/>
  <c r="M245" i="105"/>
  <c r="I245" i="105" s="1"/>
  <c r="I244" i="105"/>
  <c r="I243" i="105"/>
  <c r="M241" i="105"/>
  <c r="I241" i="105" s="1"/>
  <c r="I240" i="105"/>
  <c r="I239" i="105"/>
  <c r="M237" i="105"/>
  <c r="I237" i="105" s="1"/>
  <c r="I236" i="105"/>
  <c r="I235" i="105"/>
  <c r="M233" i="105"/>
  <c r="I233" i="105" s="1"/>
  <c r="I232" i="105"/>
  <c r="I231" i="105"/>
  <c r="M229" i="105"/>
  <c r="I229" i="105" s="1"/>
  <c r="I228" i="105"/>
  <c r="I227" i="105"/>
  <c r="M225" i="105"/>
  <c r="I225" i="105" s="1"/>
  <c r="I224" i="105"/>
  <c r="I223" i="105"/>
  <c r="N220" i="105"/>
  <c r="M220" i="105"/>
  <c r="L220" i="105"/>
  <c r="L221" i="105" s="1"/>
  <c r="K220" i="105"/>
  <c r="J220" i="105"/>
  <c r="N219" i="105"/>
  <c r="N221" i="105" s="1"/>
  <c r="M219" i="105"/>
  <c r="M221" i="105" s="1"/>
  <c r="L219" i="105"/>
  <c r="K219" i="105"/>
  <c r="K221" i="105" s="1"/>
  <c r="J219" i="105"/>
  <c r="G218" i="105"/>
  <c r="F218" i="105"/>
  <c r="E218" i="105"/>
  <c r="L217" i="105"/>
  <c r="I217" i="105"/>
  <c r="I216" i="105"/>
  <c r="I215" i="105"/>
  <c r="M213" i="105"/>
  <c r="I213" i="105"/>
  <c r="I212" i="105"/>
  <c r="I211" i="105"/>
  <c r="M209" i="105"/>
  <c r="I209" i="105"/>
  <c r="I208" i="105"/>
  <c r="I207" i="105"/>
  <c r="N205" i="105"/>
  <c r="I205" i="105"/>
  <c r="I204" i="105"/>
  <c r="I203" i="105"/>
  <c r="N201" i="105"/>
  <c r="L201" i="105"/>
  <c r="I201" i="105" s="1"/>
  <c r="I200" i="105"/>
  <c r="I199" i="105"/>
  <c r="N196" i="105"/>
  <c r="I196" i="105" s="1"/>
  <c r="I195" i="105"/>
  <c r="I194" i="105"/>
  <c r="N191" i="105"/>
  <c r="N190" i="105"/>
  <c r="M190" i="105"/>
  <c r="M596" i="105" s="1"/>
  <c r="L190" i="105"/>
  <c r="K190" i="105"/>
  <c r="K596" i="105" s="1"/>
  <c r="J190" i="105"/>
  <c r="I190" i="105"/>
  <c r="N189" i="105"/>
  <c r="M189" i="105"/>
  <c r="M191" i="105" s="1"/>
  <c r="L189" i="105"/>
  <c r="K189" i="105"/>
  <c r="K191" i="105" s="1"/>
  <c r="J189" i="105"/>
  <c r="G188" i="105"/>
  <c r="F188" i="105"/>
  <c r="E188" i="105"/>
  <c r="N187" i="105"/>
  <c r="I187" i="105" s="1"/>
  <c r="I186" i="105"/>
  <c r="I185" i="105"/>
  <c r="N181" i="105"/>
  <c r="I181" i="105" s="1"/>
  <c r="I180" i="105"/>
  <c r="I179" i="105"/>
  <c r="N176" i="105"/>
  <c r="M176" i="105"/>
  <c r="L176" i="105"/>
  <c r="K176" i="105"/>
  <c r="J176" i="105"/>
  <c r="I176" i="105" s="1"/>
  <c r="N175" i="105"/>
  <c r="N177" i="105" s="1"/>
  <c r="M175" i="105"/>
  <c r="M177" i="105" s="1"/>
  <c r="L175" i="105"/>
  <c r="L177" i="105" s="1"/>
  <c r="K175" i="105"/>
  <c r="K177" i="105" s="1"/>
  <c r="J175" i="105"/>
  <c r="I175" i="105" s="1"/>
  <c r="G174" i="105"/>
  <c r="F174" i="105"/>
  <c r="E174" i="105"/>
  <c r="L173" i="105"/>
  <c r="I173" i="105"/>
  <c r="I172" i="105"/>
  <c r="I171" i="105"/>
  <c r="I168" i="105"/>
  <c r="L167" i="105"/>
  <c r="L169" i="105" s="1"/>
  <c r="I169" i="105" s="1"/>
  <c r="L165" i="105"/>
  <c r="I165" i="105" s="1"/>
  <c r="I164" i="105"/>
  <c r="I163" i="105"/>
  <c r="L161" i="105"/>
  <c r="I161" i="105" s="1"/>
  <c r="I160" i="105"/>
  <c r="I159" i="105"/>
  <c r="L157" i="105"/>
  <c r="I157" i="105" s="1"/>
  <c r="I156" i="105"/>
  <c r="I155" i="105"/>
  <c r="L153" i="105"/>
  <c r="I153" i="105" s="1"/>
  <c r="I152" i="105"/>
  <c r="I151" i="105"/>
  <c r="L149" i="105"/>
  <c r="I149" i="105" s="1"/>
  <c r="I148" i="105"/>
  <c r="I147" i="105"/>
  <c r="L145" i="105"/>
  <c r="I145" i="105" s="1"/>
  <c r="I144" i="105"/>
  <c r="I143" i="105"/>
  <c r="N141" i="105"/>
  <c r="L141" i="105"/>
  <c r="I141" i="105"/>
  <c r="I140" i="105"/>
  <c r="I139" i="105"/>
  <c r="L137" i="105"/>
  <c r="I137" i="105"/>
  <c r="I136" i="105"/>
  <c r="I135" i="105"/>
  <c r="L133" i="105"/>
  <c r="I133" i="105"/>
  <c r="I132" i="105"/>
  <c r="I131" i="105"/>
  <c r="I129" i="105"/>
  <c r="I127" i="105"/>
  <c r="I125" i="105"/>
  <c r="I123" i="105"/>
  <c r="I121" i="105"/>
  <c r="I119" i="105"/>
  <c r="I117" i="105"/>
  <c r="I115" i="105"/>
  <c r="I113" i="105"/>
  <c r="I111" i="105"/>
  <c r="I109" i="105"/>
  <c r="I107" i="105"/>
  <c r="I105" i="105"/>
  <c r="N99" i="105"/>
  <c r="I99" i="105" s="1"/>
  <c r="I98" i="105"/>
  <c r="I97" i="105"/>
  <c r="N94" i="105"/>
  <c r="M94" i="105"/>
  <c r="L94" i="105"/>
  <c r="K94" i="105"/>
  <c r="J94" i="105"/>
  <c r="I94" i="105" s="1"/>
  <c r="N93" i="105"/>
  <c r="N95" i="105" s="1"/>
  <c r="M93" i="105"/>
  <c r="M95" i="105" s="1"/>
  <c r="L93" i="105"/>
  <c r="L95" i="105" s="1"/>
  <c r="K93" i="105"/>
  <c r="K95" i="105" s="1"/>
  <c r="J93" i="105"/>
  <c r="I93" i="105" s="1"/>
  <c r="G92" i="105"/>
  <c r="F92" i="105"/>
  <c r="E92" i="105"/>
  <c r="N90" i="105"/>
  <c r="I90" i="105"/>
  <c r="I89" i="105"/>
  <c r="I88" i="105"/>
  <c r="N86" i="105"/>
  <c r="I86" i="105" s="1"/>
  <c r="I85" i="105"/>
  <c r="I84" i="105"/>
  <c r="N82" i="105"/>
  <c r="I82" i="105" s="1"/>
  <c r="I81" i="105"/>
  <c r="I80" i="105"/>
  <c r="N78" i="105"/>
  <c r="I78" i="105" s="1"/>
  <c r="I77" i="105"/>
  <c r="I76" i="105"/>
  <c r="G69" i="105"/>
  <c r="F69" i="105"/>
  <c r="E69" i="105"/>
  <c r="I68" i="105"/>
  <c r="I67" i="105"/>
  <c r="L65" i="105"/>
  <c r="I65" i="105" s="1"/>
  <c r="I64" i="105"/>
  <c r="L62" i="105"/>
  <c r="I62" i="105"/>
  <c r="I61" i="105"/>
  <c r="I60" i="105"/>
  <c r="L58" i="105"/>
  <c r="I58" i="105"/>
  <c r="I57" i="105"/>
  <c r="I56" i="105"/>
  <c r="N53" i="105"/>
  <c r="I53" i="105"/>
  <c r="I52" i="105"/>
  <c r="I51" i="105"/>
  <c r="N49" i="105"/>
  <c r="I49" i="105"/>
  <c r="I48" i="105"/>
  <c r="I47" i="105"/>
  <c r="N45" i="105"/>
  <c r="I45" i="105"/>
  <c r="I44" i="105"/>
  <c r="I43" i="105"/>
  <c r="L41" i="105"/>
  <c r="I41" i="105"/>
  <c r="I40" i="105"/>
  <c r="I39" i="105"/>
  <c r="N37" i="105"/>
  <c r="I37" i="105"/>
  <c r="I36" i="105"/>
  <c r="I35" i="105"/>
  <c r="N32" i="105"/>
  <c r="M32" i="105"/>
  <c r="L32" i="105"/>
  <c r="K32" i="105"/>
  <c r="I32" i="105" s="1"/>
  <c r="J32" i="105"/>
  <c r="N31" i="105"/>
  <c r="N33" i="105" s="1"/>
  <c r="M31" i="105"/>
  <c r="M33" i="105" s="1"/>
  <c r="L31" i="105"/>
  <c r="L33" i="105" s="1"/>
  <c r="K31" i="105"/>
  <c r="K33" i="105" s="1"/>
  <c r="J31" i="105"/>
  <c r="J33" i="105" s="1"/>
  <c r="I33" i="105" s="1"/>
  <c r="I31" i="105"/>
  <c r="G30" i="105"/>
  <c r="F30" i="105"/>
  <c r="E30" i="105"/>
  <c r="L28" i="105"/>
  <c r="K28" i="105"/>
  <c r="J28" i="105"/>
  <c r="I28" i="105" s="1"/>
  <c r="I27" i="105"/>
  <c r="I26" i="105"/>
  <c r="L24" i="105"/>
  <c r="I24" i="105" s="1"/>
  <c r="I23" i="105"/>
  <c r="L22" i="105"/>
  <c r="I22" i="105"/>
  <c r="I20" i="105"/>
  <c r="I19" i="105"/>
  <c r="L17" i="105"/>
  <c r="I17" i="105"/>
  <c r="I16" i="105"/>
  <c r="I15" i="105"/>
  <c r="L13" i="105"/>
  <c r="I13" i="105"/>
  <c r="I12" i="105"/>
  <c r="I11" i="105"/>
  <c r="I152" i="156"/>
  <c r="H152" i="156"/>
  <c r="H153" i="156" s="1"/>
  <c r="K151" i="156"/>
  <c r="K149" i="156"/>
  <c r="J148" i="156"/>
  <c r="K148" i="156" s="1"/>
  <c r="K147" i="156"/>
  <c r="K146" i="156"/>
  <c r="K145" i="156"/>
  <c r="K144" i="156"/>
  <c r="K152" i="156" s="1"/>
  <c r="G142" i="156"/>
  <c r="G152" i="156" s="1"/>
  <c r="F142" i="156"/>
  <c r="F152" i="156" s="1"/>
  <c r="F153" i="156" s="1"/>
  <c r="H141" i="156"/>
  <c r="F141" i="156"/>
  <c r="K140" i="156"/>
  <c r="K139" i="156"/>
  <c r="J138" i="156"/>
  <c r="K138" i="156" s="1"/>
  <c r="K137" i="156"/>
  <c r="K136" i="156"/>
  <c r="I135" i="156"/>
  <c r="K135" i="156" s="1"/>
  <c r="K133" i="156"/>
  <c r="K132" i="156"/>
  <c r="K130" i="156"/>
  <c r="K129" i="156"/>
  <c r="K126" i="156"/>
  <c r="K125" i="156"/>
  <c r="K124" i="156"/>
  <c r="K123" i="156"/>
  <c r="K122" i="156"/>
  <c r="K121" i="156"/>
  <c r="K120" i="156"/>
  <c r="K119" i="156"/>
  <c r="K118" i="156"/>
  <c r="G117" i="156"/>
  <c r="K116" i="156"/>
  <c r="K115" i="156"/>
  <c r="K114" i="156"/>
  <c r="K113" i="156"/>
  <c r="K112" i="156"/>
  <c r="K111" i="156"/>
  <c r="K110" i="156"/>
  <c r="K109" i="156"/>
  <c r="K107" i="156"/>
  <c r="K106" i="156"/>
  <c r="K105" i="156"/>
  <c r="K104" i="156"/>
  <c r="K103" i="156"/>
  <c r="K102" i="156"/>
  <c r="K100" i="156"/>
  <c r="K99" i="156"/>
  <c r="K98" i="156"/>
  <c r="K97" i="156"/>
  <c r="K96" i="156"/>
  <c r="K95" i="156"/>
  <c r="I93" i="156"/>
  <c r="K93" i="156" s="1"/>
  <c r="K92" i="156"/>
  <c r="K91" i="156"/>
  <c r="K90" i="156"/>
  <c r="G89" i="156"/>
  <c r="K88" i="156"/>
  <c r="K87" i="156"/>
  <c r="I85" i="156"/>
  <c r="K85" i="156" s="1"/>
  <c r="I84" i="156"/>
  <c r="K84" i="156" s="1"/>
  <c r="K82" i="156"/>
  <c r="K80" i="156"/>
  <c r="K78" i="156"/>
  <c r="K76" i="156"/>
  <c r="I76" i="156"/>
  <c r="K74" i="156"/>
  <c r="K72" i="156"/>
  <c r="K70" i="156"/>
  <c r="K69" i="156"/>
  <c r="G68" i="156"/>
  <c r="G141" i="156" s="1"/>
  <c r="K66" i="156"/>
  <c r="K65" i="156"/>
  <c r="K64" i="156"/>
  <c r="K63" i="156"/>
  <c r="I62" i="156"/>
  <c r="K62" i="156" s="1"/>
  <c r="K61" i="156"/>
  <c r="K60" i="156"/>
  <c r="I60" i="156"/>
  <c r="K59" i="156"/>
  <c r="I58" i="156"/>
  <c r="K58" i="156" s="1"/>
  <c r="K57" i="156"/>
  <c r="K56" i="156"/>
  <c r="I55" i="156"/>
  <c r="K55" i="156" s="1"/>
  <c r="K54" i="156"/>
  <c r="K53" i="156"/>
  <c r="K52" i="156"/>
  <c r="K51" i="156"/>
  <c r="K50" i="156"/>
  <c r="K49" i="156"/>
  <c r="K48" i="156"/>
  <c r="K47" i="156"/>
  <c r="K46" i="156"/>
  <c r="K44" i="156"/>
  <c r="I43" i="156"/>
  <c r="K43" i="156" s="1"/>
  <c r="K41" i="156"/>
  <c r="K40" i="156"/>
  <c r="I40" i="156"/>
  <c r="K37" i="156"/>
  <c r="K36" i="156"/>
  <c r="K35" i="156"/>
  <c r="K34" i="156"/>
  <c r="K32" i="156"/>
  <c r="K31" i="156"/>
  <c r="K30" i="156"/>
  <c r="K28" i="156"/>
  <c r="K27" i="156"/>
  <c r="K26" i="156"/>
  <c r="K25" i="156"/>
  <c r="I25" i="156"/>
  <c r="K24" i="156"/>
  <c r="I24" i="156"/>
  <c r="J23" i="156"/>
  <c r="I23" i="156"/>
  <c r="K23" i="156" s="1"/>
  <c r="I21" i="156"/>
  <c r="K21" i="156" s="1"/>
  <c r="K20" i="156"/>
  <c r="K19" i="156"/>
  <c r="I18" i="156"/>
  <c r="K18" i="156" s="1"/>
  <c r="K16" i="156"/>
  <c r="K15" i="156"/>
  <c r="K14" i="156"/>
  <c r="K13" i="156"/>
  <c r="K12" i="156"/>
  <c r="K11" i="156"/>
  <c r="I10" i="156"/>
  <c r="I141" i="156" s="1"/>
  <c r="R252" i="157"/>
  <c r="N252" i="157"/>
  <c r="O248" i="157"/>
  <c r="K248" i="157"/>
  <c r="R247" i="157"/>
  <c r="Q247" i="157"/>
  <c r="P247" i="157"/>
  <c r="O247" i="157"/>
  <c r="N247" i="157"/>
  <c r="M247" i="157"/>
  <c r="L247" i="157"/>
  <c r="K247" i="157"/>
  <c r="J247" i="157"/>
  <c r="R246" i="157"/>
  <c r="R248" i="157" s="1"/>
  <c r="Q246" i="157"/>
  <c r="Q248" i="157" s="1"/>
  <c r="P246" i="157"/>
  <c r="P248" i="157" s="1"/>
  <c r="O246" i="157"/>
  <c r="N246" i="157"/>
  <c r="N248" i="157" s="1"/>
  <c r="M246" i="157"/>
  <c r="M248" i="157" s="1"/>
  <c r="L246" i="157"/>
  <c r="L248" i="157" s="1"/>
  <c r="K246" i="157"/>
  <c r="J246" i="157" s="1"/>
  <c r="I245" i="157"/>
  <c r="H245" i="157"/>
  <c r="G245" i="157"/>
  <c r="R233" i="157"/>
  <c r="Q233" i="157"/>
  <c r="Q252" i="157" s="1"/>
  <c r="O233" i="157"/>
  <c r="O252" i="157" s="1"/>
  <c r="N233" i="157"/>
  <c r="L233" i="157"/>
  <c r="K233" i="157"/>
  <c r="K252" i="157" s="1"/>
  <c r="R232" i="157"/>
  <c r="R251" i="157" s="1"/>
  <c r="Q232" i="157"/>
  <c r="P232" i="157"/>
  <c r="P251" i="157" s="1"/>
  <c r="O232" i="157"/>
  <c r="N232" i="157"/>
  <c r="N251" i="157" s="1"/>
  <c r="M232" i="157"/>
  <c r="L232" i="157"/>
  <c r="L251" i="157" s="1"/>
  <c r="K232" i="157"/>
  <c r="J232" i="157" s="1"/>
  <c r="O218" i="157"/>
  <c r="M218" i="157"/>
  <c r="L218" i="157"/>
  <c r="K218" i="157"/>
  <c r="J218" i="157" s="1"/>
  <c r="J217" i="157"/>
  <c r="J216" i="157"/>
  <c r="L214" i="157"/>
  <c r="K214" i="157"/>
  <c r="J214" i="157"/>
  <c r="J213" i="157"/>
  <c r="J212" i="157"/>
  <c r="P209" i="157"/>
  <c r="M209" i="157"/>
  <c r="J209" i="157" s="1"/>
  <c r="J208" i="157"/>
  <c r="J207" i="157"/>
  <c r="L205" i="157"/>
  <c r="K205" i="157"/>
  <c r="J205" i="157"/>
  <c r="J204" i="157"/>
  <c r="J203" i="157"/>
  <c r="L201" i="157"/>
  <c r="K201" i="157"/>
  <c r="J201" i="157" s="1"/>
  <c r="J200" i="157"/>
  <c r="J199" i="157"/>
  <c r="L197" i="157"/>
  <c r="K197" i="157"/>
  <c r="J197" i="157"/>
  <c r="J196" i="157"/>
  <c r="L194" i="157"/>
  <c r="K194" i="157"/>
  <c r="J194" i="157"/>
  <c r="J193" i="157"/>
  <c r="J192" i="157"/>
  <c r="L190" i="157"/>
  <c r="K190" i="157"/>
  <c r="J190" i="157" s="1"/>
  <c r="J189" i="157"/>
  <c r="J188" i="157"/>
  <c r="L186" i="157"/>
  <c r="K186" i="157"/>
  <c r="J186" i="157"/>
  <c r="J185" i="157"/>
  <c r="J184" i="157"/>
  <c r="J183" i="157"/>
  <c r="G181" i="157"/>
  <c r="G231" i="157" s="1"/>
  <c r="M180" i="157"/>
  <c r="L180" i="157"/>
  <c r="J180" i="157" s="1"/>
  <c r="J179" i="157"/>
  <c r="J178" i="157"/>
  <c r="L176" i="157"/>
  <c r="K176" i="157"/>
  <c r="J176" i="157"/>
  <c r="J175" i="157"/>
  <c r="J174" i="157"/>
  <c r="L172" i="157"/>
  <c r="K172" i="157"/>
  <c r="J172" i="157" s="1"/>
  <c r="J171" i="157"/>
  <c r="J170" i="157"/>
  <c r="L168" i="157"/>
  <c r="K168" i="157"/>
  <c r="J168" i="157"/>
  <c r="J167" i="157"/>
  <c r="J166" i="157"/>
  <c r="L164" i="157"/>
  <c r="K164" i="157"/>
  <c r="J164" i="157" s="1"/>
  <c r="J163" i="157"/>
  <c r="J162" i="157"/>
  <c r="M160" i="157"/>
  <c r="J160" i="157" s="1"/>
  <c r="J159" i="157"/>
  <c r="J158" i="157"/>
  <c r="P156" i="157"/>
  <c r="M156" i="157"/>
  <c r="J156" i="157"/>
  <c r="J155" i="157"/>
  <c r="J154" i="157"/>
  <c r="M152" i="157"/>
  <c r="L152" i="157"/>
  <c r="K152" i="157"/>
  <c r="P151" i="157"/>
  <c r="M151" i="157"/>
  <c r="J151" i="157"/>
  <c r="J150" i="157"/>
  <c r="K148" i="157"/>
  <c r="M147" i="157"/>
  <c r="M148" i="157" s="1"/>
  <c r="L147" i="157"/>
  <c r="L148" i="157" s="1"/>
  <c r="J147" i="157"/>
  <c r="J146" i="157"/>
  <c r="I145" i="157"/>
  <c r="I231" i="157" s="1"/>
  <c r="H145" i="157"/>
  <c r="H231" i="157" s="1"/>
  <c r="O142" i="157"/>
  <c r="P139" i="157"/>
  <c r="M139" i="157"/>
  <c r="L139" i="157"/>
  <c r="K139" i="157"/>
  <c r="J139" i="157"/>
  <c r="J138" i="157"/>
  <c r="J137" i="157"/>
  <c r="R134" i="157"/>
  <c r="Q134" i="157"/>
  <c r="P134" i="157"/>
  <c r="O134" i="157"/>
  <c r="N134" i="157"/>
  <c r="L134" i="157"/>
  <c r="R133" i="157"/>
  <c r="Q133" i="157"/>
  <c r="P133" i="157"/>
  <c r="O133" i="157"/>
  <c r="N133" i="157"/>
  <c r="M133" i="157"/>
  <c r="L133" i="157"/>
  <c r="L135" i="157" s="1"/>
  <c r="K133" i="157"/>
  <c r="I132" i="157"/>
  <c r="H132" i="157"/>
  <c r="G132" i="157"/>
  <c r="P131" i="157"/>
  <c r="M131" i="157"/>
  <c r="L131" i="157"/>
  <c r="K131" i="157"/>
  <c r="J131" i="157" s="1"/>
  <c r="J130" i="157"/>
  <c r="J129" i="157"/>
  <c r="M127" i="157"/>
  <c r="L127" i="157"/>
  <c r="K127" i="157"/>
  <c r="J127" i="157" s="1"/>
  <c r="J126" i="157"/>
  <c r="J125" i="157"/>
  <c r="L122" i="157"/>
  <c r="K122" i="157"/>
  <c r="J122" i="157"/>
  <c r="J121" i="157"/>
  <c r="J120" i="157"/>
  <c r="P118" i="157"/>
  <c r="O118" i="157"/>
  <c r="M118" i="157"/>
  <c r="L118" i="157"/>
  <c r="K118" i="157"/>
  <c r="J118" i="157"/>
  <c r="J117" i="157"/>
  <c r="J116" i="157"/>
  <c r="J115" i="157"/>
  <c r="M113" i="157"/>
  <c r="K113" i="157"/>
  <c r="J113" i="157"/>
  <c r="J112" i="157"/>
  <c r="J111" i="157"/>
  <c r="P107" i="157"/>
  <c r="M107" i="157"/>
  <c r="L107" i="157"/>
  <c r="K107" i="157"/>
  <c r="J107" i="157" s="1"/>
  <c r="J106" i="157"/>
  <c r="J105" i="157"/>
  <c r="J104" i="157"/>
  <c r="J103" i="157"/>
  <c r="J102" i="157"/>
  <c r="P100" i="157"/>
  <c r="M100" i="157"/>
  <c r="L100" i="157"/>
  <c r="K100" i="157"/>
  <c r="J100" i="157" s="1"/>
  <c r="J99" i="157"/>
  <c r="J98" i="157"/>
  <c r="P95" i="157"/>
  <c r="L95" i="157"/>
  <c r="K95" i="157"/>
  <c r="P94" i="157"/>
  <c r="M94" i="157"/>
  <c r="J93" i="157"/>
  <c r="J92" i="157"/>
  <c r="M90" i="157"/>
  <c r="J90" i="157" s="1"/>
  <c r="J89" i="157"/>
  <c r="J88" i="157"/>
  <c r="P85" i="157"/>
  <c r="L85" i="157"/>
  <c r="L84" i="157"/>
  <c r="K84" i="157"/>
  <c r="M83" i="157"/>
  <c r="J82" i="157"/>
  <c r="P80" i="157"/>
  <c r="M80" i="157"/>
  <c r="L80" i="157"/>
  <c r="K80" i="157"/>
  <c r="J80" i="157" s="1"/>
  <c r="J79" i="157"/>
  <c r="J78" i="157"/>
  <c r="P75" i="157"/>
  <c r="M75" i="157"/>
  <c r="L75" i="157"/>
  <c r="K75" i="157"/>
  <c r="J75" i="157"/>
  <c r="J74" i="157"/>
  <c r="J73" i="157"/>
  <c r="J72" i="157"/>
  <c r="J71" i="157"/>
  <c r="R68" i="157"/>
  <c r="R242" i="157" s="1"/>
  <c r="Q68" i="157"/>
  <c r="P68" i="157"/>
  <c r="P242" i="157" s="1"/>
  <c r="O68" i="157"/>
  <c r="N68" i="157"/>
  <c r="N242" i="157" s="1"/>
  <c r="M68" i="157"/>
  <c r="L68" i="157"/>
  <c r="L242" i="157" s="1"/>
  <c r="K68" i="157"/>
  <c r="J68" i="157"/>
  <c r="R67" i="157"/>
  <c r="Q67" i="157"/>
  <c r="Q241" i="157" s="1"/>
  <c r="P67" i="157"/>
  <c r="O67" i="157"/>
  <c r="O69" i="157" s="1"/>
  <c r="N67" i="157"/>
  <c r="M67" i="157"/>
  <c r="M241" i="157" s="1"/>
  <c r="L67" i="157"/>
  <c r="K67" i="157"/>
  <c r="J67" i="157" s="1"/>
  <c r="I66" i="157"/>
  <c r="I240" i="157" s="1"/>
  <c r="H66" i="157"/>
  <c r="G66" i="157"/>
  <c r="G240" i="157" s="1"/>
  <c r="P64" i="157"/>
  <c r="M64" i="157"/>
  <c r="L64" i="157"/>
  <c r="K64" i="157"/>
  <c r="J64" i="157" s="1"/>
  <c r="J63" i="157"/>
  <c r="J62" i="157"/>
  <c r="J61" i="157"/>
  <c r="P59" i="157"/>
  <c r="M59" i="157"/>
  <c r="L59" i="157"/>
  <c r="K59" i="157"/>
  <c r="J59" i="157" s="1"/>
  <c r="J58" i="157"/>
  <c r="J57" i="157"/>
  <c r="J56" i="157"/>
  <c r="J55" i="157"/>
  <c r="P52" i="157"/>
  <c r="M52" i="157"/>
  <c r="L52" i="157"/>
  <c r="K52" i="157"/>
  <c r="J52" i="157"/>
  <c r="J51" i="157"/>
  <c r="J50" i="157"/>
  <c r="J49" i="157"/>
  <c r="J48" i="157"/>
  <c r="J47" i="157"/>
  <c r="R44" i="157"/>
  <c r="Q44" i="157"/>
  <c r="P44" i="157"/>
  <c r="O44" i="157"/>
  <c r="N44" i="157"/>
  <c r="M44" i="157"/>
  <c r="L44" i="157"/>
  <c r="K44" i="157"/>
  <c r="J44" i="157" s="1"/>
  <c r="R43" i="157"/>
  <c r="R241" i="157" s="1"/>
  <c r="R243" i="157" s="1"/>
  <c r="Q43" i="157"/>
  <c r="Q45" i="157" s="1"/>
  <c r="P43" i="157"/>
  <c r="P241" i="157" s="1"/>
  <c r="O43" i="157"/>
  <c r="N43" i="157"/>
  <c r="N241" i="157" s="1"/>
  <c r="N243" i="157" s="1"/>
  <c r="M43" i="157"/>
  <c r="M45" i="157" s="1"/>
  <c r="L43" i="157"/>
  <c r="L241" i="157" s="1"/>
  <c r="K43" i="157"/>
  <c r="J43" i="157"/>
  <c r="I42" i="157"/>
  <c r="H42" i="157"/>
  <c r="H140" i="157" s="1"/>
  <c r="G42" i="157"/>
  <c r="J41" i="157"/>
  <c r="P39" i="157"/>
  <c r="M39" i="157"/>
  <c r="L39" i="157"/>
  <c r="K39" i="157"/>
  <c r="J39" i="157" s="1"/>
  <c r="J38" i="157"/>
  <c r="J37" i="157"/>
  <c r="P34" i="157"/>
  <c r="M34" i="157"/>
  <c r="L34" i="157"/>
  <c r="K34" i="157"/>
  <c r="J34" i="157"/>
  <c r="J33" i="157"/>
  <c r="J32" i="157"/>
  <c r="P29" i="157"/>
  <c r="M29" i="157"/>
  <c r="L29" i="157"/>
  <c r="K29" i="157"/>
  <c r="J29" i="157" s="1"/>
  <c r="J28" i="157"/>
  <c r="J27" i="157"/>
  <c r="J26" i="157"/>
  <c r="P23" i="157"/>
  <c r="M23" i="157"/>
  <c r="L23" i="157"/>
  <c r="K23" i="157"/>
  <c r="J23" i="157" s="1"/>
  <c r="J22" i="157"/>
  <c r="J21" i="157"/>
  <c r="P18" i="157"/>
  <c r="M18" i="157"/>
  <c r="L18" i="157"/>
  <c r="K18" i="157"/>
  <c r="J18" i="157"/>
  <c r="J17" i="157"/>
  <c r="J16" i="157"/>
  <c r="P13" i="157"/>
  <c r="M13" i="157"/>
  <c r="L13" i="157"/>
  <c r="K13" i="157"/>
  <c r="J13" i="157" s="1"/>
  <c r="J12" i="157"/>
  <c r="J11" i="157"/>
  <c r="H26" i="153"/>
  <c r="G26" i="153"/>
  <c r="E26" i="153"/>
  <c r="G24" i="153"/>
  <c r="F24" i="153"/>
  <c r="F26" i="153" s="1"/>
  <c r="H19" i="153"/>
  <c r="G19" i="153"/>
  <c r="F19" i="153"/>
  <c r="E19" i="153"/>
  <c r="H15" i="153"/>
  <c r="H28" i="153" s="1"/>
  <c r="H30" i="153" s="1"/>
  <c r="G15" i="153"/>
  <c r="G28" i="153" s="1"/>
  <c r="G30" i="153" s="1"/>
  <c r="F15" i="153"/>
  <c r="F28" i="153" s="1"/>
  <c r="F30" i="153" s="1"/>
  <c r="E15" i="153"/>
  <c r="E28" i="153" s="1"/>
  <c r="E30" i="153" s="1"/>
  <c r="N140" i="152"/>
  <c r="L140" i="152"/>
  <c r="K140" i="152"/>
  <c r="J140" i="152"/>
  <c r="I140" i="152"/>
  <c r="H140" i="152"/>
  <c r="G140" i="152"/>
  <c r="F140" i="152"/>
  <c r="O140" i="152" s="1"/>
  <c r="M139" i="152"/>
  <c r="O139" i="152" s="1"/>
  <c r="M138" i="152"/>
  <c r="O138" i="152" s="1"/>
  <c r="O137" i="152"/>
  <c r="O136" i="152"/>
  <c r="O135" i="152"/>
  <c r="O134" i="152"/>
  <c r="M133" i="152"/>
  <c r="M140" i="152" s="1"/>
  <c r="N130" i="152"/>
  <c r="N143" i="152" s="1"/>
  <c r="L130" i="152"/>
  <c r="L143" i="152" s="1"/>
  <c r="J130" i="152"/>
  <c r="J143" i="152" s="1"/>
  <c r="H130" i="152"/>
  <c r="H143" i="152" s="1"/>
  <c r="F130" i="152"/>
  <c r="N129" i="152"/>
  <c r="N142" i="152" s="1"/>
  <c r="L129" i="152"/>
  <c r="L142" i="152" s="1"/>
  <c r="L144" i="152" s="1"/>
  <c r="J129" i="152"/>
  <c r="J142" i="152" s="1"/>
  <c r="H129" i="152"/>
  <c r="H142" i="152" s="1"/>
  <c r="H144" i="152" s="1"/>
  <c r="F129" i="152"/>
  <c r="N127" i="152"/>
  <c r="M127" i="152"/>
  <c r="L127" i="152"/>
  <c r="F127" i="152"/>
  <c r="O127" i="152" s="1"/>
  <c r="O126" i="152"/>
  <c r="O125" i="152"/>
  <c r="N122" i="152"/>
  <c r="M122" i="152"/>
  <c r="L122" i="152"/>
  <c r="K122" i="152"/>
  <c r="J122" i="152"/>
  <c r="I122" i="152"/>
  <c r="H122" i="152"/>
  <c r="G122" i="152"/>
  <c r="F122" i="152"/>
  <c r="N121" i="152"/>
  <c r="N123" i="152" s="1"/>
  <c r="M121" i="152"/>
  <c r="L121" i="152"/>
  <c r="L123" i="152" s="1"/>
  <c r="K121" i="152"/>
  <c r="J121" i="152"/>
  <c r="J123" i="152" s="1"/>
  <c r="I121" i="152"/>
  <c r="H121" i="152"/>
  <c r="H123" i="152" s="1"/>
  <c r="G121" i="152"/>
  <c r="F121" i="152"/>
  <c r="F123" i="152" s="1"/>
  <c r="N119" i="152"/>
  <c r="M119" i="152"/>
  <c r="L119" i="152"/>
  <c r="G119" i="152"/>
  <c r="O119" i="152" s="1"/>
  <c r="F119" i="152"/>
  <c r="O118" i="152"/>
  <c r="O117" i="152"/>
  <c r="L115" i="152"/>
  <c r="H115" i="152"/>
  <c r="O115" i="152" s="1"/>
  <c r="O114" i="152"/>
  <c r="O113" i="152"/>
  <c r="G111" i="152"/>
  <c r="O111" i="152" s="1"/>
  <c r="O110" i="152"/>
  <c r="O109" i="152"/>
  <c r="N107" i="152"/>
  <c r="M107" i="152"/>
  <c r="L107" i="152"/>
  <c r="G107" i="152"/>
  <c r="F107" i="152"/>
  <c r="O107" i="152" s="1"/>
  <c r="O106" i="152"/>
  <c r="O105" i="152"/>
  <c r="O104" i="152"/>
  <c r="O102" i="152"/>
  <c r="L102" i="152"/>
  <c r="O101" i="152"/>
  <c r="O100" i="152"/>
  <c r="N98" i="152"/>
  <c r="M98" i="152"/>
  <c r="L98" i="152"/>
  <c r="K98" i="152"/>
  <c r="G98" i="152"/>
  <c r="F98" i="152"/>
  <c r="O98" i="152" s="1"/>
  <c r="O97" i="152"/>
  <c r="O96" i="152"/>
  <c r="O95" i="152"/>
  <c r="O94" i="152"/>
  <c r="L92" i="152"/>
  <c r="G92" i="152"/>
  <c r="O92" i="152" s="1"/>
  <c r="O91" i="152"/>
  <c r="O90" i="152"/>
  <c r="N88" i="152"/>
  <c r="M88" i="152"/>
  <c r="L88" i="152"/>
  <c r="F88" i="152"/>
  <c r="O88" i="152" s="1"/>
  <c r="O87" i="152"/>
  <c r="O86" i="152"/>
  <c r="L84" i="152"/>
  <c r="H84" i="152"/>
  <c r="O83" i="152"/>
  <c r="O82" i="152"/>
  <c r="N80" i="152"/>
  <c r="M80" i="152"/>
  <c r="L80" i="152"/>
  <c r="G80" i="152"/>
  <c r="O80" i="152" s="1"/>
  <c r="F80" i="152"/>
  <c r="O79" i="152"/>
  <c r="M79" i="152"/>
  <c r="O78" i="152"/>
  <c r="O77" i="152"/>
  <c r="N75" i="152"/>
  <c r="M75" i="152"/>
  <c r="L75" i="152"/>
  <c r="J75" i="152"/>
  <c r="O75" i="152" s="1"/>
  <c r="G75" i="152"/>
  <c r="O74" i="152"/>
  <c r="O73" i="152"/>
  <c r="N71" i="152"/>
  <c r="M71" i="152"/>
  <c r="L71" i="152"/>
  <c r="G71" i="152"/>
  <c r="O71" i="152" s="1"/>
  <c r="F71" i="152"/>
  <c r="O70" i="152"/>
  <c r="O69" i="152"/>
  <c r="O68" i="152"/>
  <c r="O67" i="152"/>
  <c r="K65" i="152"/>
  <c r="G65" i="152"/>
  <c r="N64" i="152"/>
  <c r="M64" i="152"/>
  <c r="L64" i="152"/>
  <c r="K64" i="152"/>
  <c r="J64" i="152"/>
  <c r="I64" i="152"/>
  <c r="H64" i="152"/>
  <c r="G64" i="152"/>
  <c r="O64" i="152" s="1"/>
  <c r="F64" i="152"/>
  <c r="N63" i="152"/>
  <c r="N65" i="152" s="1"/>
  <c r="M63" i="152"/>
  <c r="M65" i="152" s="1"/>
  <c r="L63" i="152"/>
  <c r="L65" i="152" s="1"/>
  <c r="K63" i="152"/>
  <c r="J63" i="152"/>
  <c r="J65" i="152" s="1"/>
  <c r="I63" i="152"/>
  <c r="I65" i="152" s="1"/>
  <c r="H63" i="152"/>
  <c r="H65" i="152" s="1"/>
  <c r="G63" i="152"/>
  <c r="O63" i="152" s="1"/>
  <c r="F63" i="152"/>
  <c r="F65" i="152" s="1"/>
  <c r="O65" i="152" s="1"/>
  <c r="N61" i="152"/>
  <c r="M61" i="152"/>
  <c r="L61" i="152"/>
  <c r="F61" i="152"/>
  <c r="O61" i="152" s="1"/>
  <c r="O60" i="152"/>
  <c r="O59" i="152"/>
  <c r="O58" i="152"/>
  <c r="N56" i="152"/>
  <c r="M56" i="152"/>
  <c r="L56" i="152"/>
  <c r="F56" i="152"/>
  <c r="O56" i="152" s="1"/>
  <c r="O55" i="152"/>
  <c r="O54" i="152"/>
  <c r="O53" i="152"/>
  <c r="O52" i="152"/>
  <c r="N50" i="152"/>
  <c r="M50" i="152"/>
  <c r="L50" i="152"/>
  <c r="G50" i="152"/>
  <c r="F50" i="152"/>
  <c r="O50" i="152" s="1"/>
  <c r="O49" i="152"/>
  <c r="O48" i="152"/>
  <c r="O47" i="152"/>
  <c r="O46" i="152"/>
  <c r="O45" i="152"/>
  <c r="K43" i="152"/>
  <c r="G43" i="152"/>
  <c r="N42" i="152"/>
  <c r="M42" i="152"/>
  <c r="L42" i="152"/>
  <c r="K42" i="152"/>
  <c r="J42" i="152"/>
  <c r="I42" i="152"/>
  <c r="H42" i="152"/>
  <c r="G42" i="152"/>
  <c r="O42" i="152" s="1"/>
  <c r="F42" i="152"/>
  <c r="N41" i="152"/>
  <c r="N43" i="152" s="1"/>
  <c r="M41" i="152"/>
  <c r="M43" i="152" s="1"/>
  <c r="L41" i="152"/>
  <c r="L43" i="152" s="1"/>
  <c r="K41" i="152"/>
  <c r="J41" i="152"/>
  <c r="J43" i="152" s="1"/>
  <c r="I41" i="152"/>
  <c r="I43" i="152" s="1"/>
  <c r="H41" i="152"/>
  <c r="H43" i="152" s="1"/>
  <c r="G41" i="152"/>
  <c r="O41" i="152" s="1"/>
  <c r="F41" i="152"/>
  <c r="F43" i="152" s="1"/>
  <c r="N39" i="152"/>
  <c r="M39" i="152"/>
  <c r="L39" i="152"/>
  <c r="F39" i="152"/>
  <c r="O39" i="152" s="1"/>
  <c r="O38" i="152"/>
  <c r="O37" i="152"/>
  <c r="N34" i="152"/>
  <c r="M34" i="152"/>
  <c r="L34" i="152"/>
  <c r="F34" i="152"/>
  <c r="O33" i="152"/>
  <c r="O32" i="152"/>
  <c r="N29" i="152"/>
  <c r="M29" i="152"/>
  <c r="L29" i="152"/>
  <c r="F29" i="152"/>
  <c r="O29" i="152" s="1"/>
  <c r="O28" i="152"/>
  <c r="O27" i="152"/>
  <c r="O26" i="152"/>
  <c r="N23" i="152"/>
  <c r="M23" i="152"/>
  <c r="L23" i="152"/>
  <c r="F23" i="152"/>
  <c r="O23" i="152" s="1"/>
  <c r="O22" i="152"/>
  <c r="O21" i="152"/>
  <c r="N18" i="152"/>
  <c r="M18" i="152"/>
  <c r="L18" i="152"/>
  <c r="F18" i="152"/>
  <c r="O18" i="152" s="1"/>
  <c r="O17" i="152"/>
  <c r="O16" i="152"/>
  <c r="N13" i="152"/>
  <c r="M13" i="152"/>
  <c r="L13" i="152"/>
  <c r="F13" i="152"/>
  <c r="O13" i="152" s="1"/>
  <c r="O12" i="152"/>
  <c r="O11" i="152"/>
  <c r="L62" i="113"/>
  <c r="L61" i="113"/>
  <c r="J61" i="113"/>
  <c r="L59" i="113"/>
  <c r="K59" i="113"/>
  <c r="J59" i="113"/>
  <c r="I59" i="113"/>
  <c r="H59" i="113"/>
  <c r="G59" i="113"/>
  <c r="L58" i="113"/>
  <c r="K58" i="113"/>
  <c r="L57" i="113"/>
  <c r="H57" i="113"/>
  <c r="L56" i="113"/>
  <c r="H56" i="113"/>
  <c r="L55" i="113"/>
  <c r="K55" i="113"/>
  <c r="J55" i="113"/>
  <c r="I55" i="113"/>
  <c r="H55" i="113"/>
  <c r="G55" i="113"/>
  <c r="L54" i="113"/>
  <c r="K54" i="113"/>
  <c r="J53" i="113"/>
  <c r="L53" i="113" s="1"/>
  <c r="J52" i="113"/>
  <c r="L52" i="113" s="1"/>
  <c r="H52" i="113"/>
  <c r="H51" i="113" s="1"/>
  <c r="H50" i="113" s="1"/>
  <c r="H48" i="113" s="1"/>
  <c r="K51" i="113"/>
  <c r="I51" i="113"/>
  <c r="G51" i="113"/>
  <c r="K50" i="113"/>
  <c r="K48" i="113" s="1"/>
  <c r="I50" i="113"/>
  <c r="I48" i="113" s="1"/>
  <c r="G50" i="113"/>
  <c r="G48" i="113" s="1"/>
  <c r="L49" i="113"/>
  <c r="L44" i="113"/>
  <c r="K44" i="113"/>
  <c r="J44" i="113"/>
  <c r="I44" i="113"/>
  <c r="H44" i="113"/>
  <c r="G44" i="113"/>
  <c r="L43" i="113"/>
  <c r="J43" i="113"/>
  <c r="L42" i="113"/>
  <c r="J41" i="113"/>
  <c r="L41" i="113" s="1"/>
  <c r="L40" i="113"/>
  <c r="L39" i="113"/>
  <c r="J39" i="113"/>
  <c r="I39" i="113"/>
  <c r="H39" i="113"/>
  <c r="G39" i="113"/>
  <c r="L38" i="113"/>
  <c r="L37" i="113"/>
  <c r="L35" i="113" s="1"/>
  <c r="K35" i="113"/>
  <c r="J35" i="113"/>
  <c r="I35" i="113"/>
  <c r="H35" i="113"/>
  <c r="G35" i="113"/>
  <c r="K34" i="113"/>
  <c r="I34" i="113"/>
  <c r="H34" i="113"/>
  <c r="G34" i="113"/>
  <c r="L33" i="113"/>
  <c r="L32" i="113"/>
  <c r="L31" i="113"/>
  <c r="L30" i="113"/>
  <c r="L29" i="113"/>
  <c r="H29" i="113"/>
  <c r="H26" i="113" s="1"/>
  <c r="L28" i="113"/>
  <c r="L27" i="113"/>
  <c r="L26" i="113" s="1"/>
  <c r="K26" i="113"/>
  <c r="J26" i="113"/>
  <c r="I26" i="113"/>
  <c r="G26" i="113"/>
  <c r="L25" i="113"/>
  <c r="L24" i="113"/>
  <c r="L22" i="113"/>
  <c r="L21" i="113"/>
  <c r="L20" i="113"/>
  <c r="L19" i="113"/>
  <c r="L18" i="113"/>
  <c r="L17" i="113"/>
  <c r="K17" i="113"/>
  <c r="J17" i="113"/>
  <c r="I17" i="113"/>
  <c r="H17" i="113"/>
  <c r="G17" i="113"/>
  <c r="L16" i="113"/>
  <c r="K16" i="113"/>
  <c r="J16" i="113"/>
  <c r="J8" i="113" s="1"/>
  <c r="I16" i="113"/>
  <c r="H16" i="113"/>
  <c r="H8" i="113" s="1"/>
  <c r="H46" i="113" s="1"/>
  <c r="G16" i="113"/>
  <c r="L15" i="113"/>
  <c r="J15" i="113"/>
  <c r="H15" i="113"/>
  <c r="L14" i="113"/>
  <c r="L13" i="113"/>
  <c r="L12" i="113"/>
  <c r="L11" i="113"/>
  <c r="L10" i="113" s="1"/>
  <c r="L9" i="113" s="1"/>
  <c r="L8" i="113" s="1"/>
  <c r="K10" i="113"/>
  <c r="J10" i="113"/>
  <c r="I10" i="113"/>
  <c r="H10" i="113"/>
  <c r="G10" i="113"/>
  <c r="K9" i="113"/>
  <c r="J9" i="113"/>
  <c r="I9" i="113"/>
  <c r="H9" i="113"/>
  <c r="G9" i="113"/>
  <c r="K8" i="113"/>
  <c r="K46" i="113" s="1"/>
  <c r="I8" i="113"/>
  <c r="I46" i="113" s="1"/>
  <c r="G8" i="113"/>
  <c r="G46" i="113" s="1"/>
  <c r="L51" i="113" l="1"/>
  <c r="L50" i="113" s="1"/>
  <c r="L48" i="113" s="1"/>
  <c r="L34" i="113"/>
  <c r="J51" i="113"/>
  <c r="J50" i="113"/>
  <c r="J48" i="113" s="1"/>
  <c r="G28" i="173"/>
  <c r="P28" i="173"/>
  <c r="P39" i="173" s="1"/>
  <c r="X12" i="173"/>
  <c r="X13" i="173"/>
  <c r="G13" i="173" s="1"/>
  <c r="E50" i="149"/>
  <c r="P53" i="149"/>
  <c r="P94" i="149"/>
  <c r="E13" i="149"/>
  <c r="E37" i="149" s="1"/>
  <c r="G37" i="149"/>
  <c r="P64" i="149"/>
  <c r="L74" i="149"/>
  <c r="L71" i="149"/>
  <c r="P71" i="149" s="1"/>
  <c r="E69" i="149" s="1"/>
  <c r="E72" i="149" s="1"/>
  <c r="L75" i="149"/>
  <c r="P74" i="149"/>
  <c r="P75" i="149" s="1"/>
  <c r="I75" i="149"/>
  <c r="O123" i="149"/>
  <c r="O125" i="149" s="1"/>
  <c r="J124" i="149"/>
  <c r="L124" i="149"/>
  <c r="N124" i="149"/>
  <c r="I102" i="149"/>
  <c r="M102" i="149"/>
  <c r="K123" i="149"/>
  <c r="K125" i="149" s="1"/>
  <c r="E43" i="149"/>
  <c r="G50" i="149"/>
  <c r="E63" i="149"/>
  <c r="P70" i="149"/>
  <c r="P123" i="149"/>
  <c r="P102" i="149"/>
  <c r="P98" i="149"/>
  <c r="E95" i="149" s="1"/>
  <c r="E99" i="149" s="1"/>
  <c r="J123" i="149"/>
  <c r="J125" i="149" s="1"/>
  <c r="L123" i="149"/>
  <c r="N123" i="149"/>
  <c r="N125" i="149" s="1"/>
  <c r="P101" i="149"/>
  <c r="I124" i="149"/>
  <c r="I125" i="149" s="1"/>
  <c r="K124" i="149"/>
  <c r="M124" i="149"/>
  <c r="M125" i="149" s="1"/>
  <c r="O124" i="149"/>
  <c r="O102" i="149"/>
  <c r="I121" i="149"/>
  <c r="P121" i="149" s="1"/>
  <c r="J102" i="149"/>
  <c r="L102" i="149"/>
  <c r="N102" i="149"/>
  <c r="M84" i="148"/>
  <c r="O84" i="148" s="1"/>
  <c r="M77" i="148"/>
  <c r="O77" i="148" s="1"/>
  <c r="E75" i="148" s="1"/>
  <c r="M83" i="148"/>
  <c r="O83" i="148" s="1"/>
  <c r="O82" i="148"/>
  <c r="E36" i="144"/>
  <c r="E48" i="144"/>
  <c r="E64" i="144"/>
  <c r="E72" i="144"/>
  <c r="O115" i="144"/>
  <c r="O117" i="144" s="1"/>
  <c r="L178" i="134"/>
  <c r="J62" i="134"/>
  <c r="L62" i="134" s="1"/>
  <c r="E59" i="134" s="1"/>
  <c r="I180" i="134"/>
  <c r="L180" i="134" s="1"/>
  <c r="L12" i="134"/>
  <c r="L44" i="134"/>
  <c r="J98" i="134"/>
  <c r="L98" i="134" s="1"/>
  <c r="E95" i="134" s="1"/>
  <c r="J95" i="105"/>
  <c r="I95" i="105" s="1"/>
  <c r="J177" i="105"/>
  <c r="I177" i="105" s="1"/>
  <c r="L592" i="105"/>
  <c r="L588" i="105"/>
  <c r="L395" i="105"/>
  <c r="I395" i="105" s="1"/>
  <c r="I393" i="105"/>
  <c r="N592" i="105"/>
  <c r="N588" i="105"/>
  <c r="I512" i="105"/>
  <c r="K587" i="105"/>
  <c r="M588" i="105"/>
  <c r="K595" i="105"/>
  <c r="K597" i="105" s="1"/>
  <c r="I189" i="105"/>
  <c r="J588" i="105"/>
  <c r="I220" i="105"/>
  <c r="L593" i="105"/>
  <c r="I593" i="105" s="1"/>
  <c r="I167" i="105"/>
  <c r="J595" i="105"/>
  <c r="L595" i="105"/>
  <c r="N595" i="105"/>
  <c r="J596" i="105"/>
  <c r="L596" i="105"/>
  <c r="N596" i="105"/>
  <c r="J191" i="105"/>
  <c r="I191" i="105" s="1"/>
  <c r="L191" i="105"/>
  <c r="J587" i="105"/>
  <c r="I219" i="105"/>
  <c r="J221" i="105"/>
  <c r="I221" i="105" s="1"/>
  <c r="N591" i="105"/>
  <c r="N593" i="105" s="1"/>
  <c r="N587" i="105"/>
  <c r="N589" i="105" s="1"/>
  <c r="I511" i="105"/>
  <c r="N513" i="105"/>
  <c r="I513" i="105" s="1"/>
  <c r="M587" i="105"/>
  <c r="M589" i="105" s="1"/>
  <c r="K588" i="105"/>
  <c r="M595" i="105"/>
  <c r="M597" i="105" s="1"/>
  <c r="L349" i="105"/>
  <c r="I349" i="105" s="1"/>
  <c r="L587" i="105"/>
  <c r="L589" i="105" s="1"/>
  <c r="G153" i="156"/>
  <c r="I153" i="156"/>
  <c r="J141" i="156"/>
  <c r="J152" i="156"/>
  <c r="K10" i="156"/>
  <c r="K141" i="156" s="1"/>
  <c r="K153" i="156" s="1"/>
  <c r="G250" i="157"/>
  <c r="L243" i="157"/>
  <c r="P243" i="157"/>
  <c r="L45" i="157"/>
  <c r="P45" i="157"/>
  <c r="M69" i="157"/>
  <c r="Q69" i="157"/>
  <c r="K242" i="157"/>
  <c r="K134" i="157"/>
  <c r="K85" i="157"/>
  <c r="J84" i="157"/>
  <c r="M242" i="157"/>
  <c r="M243" i="157" s="1"/>
  <c r="M95" i="157"/>
  <c r="J95" i="157" s="1"/>
  <c r="J94" i="157"/>
  <c r="K141" i="157"/>
  <c r="J133" i="157"/>
  <c r="M141" i="157"/>
  <c r="O141" i="157"/>
  <c r="O143" i="157" s="1"/>
  <c r="Q141" i="157"/>
  <c r="N142" i="157"/>
  <c r="N237" i="157" s="1"/>
  <c r="P142" i="157"/>
  <c r="R142" i="157"/>
  <c r="R237" i="157" s="1"/>
  <c r="Q135" i="157"/>
  <c r="P141" i="157"/>
  <c r="P143" i="157" s="1"/>
  <c r="M251" i="157"/>
  <c r="M236" i="157"/>
  <c r="Q251" i="157"/>
  <c r="Q253" i="157" s="1"/>
  <c r="Q236" i="157"/>
  <c r="Q234" i="157"/>
  <c r="L252" i="157"/>
  <c r="O234" i="157"/>
  <c r="K236" i="157"/>
  <c r="J248" i="157"/>
  <c r="O251" i="157"/>
  <c r="O253" i="157" s="1"/>
  <c r="K241" i="157"/>
  <c r="O241" i="157"/>
  <c r="N45" i="157"/>
  <c r="R45" i="157"/>
  <c r="L69" i="157"/>
  <c r="N69" i="157"/>
  <c r="P69" i="157"/>
  <c r="R69" i="157"/>
  <c r="K69" i="157"/>
  <c r="J69" i="157" s="1"/>
  <c r="M134" i="157"/>
  <c r="M142" i="157" s="1"/>
  <c r="M85" i="157"/>
  <c r="J83" i="157"/>
  <c r="G140" i="157"/>
  <c r="G235" i="157" s="1"/>
  <c r="I140" i="157"/>
  <c r="N141" i="157"/>
  <c r="N143" i="157" s="1"/>
  <c r="P135" i="157"/>
  <c r="R141" i="157"/>
  <c r="R143" i="157" s="1"/>
  <c r="L142" i="157"/>
  <c r="L237" i="157" s="1"/>
  <c r="Q142" i="157"/>
  <c r="K135" i="157"/>
  <c r="O135" i="157"/>
  <c r="L141" i="157"/>
  <c r="L143" i="157" s="1"/>
  <c r="I250" i="157"/>
  <c r="I235" i="157"/>
  <c r="P152" i="157"/>
  <c r="J152" i="157" s="1"/>
  <c r="P233" i="157"/>
  <c r="K234" i="157"/>
  <c r="K251" i="157"/>
  <c r="K45" i="157"/>
  <c r="J45" i="157" s="1"/>
  <c r="O45" i="157"/>
  <c r="H240" i="157"/>
  <c r="O242" i="157"/>
  <c r="Q242" i="157"/>
  <c r="Q243" i="157" s="1"/>
  <c r="N135" i="157"/>
  <c r="R135" i="157"/>
  <c r="H250" i="157"/>
  <c r="H235" i="157"/>
  <c r="J148" i="157"/>
  <c r="M233" i="157"/>
  <c r="L253" i="157"/>
  <c r="N253" i="157"/>
  <c r="R253" i="157"/>
  <c r="L234" i="157"/>
  <c r="N234" i="157"/>
  <c r="P234" i="157"/>
  <c r="R234" i="157"/>
  <c r="L236" i="157"/>
  <c r="P236" i="157"/>
  <c r="O237" i="157"/>
  <c r="Q237" i="157"/>
  <c r="O43" i="152"/>
  <c r="G129" i="152"/>
  <c r="G123" i="152"/>
  <c r="O121" i="152"/>
  <c r="I129" i="152"/>
  <c r="I123" i="152"/>
  <c r="K129" i="152"/>
  <c r="K123" i="152"/>
  <c r="M129" i="152"/>
  <c r="M123" i="152"/>
  <c r="O34" i="152"/>
  <c r="O84" i="152"/>
  <c r="O123" i="152"/>
  <c r="G130" i="152"/>
  <c r="G143" i="152" s="1"/>
  <c r="I130" i="152"/>
  <c r="I143" i="152" s="1"/>
  <c r="K130" i="152"/>
  <c r="K143" i="152" s="1"/>
  <c r="M130" i="152"/>
  <c r="M143" i="152" s="1"/>
  <c r="J144" i="152"/>
  <c r="N144" i="152"/>
  <c r="O122" i="152"/>
  <c r="F131" i="152"/>
  <c r="H131" i="152"/>
  <c r="J131" i="152"/>
  <c r="L131" i="152"/>
  <c r="N131" i="152"/>
  <c r="F142" i="152"/>
  <c r="F143" i="152"/>
  <c r="O133" i="152"/>
  <c r="G47" i="113"/>
  <c r="G63" i="113"/>
  <c r="K47" i="113"/>
  <c r="K63" i="113"/>
  <c r="I47" i="113"/>
  <c r="I63" i="113"/>
  <c r="L46" i="113"/>
  <c r="H63" i="113"/>
  <c r="H47" i="113"/>
  <c r="J34" i="113"/>
  <c r="J46" i="113" s="1"/>
  <c r="D14" i="151"/>
  <c r="N597" i="105" l="1"/>
  <c r="X39" i="173"/>
  <c r="G12" i="173"/>
  <c r="G39" i="173" s="1"/>
  <c r="P124" i="149"/>
  <c r="L125" i="149"/>
  <c r="P125" i="149"/>
  <c r="J589" i="105"/>
  <c r="I587" i="105"/>
  <c r="J597" i="105"/>
  <c r="I595" i="105"/>
  <c r="I588" i="105"/>
  <c r="K589" i="105"/>
  <c r="I591" i="105"/>
  <c r="I596" i="105"/>
  <c r="L597" i="105"/>
  <c r="I592" i="105"/>
  <c r="J153" i="156"/>
  <c r="L238" i="157"/>
  <c r="M252" i="157"/>
  <c r="M237" i="157"/>
  <c r="M238" i="157" s="1"/>
  <c r="J233" i="157"/>
  <c r="J234" i="157"/>
  <c r="J241" i="157"/>
  <c r="K243" i="157"/>
  <c r="Q238" i="157"/>
  <c r="M234" i="157"/>
  <c r="M253" i="157"/>
  <c r="J85" i="157"/>
  <c r="J242" i="157"/>
  <c r="R236" i="157"/>
  <c r="R238" i="157" s="1"/>
  <c r="N236" i="157"/>
  <c r="N238" i="157" s="1"/>
  <c r="J251" i="157"/>
  <c r="K253" i="157"/>
  <c r="J253" i="157" s="1"/>
  <c r="P252" i="157"/>
  <c r="P253" i="157" s="1"/>
  <c r="P237" i="157"/>
  <c r="P238" i="157" s="1"/>
  <c r="O243" i="157"/>
  <c r="M135" i="157"/>
  <c r="J135" i="157" s="1"/>
  <c r="Q143" i="157"/>
  <c r="M143" i="157"/>
  <c r="J141" i="157"/>
  <c r="K142" i="157"/>
  <c r="J134" i="157"/>
  <c r="O236" i="157"/>
  <c r="O238" i="157" s="1"/>
  <c r="F144" i="152"/>
  <c r="O144" i="152" s="1"/>
  <c r="G142" i="152"/>
  <c r="G144" i="152" s="1"/>
  <c r="G131" i="152"/>
  <c r="O143" i="152"/>
  <c r="O129" i="152"/>
  <c r="O130" i="152"/>
  <c r="M142" i="152"/>
  <c r="M144" i="152" s="1"/>
  <c r="M131" i="152"/>
  <c r="K142" i="152"/>
  <c r="K144" i="152" s="1"/>
  <c r="K131" i="152"/>
  <c r="I142" i="152"/>
  <c r="I144" i="152" s="1"/>
  <c r="I131" i="152"/>
  <c r="O131" i="152" s="1"/>
  <c r="J63" i="113"/>
  <c r="J47" i="113"/>
  <c r="L63" i="113"/>
  <c r="L47" i="113"/>
  <c r="I597" i="105" l="1"/>
  <c r="I589" i="105"/>
  <c r="J243" i="157"/>
  <c r="J142" i="157"/>
  <c r="K237" i="157"/>
  <c r="K143" i="157"/>
  <c r="J143" i="157" s="1"/>
  <c r="J236" i="157"/>
  <c r="J252" i="157"/>
  <c r="O142" i="152"/>
  <c r="F79" i="172"/>
  <c r="E79" i="172"/>
  <c r="D79" i="172"/>
  <c r="C79" i="172"/>
  <c r="G79" i="172"/>
  <c r="J237" i="157" l="1"/>
  <c r="K238" i="157"/>
  <c r="J238" i="157" s="1"/>
  <c r="E29" i="126" l="1"/>
  <c r="E19" i="126"/>
  <c r="E21" i="126" s="1"/>
  <c r="E33" i="159"/>
  <c r="T16" i="49"/>
  <c r="S16" i="49"/>
  <c r="R16" i="49"/>
  <c r="P16" i="49"/>
  <c r="O16" i="49"/>
  <c r="N16" i="49"/>
  <c r="M16" i="49"/>
  <c r="J16" i="49"/>
  <c r="I16" i="49"/>
  <c r="H16" i="49"/>
  <c r="L15" i="49"/>
  <c r="Q15" i="49" s="1"/>
  <c r="L14" i="49"/>
  <c r="Q14" i="49" s="1"/>
  <c r="L13" i="49"/>
  <c r="Q13" i="49" s="1"/>
  <c r="L12" i="49"/>
  <c r="L11" i="49"/>
  <c r="Q11" i="49" s="1"/>
  <c r="L10" i="49"/>
  <c r="Q10" i="49" s="1"/>
  <c r="K9" i="49"/>
  <c r="L9" i="49" s="1"/>
  <c r="Q9" i="49" s="1"/>
  <c r="L8" i="49"/>
  <c r="K16" i="49" l="1"/>
  <c r="L16" i="49"/>
  <c r="Q16" i="49"/>
  <c r="E42" i="174" l="1"/>
  <c r="E41" i="174"/>
  <c r="E40" i="174"/>
  <c r="E39" i="174"/>
  <c r="E38" i="174"/>
  <c r="D37" i="174"/>
  <c r="C37" i="174"/>
  <c r="E36" i="174"/>
  <c r="D35" i="174"/>
  <c r="E35" i="174" s="1"/>
  <c r="C34" i="174"/>
  <c r="D33" i="174"/>
  <c r="C33" i="174"/>
  <c r="C22" i="174" s="1"/>
  <c r="E32" i="174"/>
  <c r="D31" i="174"/>
  <c r="E31" i="174" s="1"/>
  <c r="E30" i="174"/>
  <c r="E29" i="174"/>
  <c r="D28" i="174"/>
  <c r="E28" i="174" s="1"/>
  <c r="E27" i="174"/>
  <c r="D26" i="174"/>
  <c r="E26" i="174" s="1"/>
  <c r="E25" i="174"/>
  <c r="E24" i="174"/>
  <c r="E23" i="174"/>
  <c r="D21" i="174"/>
  <c r="E21" i="174" s="1"/>
  <c r="E20" i="174"/>
  <c r="D19" i="174"/>
  <c r="E19" i="174" s="1"/>
  <c r="E18" i="174"/>
  <c r="E17" i="174"/>
  <c r="C16" i="174"/>
  <c r="D8" i="174"/>
  <c r="D16" i="174" l="1"/>
  <c r="E16" i="174" s="1"/>
  <c r="E37" i="174"/>
  <c r="D22" i="174"/>
  <c r="E22" i="174" s="1"/>
  <c r="D34" i="174"/>
  <c r="E34" i="174" s="1"/>
  <c r="E33" i="174"/>
  <c r="C43" i="174"/>
  <c r="D43" i="174" l="1"/>
  <c r="E43" i="174" s="1"/>
  <c r="G31" i="153" l="1"/>
  <c r="D19" i="151"/>
  <c r="I12" i="147"/>
  <c r="K11" i="147"/>
  <c r="E11" i="147" s="1"/>
  <c r="K10" i="147"/>
  <c r="E10" i="147" s="1"/>
  <c r="F31" i="153" l="1"/>
  <c r="J12" i="147"/>
  <c r="E31" i="153"/>
  <c r="H42" i="115" l="1"/>
  <c r="H31" i="153"/>
  <c r="G42" i="115"/>
  <c r="K12" i="147"/>
  <c r="I42" i="115" l="1"/>
  <c r="J42" i="115" l="1"/>
</calcChain>
</file>

<file path=xl/comments1.xml><?xml version="1.0" encoding="utf-8"?>
<comments xmlns="http://schemas.openxmlformats.org/spreadsheetml/2006/main">
  <authors>
    <author>Eckert Szilvia</author>
  </authors>
  <commentList>
    <comment ref="E7" authorId="0" shapeId="0">
      <text>
        <r>
          <rPr>
            <b/>
            <sz val="9"/>
            <color indexed="81"/>
            <rFont val="Tahoma"/>
            <family val="2"/>
            <charset val="238"/>
          </rPr>
          <t>Eckert Szilvia:</t>
        </r>
        <r>
          <rPr>
            <sz val="9"/>
            <color indexed="81"/>
            <rFont val="Tahoma"/>
            <family val="2"/>
            <charset val="238"/>
          </rPr>
          <t xml:space="preserve">
Hivatalt és intézményeket is beletegyük?</t>
        </r>
      </text>
    </comment>
  </commentList>
</comments>
</file>

<file path=xl/sharedStrings.xml><?xml version="1.0" encoding="utf-8"?>
<sst xmlns="http://schemas.openxmlformats.org/spreadsheetml/2006/main" count="3020" uniqueCount="1099">
  <si>
    <t>adatok eFt-ban</t>
  </si>
  <si>
    <t>A</t>
  </si>
  <si>
    <t>C</t>
  </si>
  <si>
    <t>B</t>
  </si>
  <si>
    <t>D</t>
  </si>
  <si>
    <t>E</t>
  </si>
  <si>
    <t>Megnevezés</t>
  </si>
  <si>
    <t>Temetők üzemeltetésével kapcsolatos feladatok</t>
  </si>
  <si>
    <t>Parkfenntartás</t>
  </si>
  <si>
    <t>Köztisztasági feladatok</t>
  </si>
  <si>
    <t>Városi kiemelt fesztiválok</t>
  </si>
  <si>
    <t>Városi lap kiadásai</t>
  </si>
  <si>
    <t>Kitüntetések</t>
  </si>
  <si>
    <t>MINDÖSSZESEN:</t>
  </si>
  <si>
    <t>Veszprém Megyei Jogú Város Önkormányzata</t>
  </si>
  <si>
    <t>F</t>
  </si>
  <si>
    <t>G</t>
  </si>
  <si>
    <t>H</t>
  </si>
  <si>
    <t>Cím</t>
  </si>
  <si>
    <t>Alcím</t>
  </si>
  <si>
    <t>Feladatellátás jellege*</t>
  </si>
  <si>
    <t>Teljes költség</t>
  </si>
  <si>
    <t>Önkormányzati felújítási kiadások</t>
  </si>
  <si>
    <t>K</t>
  </si>
  <si>
    <t>NK</t>
  </si>
  <si>
    <t>Eötvös Károly Megyei Könyvtár</t>
  </si>
  <si>
    <t>VMJV Polgármesteri Hivatal</t>
  </si>
  <si>
    <t>* Feladatellátás jellege:</t>
  </si>
  <si>
    <t>K= Magyarország helyi önkormányzatairól szóló 2011. évi CLXXXIX. törvény 13. § (1) bekezdése szerinti kötelező feladatok</t>
  </si>
  <si>
    <t>NK= Önkormányzat által önként vállalt feladatok</t>
  </si>
  <si>
    <t>J</t>
  </si>
  <si>
    <t>Önkormányzati beruházási kiadások</t>
  </si>
  <si>
    <t>Laczkó Dezső Múzeum</t>
  </si>
  <si>
    <t>Informatikai kiadások</t>
  </si>
  <si>
    <t>I</t>
  </si>
  <si>
    <t>L</t>
  </si>
  <si>
    <t>M</t>
  </si>
  <si>
    <t>Működési költségvetési kiadások</t>
  </si>
  <si>
    <t>Személyi juttatások</t>
  </si>
  <si>
    <t>Munk.a. terh. jár. és szoc.hj.adó</t>
  </si>
  <si>
    <t>Dologi kiadások</t>
  </si>
  <si>
    <t>Egyéb működési kiadások</t>
  </si>
  <si>
    <t>Nemzeti ünnepek kiadásaira</t>
  </si>
  <si>
    <t>Közművelődési szolgált.</t>
  </si>
  <si>
    <t>Nemzetközi kapcsolatok</t>
  </si>
  <si>
    <t>Marketing tevékenység, marketing stratégia</t>
  </si>
  <si>
    <t>ebből: - Veszprémi Ünnepi Játékok</t>
  </si>
  <si>
    <t xml:space="preserve">          - Gizella Napok</t>
  </si>
  <si>
    <t xml:space="preserve">          - Tánc Fesztivál </t>
  </si>
  <si>
    <t xml:space="preserve">          - Veszprémi Utcazene Fesztivál</t>
  </si>
  <si>
    <t xml:space="preserve">          - Auer Hegedűfesztivál</t>
  </si>
  <si>
    <t>Eseti rendezvények</t>
  </si>
  <si>
    <t>Köztéri szobrok, emléktáblák, lektorátus</t>
  </si>
  <si>
    <t>I. Világháborús Centenáriumi Emlékezés költségei</t>
  </si>
  <si>
    <t>Kiadványok, folyóiratok támogatása</t>
  </si>
  <si>
    <t>Méz Rádió támogatása</t>
  </si>
  <si>
    <t>ebből: - Mendelssohn Kamarazenekar</t>
  </si>
  <si>
    <t xml:space="preserve"> - Veszprém Város Vegyeskara</t>
  </si>
  <si>
    <t xml:space="preserve"> - Veszprémi Táncegyüttesért Alapítvány</t>
  </si>
  <si>
    <t xml:space="preserve"> - Liszt F. Kórus</t>
  </si>
  <si>
    <t>Szaléziánum támogatása</t>
  </si>
  <si>
    <t>Sziveri János Intézet működtetése</t>
  </si>
  <si>
    <t>Filharmónia koncertek támogatás</t>
  </si>
  <si>
    <t>Tanórán kívüli tevékenység támogatása</t>
  </si>
  <si>
    <t>Verseny és élsport</t>
  </si>
  <si>
    <t>Sportpálya fenntartás, ill. fenntartói tám.</t>
  </si>
  <si>
    <t>Sportcélok és feladatok (sportigazgatás)</t>
  </si>
  <si>
    <t>Szabadidő- és diáksport</t>
  </si>
  <si>
    <t>Polgármesteri keret</t>
  </si>
  <si>
    <t>Városi civil keret</t>
  </si>
  <si>
    <t xml:space="preserve"> ebből : - Nyugdíjas szervezetek számára pályázati keret</t>
  </si>
  <si>
    <t xml:space="preserve">            - Pályázati keret</t>
  </si>
  <si>
    <t>Köztemetés</t>
  </si>
  <si>
    <t xml:space="preserve">Közcélú és közhasznú foglalkoztatás </t>
  </si>
  <si>
    <t>Települési szilárdhulladék szállítás ártámogatás</t>
  </si>
  <si>
    <t>Máltai Szeretetszolgálatnak pénzeszköz átadás (ellátási szerződés)</t>
  </si>
  <si>
    <t>Lelkisegély szolgálat</t>
  </si>
  <si>
    <t>Hittudományi Főiskola támogatása</t>
  </si>
  <si>
    <t>Foglalkoztatás eü. szolg.</t>
  </si>
  <si>
    <t>Munkavédelmi feladatok</t>
  </si>
  <si>
    <t>Közbeszerzési eljárások költségei</t>
  </si>
  <si>
    <t xml:space="preserve">Önkormányzat igazgatási tevékenysége </t>
  </si>
  <si>
    <t>Igazgatás - Állam felé befizetési kötelezettség</t>
  </si>
  <si>
    <t>ÁFA befizetés</t>
  </si>
  <si>
    <t>Kamatkiadások</t>
  </si>
  <si>
    <t>Városi Közbiztonság Keret</t>
  </si>
  <si>
    <t>Nem lakáscélú helyiségek üzemeltetési költségei</t>
  </si>
  <si>
    <t>Közüzemi Zrt. jutaléka</t>
  </si>
  <si>
    <t>Városi TV közszolgálati műsorok támogatása</t>
  </si>
  <si>
    <t>Kittenberger K. Növény- és Vadaspark KHT működéséhez hozzájárulás</t>
  </si>
  <si>
    <t>Peres ügyek, Kártérítési díjak kifizetése ingatlantulajdonosok részére</t>
  </si>
  <si>
    <t>Jutasi úti műfüves pálya fenntartása (LUC)</t>
  </si>
  <si>
    <t>Többfunkciós csarnok szolgált. vásárlás</t>
  </si>
  <si>
    <t>TDM Irodától szolgáltatás vásárlása</t>
  </si>
  <si>
    <t>Programiroda szolgáltatás vásárlás</t>
  </si>
  <si>
    <t>Településfejlesztési feladatok</t>
  </si>
  <si>
    <t>Rekultivációt megelőző telephely fenntartási költség</t>
  </si>
  <si>
    <t>Aluljárók csapadékvíz átemelőinek üzemeltetése</t>
  </si>
  <si>
    <t>Szökőkutak, ivókutak szolgáltatási díjai</t>
  </si>
  <si>
    <t>Városgazdálkodási szolg.</t>
  </si>
  <si>
    <t>Közvilágítás</t>
  </si>
  <si>
    <t>Közműalagút működtetése</t>
  </si>
  <si>
    <t>Környezetvédelmi feladat (Városüzemeltetés feladatai)</t>
  </si>
  <si>
    <t>Környezetvédelmi feladat (Közigazgatási Iroda feladatai)</t>
  </si>
  <si>
    <t>Nemzetiségi önkormányzatok kiadásai:</t>
  </si>
  <si>
    <t xml:space="preserve"> ebből: - Roma Nemzetiségi Önkormányzat</t>
  </si>
  <si>
    <t>- Német Nemzetiségi Önkormányzat</t>
  </si>
  <si>
    <t>- Örmény Nemzetiségi Önkormányzat</t>
  </si>
  <si>
    <t>- Lengyel Nemzetiségi Önkormányzat</t>
  </si>
  <si>
    <t>- Ukrán Nemzetiségi Önkormányzat</t>
  </si>
  <si>
    <t>Választókerületi keretből civil szervezetek támogatása</t>
  </si>
  <si>
    <t>Ebből: Önkormányzat által ellátott kötelező feladatok összesen:</t>
  </si>
  <si>
    <t>Ebből: Önkormányzat által ellátott önként vállalt feladatok összesen:</t>
  </si>
  <si>
    <t>KIMUTATÁS</t>
  </si>
  <si>
    <t>Módosítás</t>
  </si>
  <si>
    <t>Megjegyzés</t>
  </si>
  <si>
    <t>Göllesz Viktor Fogyatékos Személyek Nappali Intézménye</t>
  </si>
  <si>
    <t>Intézmények összesen:</t>
  </si>
  <si>
    <t>VMJV Önkormányzata</t>
  </si>
  <si>
    <t>ebből:</t>
  </si>
  <si>
    <t>Összesen</t>
  </si>
  <si>
    <t>1.</t>
  </si>
  <si>
    <t>Iparűzési adó</t>
  </si>
  <si>
    <t>Építményadó</t>
  </si>
  <si>
    <t>Telekadó</t>
  </si>
  <si>
    <t>Kommunális adó</t>
  </si>
  <si>
    <t>Idegenforgalmi adó</t>
  </si>
  <si>
    <t>Gépjárműadó</t>
  </si>
  <si>
    <t>2.</t>
  </si>
  <si>
    <t>3.</t>
  </si>
  <si>
    <t>4.</t>
  </si>
  <si>
    <t>5.</t>
  </si>
  <si>
    <t>Összesen:</t>
  </si>
  <si>
    <t>Veszprém Megyei Jogú Város Önkormányzata Intézményei</t>
  </si>
  <si>
    <t>Működési költségvetési bevételek</t>
  </si>
  <si>
    <t>Felhalmozási költségvetési bevételek</t>
  </si>
  <si>
    <t>Irányító szervtől kapott támogatás</t>
  </si>
  <si>
    <t>Működési bevételek</t>
  </si>
  <si>
    <t>Működési célú támogatás Áht-on belülről</t>
  </si>
  <si>
    <t>Működési célú átvett pénzeszköz</t>
  </si>
  <si>
    <t>Felhalmozási bevétel</t>
  </si>
  <si>
    <t>Felhalmozási célú támogatás Áht.-on belülről</t>
  </si>
  <si>
    <t>Felhalmozási célú átvett pénzeszköz</t>
  </si>
  <si>
    <t>Közcélú és közhasznú foglalkoztatás</t>
  </si>
  <si>
    <t>(Ringató Óvoda, Erdei Tagóvoda, Kuckó Tagóvoda)</t>
  </si>
  <si>
    <t>(Egry ltp. Óvoda, Nárcisz Tagóvoda)</t>
  </si>
  <si>
    <t>(Csillag úti Óvoda, Cholnoky ltp. Óvoda)</t>
  </si>
  <si>
    <t>(Kastélykert Óvoda, Ficánka Óvoda)</t>
  </si>
  <si>
    <t>Veszprémi Petőfi Színház</t>
  </si>
  <si>
    <t>INTÉZMÉNYEK ÖSSZESEN:</t>
  </si>
  <si>
    <t>VMJV Polgármesteri Hivatal által ellátott kötelező és önként vállalt feladatok</t>
  </si>
  <si>
    <t>N</t>
  </si>
  <si>
    <t>O</t>
  </si>
  <si>
    <t>P</t>
  </si>
  <si>
    <t>Felhalmozási költségvetési kiadások</t>
  </si>
  <si>
    <t>Egyéb felhalmozási célú kiadások</t>
  </si>
  <si>
    <t>Igazgatási tevékenység</t>
  </si>
  <si>
    <t>Gondnokság</t>
  </si>
  <si>
    <t>Ebből:</t>
  </si>
  <si>
    <t>Önkormányzati kötelező feladatokat ellátó intézmények összesen</t>
  </si>
  <si>
    <t>Önkormányzat által önként vállalt feladatokat ellátó intézmények összesen</t>
  </si>
  <si>
    <t>VMJV Polgármesteri Hivatal által ellátott kötelező és államigazgatási feladatok összesen</t>
  </si>
  <si>
    <t>Veszprém Megyei Jogú Város Önkormányzatának</t>
  </si>
  <si>
    <t>Működési célú támogatások Áht-on belülről</t>
  </si>
  <si>
    <t>Önkormányzatok működési támogatásai</t>
  </si>
  <si>
    <t>Működési célú költségvetési támogatások és kiegészítő támogatások</t>
  </si>
  <si>
    <t>Egyéb működési célú támogatások bevételei</t>
  </si>
  <si>
    <t>ebből: Társadalombizt. Alapból származó támogatás</t>
  </si>
  <si>
    <t>Önkormányzati Intézmények  működési célú támogatások Áht-on belülről</t>
  </si>
  <si>
    <t>Közhatalmi bevételek</t>
  </si>
  <si>
    <t>Adók</t>
  </si>
  <si>
    <t>Egyéb pótlékok, bírságok</t>
  </si>
  <si>
    <t>Egyéb közhatalmi bevételek (bírságok, igazgatási szolgáltatási díjak)</t>
  </si>
  <si>
    <t>Önkormányzati Intézmények működési bevételek</t>
  </si>
  <si>
    <t>Működési célú átvett pénzeszközök</t>
  </si>
  <si>
    <t>Önkormányzati Intézmények működési célú átvett pénzeszközök</t>
  </si>
  <si>
    <t>Felhalmozási célú támogatások Áht-on belülről</t>
  </si>
  <si>
    <t>Felhalmozási célú önkormányzati támogatások</t>
  </si>
  <si>
    <t>Egyéb felhalmozási célú támogatások bevételei</t>
  </si>
  <si>
    <t>Önkormányzati Intézmények felhalmozási célú támogatások Áht-on belülről</t>
  </si>
  <si>
    <t>Felhalmozási bevételek</t>
  </si>
  <si>
    <t>Ingatlanok értékesítése</t>
  </si>
  <si>
    <t>Önkormányzati Intézmények felhalmozási bevételei</t>
  </si>
  <si>
    <t>Felhalmozási célú átvett pénzeszközök</t>
  </si>
  <si>
    <t>Önkormányzati Intézmények felhalmozási célú átvett pénzeszközök</t>
  </si>
  <si>
    <t>Lakásalap</t>
  </si>
  <si>
    <t>Költségvetési bevételek összesen</t>
  </si>
  <si>
    <t>Költségvetési egyenleg összege</t>
  </si>
  <si>
    <t>Finanszírozási bevételek</t>
  </si>
  <si>
    <t>Intézmények</t>
  </si>
  <si>
    <t>VMJV Polgármesteri Hivatala</t>
  </si>
  <si>
    <t>Beruházási hitelfelvétel</t>
  </si>
  <si>
    <t>Előző évi hitelszerződéseken alapuló felvétel</t>
  </si>
  <si>
    <t>Bevételi főösszeg</t>
  </si>
  <si>
    <t xml:space="preserve">Cím  </t>
  </si>
  <si>
    <t>Intézményi költségvetési kiadások</t>
  </si>
  <si>
    <t>Céltartalékok</t>
  </si>
  <si>
    <t>Általános tartalék</t>
  </si>
  <si>
    <t>Lakásalap kiadása</t>
  </si>
  <si>
    <t>Költségvetési kiadások összesen</t>
  </si>
  <si>
    <t>Finanszírozási kiadások</t>
  </si>
  <si>
    <t>Működési finanszírozási kiadások</t>
  </si>
  <si>
    <t>Felhalmozási finanszírozási kiadások</t>
  </si>
  <si>
    <t xml:space="preserve"> - Hiteltörlesztés</t>
  </si>
  <si>
    <t xml:space="preserve"> - Lakásalap hiteltörlesztése</t>
  </si>
  <si>
    <t>Kiadási főösszeg</t>
  </si>
  <si>
    <t>VESZPRÉM MEGYEI JOGÚ VÁROS ÖNKORMÁNYZATÁNAK MŰKÖDÉSI ÉS FELHALMOZÁSI</t>
  </si>
  <si>
    <t>MŰKÖDÉSI KÖLTSÉGVETÉSI BEVÉTELEK</t>
  </si>
  <si>
    <t>MŰKÖDÉSI KÖLTSÉGVETÉSI KIADÁSOK</t>
  </si>
  <si>
    <t>Működési célú támogatások államháztartáson belülről</t>
  </si>
  <si>
    <t>Munkaadókat terhelő járulékok és szociális hozzájárulási adó</t>
  </si>
  <si>
    <t>Ellátottak pénzbeli juttatásai</t>
  </si>
  <si>
    <t>Egyéb működési célú kiadások (tartalékok nélkül)</t>
  </si>
  <si>
    <t>6.</t>
  </si>
  <si>
    <t>Működési költségvetési bevételek összesen</t>
  </si>
  <si>
    <t>Működési költségvetési kiadások összesen</t>
  </si>
  <si>
    <t>FELHALMOZÁSI KÖLTSÉGVETÉSI BEVÉTELEK</t>
  </si>
  <si>
    <t>FELHALMOZÁSI KÖLTSÉGVETÉSI KIADÁSOK</t>
  </si>
  <si>
    <t>Felhalmozási célú támogatások államháztartáson belülről</t>
  </si>
  <si>
    <t>Beruházási kiadások</t>
  </si>
  <si>
    <t>Felújítási kiadások</t>
  </si>
  <si>
    <t>Felhalmozási költségvetési bevételek összesen</t>
  </si>
  <si>
    <t>Felhalmozási költségvetési kiadások összesen</t>
  </si>
  <si>
    <t>MŰKÖDÉSI FINANSZÍROZÁSI BEVÉTELEK</t>
  </si>
  <si>
    <t>MŰKÖDÉSI FINANSZÍROZÁSI KIADÁSOK</t>
  </si>
  <si>
    <t>Rövid lejáratú hitel felvétele</t>
  </si>
  <si>
    <t>Rövid lejáratú hitel tőkeösszegének törlesztése</t>
  </si>
  <si>
    <t>FELHALMOZÁSI FINANSZÍROZÁSI BEVÉTELEK</t>
  </si>
  <si>
    <t>FELHALMOZÁSI FINANSZÍROZÁSI KIADÁSOK</t>
  </si>
  <si>
    <t>Hosszú lejáratú hitel felvétele</t>
  </si>
  <si>
    <t>Hosszú lejáratú hitel tőkeösszegének törlesztése</t>
  </si>
  <si>
    <t>Finanszírozási bevételek összesen</t>
  </si>
  <si>
    <t>Finanszírozási kiadások összesen</t>
  </si>
  <si>
    <t>ÖSSZES BEVÉTEL</t>
  </si>
  <si>
    <t>ÖSSZES KIADÁS</t>
  </si>
  <si>
    <t>ebből működési:</t>
  </si>
  <si>
    <t>ebből felhalmozási:</t>
  </si>
  <si>
    <t>Finanszírozási kiadásokkal korrigált hiány összege</t>
  </si>
  <si>
    <t>Működési bevételek aránya %-ban</t>
  </si>
  <si>
    <t>Működési kiadások aránya %-ban</t>
  </si>
  <si>
    <t>Felhalmozási bevételek aránya %-ban</t>
  </si>
  <si>
    <t>Felhalmozási kiadások aránya %-ban</t>
  </si>
  <si>
    <t xml:space="preserve"> </t>
  </si>
  <si>
    <t>Közfoglalkoztatottak létszáma</t>
  </si>
  <si>
    <t>I.</t>
  </si>
  <si>
    <t>Kiemelt művészeti együttesek támogatása</t>
  </si>
  <si>
    <t>Swing-Swing Kft. Szolgáltatás vásárlás</t>
  </si>
  <si>
    <t>Bérleményekkel, haszonbérletekkel kapcsolatos feladatok</t>
  </si>
  <si>
    <t>Csapadékcsatornák üzemeltetési szolgáltatásai</t>
  </si>
  <si>
    <t>Felhalmozási célú átvett pénzeszközök (kölcsönök visszatérülése)</t>
  </si>
  <si>
    <t>Felhalmozási célú költségvetési maradvány igénybevétele</t>
  </si>
  <si>
    <t>Működési célú  költségvetési maradvány igénybevétele</t>
  </si>
  <si>
    <t>Előző évi  költségvetési maradvány</t>
  </si>
  <si>
    <t>Államháztartáson belüli megelőlegezések</t>
  </si>
  <si>
    <t>Államháztartáson belüli megelőlegezések visszafizetése</t>
  </si>
  <si>
    <t>Veszprémi Ringató Körzeti Óvoda</t>
  </si>
  <si>
    <t>Veszprémi Egry úti Körzeti Óvoda</t>
  </si>
  <si>
    <t>Veszprémi Csillag úti Körzeti Óvoda</t>
  </si>
  <si>
    <t>Veszprémi Kastélykert Körzeti Óvoda</t>
  </si>
  <si>
    <t>Veszprémi Intézményi Szolgáltató Szervezet</t>
  </si>
  <si>
    <t>Nyári diákmunka</t>
  </si>
  <si>
    <t>Pannon Várszínház támogatás</t>
  </si>
  <si>
    <t>Végleges forgalomba helyezéshez szükséges ingatlanrendezés</t>
  </si>
  <si>
    <t>Pápai u.-Jutasi u. belső krt mellékkötelezettségek</t>
  </si>
  <si>
    <t>Városi rendezvények</t>
  </si>
  <si>
    <t>SÉD folyóirat költségei</t>
  </si>
  <si>
    <t>M.J.V.SZ. tám. Kárpátalja megsegítésére</t>
  </si>
  <si>
    <t>ebből:  - Lélektér Alapítvány</t>
  </si>
  <si>
    <t xml:space="preserve">           - Tanulmányi ösztöndíj</t>
  </si>
  <si>
    <t xml:space="preserve">           - Fiatalok napja rendezvény</t>
  </si>
  <si>
    <t>Lakbértámogatás</t>
  </si>
  <si>
    <t>Települési támogatások</t>
  </si>
  <si>
    <t>Parkolók üzemeltetési költsége</t>
  </si>
  <si>
    <t>ebből: - Vár Ucca Műhely támogatása</t>
  </si>
  <si>
    <t xml:space="preserve">          - Veszprémi Szemle Várostörténeti Közhasznú Alapítvány Támogatása</t>
  </si>
  <si>
    <t>ebből:  - Rendkívüli támogatás</t>
  </si>
  <si>
    <t>Közfoglalkoztatottak és diákmunkások létszáma</t>
  </si>
  <si>
    <t>Egészségügyi feladatok ellátását szolgáló ingatlanrész bérleti díja és rezsiköltségek</t>
  </si>
  <si>
    <t>Szolgáltatások, közvetített szolgáltatások ellenértéke</t>
  </si>
  <si>
    <t>Tulajdonosi bevételek</t>
  </si>
  <si>
    <t>ÁFA bevételek és visszatérülések</t>
  </si>
  <si>
    <t xml:space="preserve">Egyéb működési  bevételek </t>
  </si>
  <si>
    <t>Helyi önkormányzatok működésének általános  és ágazati feladataihoz kapcsolódó támogatás</t>
  </si>
  <si>
    <t>Költségvetési hiány belső finanszírozására szolgáló bevételek</t>
  </si>
  <si>
    <t>Költségvetési hiány külső finanszírozására szolgáló bevételek</t>
  </si>
  <si>
    <t>Feladatellátás jellege</t>
  </si>
  <si>
    <t>Egyéb városüzemeltetési feladatok</t>
  </si>
  <si>
    <t>VKSZ Zrt. által ellátott városüzemeltetési feladatok</t>
  </si>
  <si>
    <t>VKSZ Zrt. által ellátott intézményüzemeltetési feladatok</t>
  </si>
  <si>
    <t>Intézményi működtetők költsége</t>
  </si>
  <si>
    <t>Szenvedélybetegek ellátásának működési kiadásaihoz támogatás</t>
  </si>
  <si>
    <t>Költségvetési maradvány</t>
  </si>
  <si>
    <t>eredeti előirányzat</t>
  </si>
  <si>
    <t>(Hársfa Tagóvoda, Bóbita Óvoda)</t>
  </si>
  <si>
    <t>Veszprémi Bóbita Körzeti Óvoda</t>
  </si>
  <si>
    <t>Veszprémi Vadvirág Körzeti Óvoda</t>
  </si>
  <si>
    <t>Bérlakások üzemeltetési költségei</t>
  </si>
  <si>
    <t>Veszprém Megyei Jogú Város Önkormányzata által</t>
  </si>
  <si>
    <t>Támogatás összege</t>
  </si>
  <si>
    <t>Veszprémi Ifjúsági Közalapítvány</t>
  </si>
  <si>
    <t>17</t>
  </si>
  <si>
    <t>Vagyongazdálkodással és ingatlanhasznosítással összefüggő fel. (Földhivatali eljárások, vagyonértékelés)</t>
  </si>
  <si>
    <t>Alapítvány / egyesület / civil szervezet / társadalmi szervezet megnevezése</t>
  </si>
  <si>
    <t>Gizella Múzeum támogatása</t>
  </si>
  <si>
    <t>Polgármester, Alpolgármesterek</t>
  </si>
  <si>
    <t>Változás %-a</t>
  </si>
  <si>
    <t>Óvodaműködtetési támogatás</t>
  </si>
  <si>
    <t>Szociális étkeztetés</t>
  </si>
  <si>
    <t>Házi segítségnyújtás</t>
  </si>
  <si>
    <t>Időskorúak nappali intézményi ellátása</t>
  </si>
  <si>
    <t>Idősek átmeneti és tartós szociális szakosított ellátásának támogatása</t>
  </si>
  <si>
    <t>Rászoruló gyermekek intézményen kívüli szünidei étkeztetése</t>
  </si>
  <si>
    <t>Megyei hatáskörű városi múzeumok  feladatainak támogatása</t>
  </si>
  <si>
    <t>Megyei könyvtárak feladatainak támogatása</t>
  </si>
  <si>
    <t>Megyeszékhely megyei jogú városok közművelődési támogatása</t>
  </si>
  <si>
    <t>Megyei könyvtár kistelepülési könyvtári célú kiegészítő támogatása</t>
  </si>
  <si>
    <t>Zenekarok támogatása</t>
  </si>
  <si>
    <t>(Csillagvár Waldorf Tagóvoda, Vadvirág Óvoda)</t>
  </si>
  <si>
    <t>tájékoztató jelleggel az Áht. 24.§ (4) bekezdés b) pontja alapján</t>
  </si>
  <si>
    <t>Sorszám</t>
  </si>
  <si>
    <t>hiteltörlesztésének, hitelállományának és egyéb kötelezettségeinek alakulásáról</t>
  </si>
  <si>
    <t>Q</t>
  </si>
  <si>
    <t>Hitel megnevezése</t>
  </si>
  <si>
    <t>Hitelt nyújtó pénzintézet</t>
  </si>
  <si>
    <t>Hitelszerződés dátuma</t>
  </si>
  <si>
    <t>Lejárat idő- pontja</t>
  </si>
  <si>
    <t>Hitelkeret</t>
  </si>
  <si>
    <t>OTP Bank</t>
  </si>
  <si>
    <t>Beruházási hitel - SMO 2011.</t>
  </si>
  <si>
    <t>UniCredit Bank</t>
  </si>
  <si>
    <t>Beruházási hitel - MFB 2013.</t>
  </si>
  <si>
    <t>Takarékbank</t>
  </si>
  <si>
    <t>7.</t>
  </si>
  <si>
    <t>Pénzintézetekkel szemben fenálló kötelezettségek összesen</t>
  </si>
  <si>
    <t xml:space="preserve">                  </t>
  </si>
  <si>
    <t>tájékoztató jelleggel az Áht. 24. § (4) bekezdés c) pontja alapján</t>
  </si>
  <si>
    <t>Törvények és helyi rendeletek által nyújtott mentességek, kedvezmények</t>
  </si>
  <si>
    <t>Közvetett támogatás  ezer Forintban</t>
  </si>
  <si>
    <t>Adóhivatal:</t>
  </si>
  <si>
    <t>Ellátottak térítési díjának, illetve kártérítésének méltányossági alapon történő elengedésének összege</t>
  </si>
  <si>
    <t>Lakosság részére lakásépítéshez, lakásfelújításhoz nyújtott kölcsönök elengedésének összege</t>
  </si>
  <si>
    <t>Helyiségek, eszközök hasznosításából származó bevételből nyújtott kedvezmény, mentesség összege</t>
  </si>
  <si>
    <t>Egyéb nyújtott kedvezmény, vagy kölcsön elengedésének összege</t>
  </si>
  <si>
    <t>Veszprémi Bölcsődei és Egészségügyi Alapellátási Integrált Intézmény</t>
  </si>
  <si>
    <t xml:space="preserve"> - Gizella Kórus/Dowland Alapítvány</t>
  </si>
  <si>
    <t xml:space="preserve">Központi orvosi ügyelet </t>
  </si>
  <si>
    <t>TOP-6.2.1-15-VP1-2016-00002 Gyulafirátóti óvoda újjáépítése</t>
  </si>
  <si>
    <t>ELENA projekt előkészítési feladatokra konzorciumi hozzájárulás</t>
  </si>
  <si>
    <t xml:space="preserve">           - Veszprémi Ifjúsági Közalapítvány</t>
  </si>
  <si>
    <t>Mendelssohn Kamarazenekar</t>
  </si>
  <si>
    <t xml:space="preserve"> Európai Uniós forrásból finanszírozott támogatással megvalósuló programok, projektek bevételeiről és kiadásairól az Ávr. 24. § (1) bekezdés a.) és bd.) pontjainak megfelelően</t>
  </si>
  <si>
    <t>Program megnevezés</t>
  </si>
  <si>
    <t>Program megvalósításának ideje</t>
  </si>
  <si>
    <t>Saját erő</t>
  </si>
  <si>
    <t>EU támogatás összesen</t>
  </si>
  <si>
    <t>EU támogatás</t>
  </si>
  <si>
    <t xml:space="preserve">Család- és gyermekjóléti szolgálat </t>
  </si>
  <si>
    <t>Család- és gyermekjóléti központ</t>
  </si>
  <si>
    <t>Fogyatékos személyek nappali intézményi ellátása</t>
  </si>
  <si>
    <t>Demens személyek nappali intézményi ellátása</t>
  </si>
  <si>
    <t>VMJV Önkormányzat</t>
  </si>
  <si>
    <t xml:space="preserve">Veszprémi Bóbita Körzeti Óvoda </t>
  </si>
  <si>
    <r>
      <t>Ebből</t>
    </r>
    <r>
      <rPr>
        <i/>
        <sz val="10"/>
        <rFont val="Palatino Linotype"/>
        <family val="1"/>
        <charset val="238"/>
      </rPr>
      <t>: költségvetési támogatás</t>
    </r>
  </si>
  <si>
    <t>Veszprémi Vadvirág Körzeti Óvoda                                                (Csillagvár Waldorf Tagóvoda, Vadvirág Óvoda)</t>
  </si>
  <si>
    <t>Veszprémi Kastélykert Körzeti Óvoda                                       (Kastélykert Óvoda, Ficánka Óvoda)</t>
  </si>
  <si>
    <t xml:space="preserve">B </t>
  </si>
  <si>
    <t>Projekt forrás összetétel</t>
  </si>
  <si>
    <t>Projekt költség megbontás</t>
  </si>
  <si>
    <t>2016. évi            tény</t>
  </si>
  <si>
    <t>2016. évi                tény</t>
  </si>
  <si>
    <t>1-16</t>
  </si>
  <si>
    <t>Rövid lejáratú hitel (1500M Ft)</t>
  </si>
  <si>
    <t>Beruházási hitel  - MFB 2014</t>
  </si>
  <si>
    <t>Beruházási hitel - Célhitel 2014</t>
  </si>
  <si>
    <t>a Veszprém Megyei Jogú Város Önkormányzata Támogatási Szerződéssel rendelkező</t>
  </si>
  <si>
    <t>Eü. Alapellátás</t>
  </si>
  <si>
    <t>Megyei Könyvtár kistelepülési könyvtári és közművelődési célú kiegészítő állami támogatás</t>
  </si>
  <si>
    <t>Gépkocsi gumiabroncs beszerzés</t>
  </si>
  <si>
    <t>Mihály-napi búcsú</t>
  </si>
  <si>
    <t>Stadion üzemeltetése</t>
  </si>
  <si>
    <t>Városi ifjúsági keret</t>
  </si>
  <si>
    <t>Rendszeres gyermekvédelmi kedvezmény/pénzbeli ellátás</t>
  </si>
  <si>
    <t>Szünidei gyermekétkeztetés</t>
  </si>
  <si>
    <t xml:space="preserve">          - Lakásfenntartási támogatás </t>
  </si>
  <si>
    <t xml:space="preserve">          - Albérleti támogatás</t>
  </si>
  <si>
    <t xml:space="preserve">          - Temetési támogatás</t>
  </si>
  <si>
    <t xml:space="preserve">          - Térítési díj</t>
  </si>
  <si>
    <t xml:space="preserve">          - Gyógyszertámogatás</t>
  </si>
  <si>
    <t xml:space="preserve">         - Adósságcsökkentési támogatás</t>
  </si>
  <si>
    <t xml:space="preserve">         - Szünidei gyermekétkeztetés</t>
  </si>
  <si>
    <t>Nevelési szolgáltatás</t>
  </si>
  <si>
    <t>Német Nemzetiségi Önk. helységének bérleti díja</t>
  </si>
  <si>
    <t>Szolidaritási hozzájárulás</t>
  </si>
  <si>
    <t xml:space="preserve">Észak-Nyugati Közlekedési Központ Zrt. Helyi közösségi közlekedés közszolgáltatás és veszteségkiegyenlítés </t>
  </si>
  <si>
    <t>Térinformatikai rendszer adatfeltöltés, fakataszter</t>
  </si>
  <si>
    <t>TOP-6.4.1-15-VP1-2016-00001"Közlekedésbiztonsági és kerékpárosbarát fejlesztések megvalósulása Veszprém város területén"</t>
  </si>
  <si>
    <t>DAT térképfrissítés, földkönyv, közműnyilvántartás, GPS</t>
  </si>
  <si>
    <t>Hiány finanszírozása belső finanszírozásra szolgáló költségvetési bevétel összegével</t>
  </si>
  <si>
    <t>Hiány finanszírozása külső finanszírozásra szolgáló költségvetési bevétel összegével</t>
  </si>
  <si>
    <t>DTP1-1-311-2.2 Interreg Duna Nemzetközi Program Networld*</t>
  </si>
  <si>
    <t>KÖFOP-1.2.1-VEKOP-16-2017-01268, Veszprém Megyei Jogú Város Önkormányzata ASP Központhoz való csatlakozása</t>
  </si>
  <si>
    <t>Csillagvár Waldorf Tagóvoda</t>
  </si>
  <si>
    <t>Hársfa Tagóvoda</t>
  </si>
  <si>
    <t>Nárcisz Tagóvoda</t>
  </si>
  <si>
    <t>Cholnoky Jenő Ltp. Tagóvoda</t>
  </si>
  <si>
    <t>Ficánka Tagóvoda</t>
  </si>
  <si>
    <t>Hóvirág Bölcsőde</t>
  </si>
  <si>
    <t>Vackor Bölcsőde</t>
  </si>
  <si>
    <t>Aprófalvi Bölcsőde</t>
  </si>
  <si>
    <t>Módszertani Bölcsőde</t>
  </si>
  <si>
    <t>Fogorvosi körzeteknek működési hozzájárulás</t>
  </si>
  <si>
    <t>Fogorvosi körzetek részére pályázati alap</t>
  </si>
  <si>
    <t>Állatmenhelyek támogatása</t>
  </si>
  <si>
    <t>Helikoni Ünnepségek Keszthelyen (diákok nevezési díjai)</t>
  </si>
  <si>
    <t>Hatósági engedélyek beszerzése, hatályban tartása</t>
  </si>
  <si>
    <t>Gyulafirátót 10089/4 hrsz-ú ingatlan közműfejlesztési költségei</t>
  </si>
  <si>
    <t>TOP-6.3.3-16-VP1-2017-00001 Dózsaváros, Pápai úti csapadékvíz-elvezető rendszer fejlesztése</t>
  </si>
  <si>
    <t>EFOP-1.9.9-17-2017-00004 Még jobb kezekben - Veszprémben</t>
  </si>
  <si>
    <t>Veszprém, Pápai út 37. szám alatti ingatlanon munkásszállás kialakítása</t>
  </si>
  <si>
    <t>Gyulafirátót Németh u. útrekonstrukció I. ütem csapadékvíz elvezetés</t>
  </si>
  <si>
    <t>Török I.u. - Aulich összekötés</t>
  </si>
  <si>
    <t>Máltai Szeretetszolgálat</t>
  </si>
  <si>
    <t>Kulturális kínálat bővítés/ amatőr művészeti csoportok támogatása</t>
  </si>
  <si>
    <t>Tőke-törlesztés 2021</t>
  </si>
  <si>
    <t>Kamat 2021</t>
  </si>
  <si>
    <t>Veszprémi Kistérségi Társulásnak pénzeszköz átadás (Egyesített Szoc.Int.)</t>
  </si>
  <si>
    <t>Közutak, hidak fenntartása</t>
  </si>
  <si>
    <t xml:space="preserve"> - Viziközmű fejlesztés</t>
  </si>
  <si>
    <t>Művészetek Háza Veszprém Művelődési Ház és Kiállítóhely</t>
  </si>
  <si>
    <t>Kabóca Bábszínház</t>
  </si>
  <si>
    <t xml:space="preserve">Kabóca Bábszínház </t>
  </si>
  <si>
    <t>2017. évi tény</t>
  </si>
  <si>
    <t>TOP-6.6.1-16-VP1-2017-00002 Kádártai rendelő felújítása</t>
  </si>
  <si>
    <t>601835-CITIZ-1-2018-1-HU-CITIZ-NT Reveal YouropEaN Cultural Heritage/Tárd fel  európai kulturális örökségedet (ENriCH)</t>
  </si>
  <si>
    <t>TOP-6.4.1-15-VP1-2016-00001 Közlekedésbiztonsági és kerékpárosbarát fejlesztések megvalósulása Veszprém város területén</t>
  </si>
  <si>
    <t>Veszprémi Családsegítő és Gyermekjóléti Integrált Intézmény</t>
  </si>
  <si>
    <t>Agóra Veszprém Kulturális Központ</t>
  </si>
  <si>
    <t xml:space="preserve">Agóra Veszprém Kulturális Központ </t>
  </si>
  <si>
    <t>1-17</t>
  </si>
  <si>
    <t>18</t>
  </si>
  <si>
    <t>Nemzetiségi pótlék</t>
  </si>
  <si>
    <t>Óvodai és iskolaiszociális segítő tevékenység támogatása</t>
  </si>
  <si>
    <t>Napsugár Bölcsőde</t>
  </si>
  <si>
    <t>TOP-6.4.1-16-VP1-2018-00002 Kerékpárút építése Márkó-Bánd települések irányába</t>
  </si>
  <si>
    <t>Veszprém Város Vegyeskar utánpótlás/Dúdoló Kórus</t>
  </si>
  <si>
    <t>Oktatási intézmények támogatása</t>
  </si>
  <si>
    <t>Téli rezsicsökkentésben nem részesültek egyszeri támogatása</t>
  </si>
  <si>
    <t>VESZOL - Veszprém, Pápai u. 37. sz. munkásszálló működetési feladatai</t>
  </si>
  <si>
    <t>MVP Veszprémi Zeneművészeti Szakgimnázium és Alapfokú Művészeti Iskola intézményegysége, a Csermák Antal Zeneiskola felújításához tartozó költöztetési feladatok elvégzése</t>
  </si>
  <si>
    <t>TOP orvosi rendelők felújításához tartozó költöztetési munkák</t>
  </si>
  <si>
    <t>Felújításra kerülő bölcsődék költöztetési, eszközszállítási feladatai</t>
  </si>
  <si>
    <t>Infrastruktúra fejlesztési feladatokhoz kapcsolódó kiadások</t>
  </si>
  <si>
    <t>GINOP - 7.1.9-17-2018-00023 Veszprém kulturális turisztikai kínálatának fejlesztése</t>
  </si>
  <si>
    <t>Festő utca rekonstrukciója, tervezés</t>
  </si>
  <si>
    <t>Polgármesteri Hivatal felújítási munkák</t>
  </si>
  <si>
    <t>Védett sírok felújítása az Alsóvárosi temetőben</t>
  </si>
  <si>
    <t>Brusznyai Árpád Alapítvány támogatása</t>
  </si>
  <si>
    <t>Működési célú tartalékok</t>
  </si>
  <si>
    <t>Felhalmozási célú tartalékok</t>
  </si>
  <si>
    <t>Működési célú céltartalékok</t>
  </si>
  <si>
    <t>Felhalmozási célú céltartalékok</t>
  </si>
  <si>
    <t>R</t>
  </si>
  <si>
    <t>S</t>
  </si>
  <si>
    <t>Tőke-törlesztés 2022</t>
  </si>
  <si>
    <t>Kamat 2022</t>
  </si>
  <si>
    <t>8.</t>
  </si>
  <si>
    <t>TOP-6.2.1-16-VP1-2018-00002 Egry úti óvoda újjáépítése</t>
  </si>
  <si>
    <t>URBACT Innova Tor</t>
  </si>
  <si>
    <t>Projekt teljes költség</t>
  </si>
  <si>
    <t>2023. évi előirányzat</t>
  </si>
  <si>
    <t>TOP-6.5.1-16-VP1-2018-00005 - Március 15. utcai Sportcsarnok és Uszoda energetikai megújítása</t>
  </si>
  <si>
    <t>TOP-6.5.1-16-VP1-2018-00002 Völgyikút utca 2. szám alatti épület energetikai megújítása</t>
  </si>
  <si>
    <t xml:space="preserve"> - Beruházási kiadásokra képzett céltartalék                     </t>
  </si>
  <si>
    <t xml:space="preserve"> - Intézményi beruházáshoz kapcsolódó létszámbővítés</t>
  </si>
  <si>
    <t xml:space="preserve">          - Beiskolázási támogatás</t>
  </si>
  <si>
    <t>Magyarország gazdasági stabilitásáról szóló 2011. évi CXCIV. törvény szerint Kormányengedélyhez kötött, adósságot keletkeztető ügylet</t>
  </si>
  <si>
    <t>2020. év</t>
  </si>
  <si>
    <t>2021. év</t>
  </si>
  <si>
    <t>2022. év</t>
  </si>
  <si>
    <t>Több éves kihatással járó döntések számszerűsítése éves bontásban</t>
  </si>
  <si>
    <t>2018. évi tény</t>
  </si>
  <si>
    <t>VMJV Polgármesteri Hivatal összesen:</t>
  </si>
  <si>
    <t>Veszprémi Bóbita Körzeti Óvoda                                                                    (Hársfa Tagóvoda, Bóbita Óvoda)</t>
  </si>
  <si>
    <t>Veszprémi Ringató Körzeti Óvoda                                                              (Ringató Óvoda, Erdei Tagóvoda, Kuckó Tagóvoda)</t>
  </si>
  <si>
    <t>Veszprémi Egry úti Körzeti Óvoda                                                                          (Egry ltp. Óvoda, Nárcisz Tagóvoda)</t>
  </si>
  <si>
    <t>Veszprémi Csillag úti Körzeti Óvoda                                                                   (Csillag úti Óvoda, Cholnoky ltp. Óvoda)</t>
  </si>
  <si>
    <t>Munk.a. terh. Jár. És szoc.hj.adó</t>
  </si>
  <si>
    <t>TOP-6.3.2-16-VP1-2018-00001 Kulturális negyed</t>
  </si>
  <si>
    <t>Egyéb működési célú kiadások</t>
  </si>
  <si>
    <t>Teljes költség*</t>
  </si>
  <si>
    <t>* Az intézményeknél kimutatott adatokat is tartalmazza</t>
  </si>
  <si>
    <t>Működési költségvetési                                                                         kiadások</t>
  </si>
  <si>
    <r>
      <rPr>
        <b/>
        <sz val="10"/>
        <rFont val="Palatino Linotype"/>
        <family val="1"/>
        <charset val="238"/>
      </rPr>
      <t>TOP – 6.9.2 -16-VP1-2018-00001</t>
    </r>
    <r>
      <rPr>
        <sz val="10"/>
        <rFont val="Palatino Linotype"/>
        <family val="1"/>
        <charset val="238"/>
      </rPr>
      <t xml:space="preserve"> Közösségfejlesztés Veszprém város településrészein</t>
    </r>
  </si>
  <si>
    <t>Európa Parlament tagjainak 2019. évi választása</t>
  </si>
  <si>
    <t>Helyi és nemzetiségi önkormányzati képviselők 2019. évi választása</t>
  </si>
  <si>
    <t xml:space="preserve"> - Működési kiadásokra képzett céltartalék</t>
  </si>
  <si>
    <t xml:space="preserve"> - Adóbevételekkel szembeni kötelezettség</t>
  </si>
  <si>
    <t>Óvodák összesen:</t>
  </si>
  <si>
    <t>Egészségügyi és szociális intézmények összesen:</t>
  </si>
  <si>
    <t>Kulturális és közművelődési intézmények összesen:</t>
  </si>
  <si>
    <t>TOP-6.6.1-16-VP1-2018-0003 "Jutasi u. 59. sz. alatti orvosi rendelők megújítása"</t>
  </si>
  <si>
    <t xml:space="preserve">Előir. csop. </t>
  </si>
  <si>
    <t>Kie-melt előir.</t>
  </si>
  <si>
    <t xml:space="preserve">Kie-melt előir. </t>
  </si>
  <si>
    <t xml:space="preserve"> Erdei és Kuckó Tagóvoda</t>
  </si>
  <si>
    <t>Önkormányzati működési kiadások</t>
  </si>
  <si>
    <t>INTÉZMÉNYEK BERUHÁZÁSI KIADÁSAI ÖSSZESEN:</t>
  </si>
  <si>
    <t>VMJV  Polgármesteri Hivatal beruházási kiadásai összesen:</t>
  </si>
  <si>
    <t>BERUHÁZÁSI KIADÁSOK MINDÖSSZESEN:</t>
  </si>
  <si>
    <t>TOP-6.5.1-16-VP1-2018-00004 Aprófalvi bölcsőde energetikai korszerűsítése</t>
  </si>
  <si>
    <t>TOP-6.5.1-16-VP1-2018-00006 Módszertani bölcsőde energetikai megújítása</t>
  </si>
  <si>
    <t>TOP-6.6.1-16-VP1-2018-00004 Vilonyai utca 2/B szám alatti orvosi rendelő megújítása</t>
  </si>
  <si>
    <t>TOP-6.6.1-16-VP1-2018-00005 Ördögárok u. 5. szám alatti orvosi rendelő megújítása</t>
  </si>
  <si>
    <t>TOP-6.1.5-16-VP1-2017-00001 Északi Iparterület Közlekedés-fejlesztése</t>
  </si>
  <si>
    <t>TOP-6.4.1-16-VP1-2018-00002 Márkó-Bánd települések irányába kerékpárút építése</t>
  </si>
  <si>
    <t>KEHOP-5.4.1-16-2016-00142 "Veszprém, az energiatudatos város"</t>
  </si>
  <si>
    <t xml:space="preserve">TOP-7.1.1-16-H-ERFA-2019-00078 Szent Miklós-szegi Kálvária domb és környékének infrastrukturális felújítása és funkcióbővítése </t>
  </si>
  <si>
    <t xml:space="preserve">Urbact Innova-tor </t>
  </si>
  <si>
    <t>"Scholl of Participation" - Creative Europe projekt</t>
  </si>
  <si>
    <t>"Ister DTP Interreg Projekt</t>
  </si>
  <si>
    <t>TOP-7.1.1-16-H-ERFA-2019-00372 Barátságparki csalánkert</t>
  </si>
  <si>
    <t>KEHOP-1.2.1-18-2019-00247 Veszprém MJV klímastratégia kidolgozása és klímatudatosságot erősítő, szemléletformáló programok megvalósítása</t>
  </si>
  <si>
    <t>Erasmus+ KA1 " Media of the Future</t>
  </si>
  <si>
    <t>Iparos Park</t>
  </si>
  <si>
    <t>Veszprémi Petőfi Színház komplex fejlesztése</t>
  </si>
  <si>
    <t>Kittenberger Kálmán Növény- és Vadaspark fejlesztése és bővítése</t>
  </si>
  <si>
    <t>Veszprémi Zeneművészeti Szakgimnázium és Alapfokú Művészeti Iskola intézményegysége, a Csermák Antal Zeneiskola felújításának megvalósítása</t>
  </si>
  <si>
    <t>Veszprémi új Városi Jégcsarnok építése</t>
  </si>
  <si>
    <t>Veszprémi Atlétikai Stadion felújítása - I. ütem</t>
  </si>
  <si>
    <t>Veszprémi Atlétikai Stadion megvalósítás - II. ütem</t>
  </si>
  <si>
    <t>MVP feladatok előkészítés költségei</t>
  </si>
  <si>
    <t>Beruházások közműdíjai</t>
  </si>
  <si>
    <t>Leégett párizsi Notre Dame Katedrális támogatása</t>
  </si>
  <si>
    <t>Csererdő csapadékvíz -tervezés</t>
  </si>
  <si>
    <t>6.vk. Gyalogátkelőhely tervezése (Ady E. u)</t>
  </si>
  <si>
    <t>Parkoló tervezése a Halle u.-i szám előtti területen</t>
  </si>
  <si>
    <t>Egry úti Óvoda újjáépítése miatt szükséges óvodai felújítások, konténer ovi telepítése</t>
  </si>
  <si>
    <t>Nagyfelületű út- és járdafelújítások</t>
  </si>
  <si>
    <t>Vízrendezési feladatok, árkok felújítása</t>
  </si>
  <si>
    <t>Kertvárosi utcák felújítása víziközmű rekonstrukció után</t>
  </si>
  <si>
    <t>Európa Kulturális Fővárosa II. ütem</t>
  </si>
  <si>
    <t>Működési kiadások</t>
  </si>
  <si>
    <t>Felhalmozási kiadások</t>
  </si>
  <si>
    <t>Vörösmarty tér tömbbelső fejlesztés, I. ütem (csapadékvíz elvezetés kiépítése) + II. ütem</t>
  </si>
  <si>
    <t>Kulturális negyed tervezése II. ütem</t>
  </si>
  <si>
    <t>Egry utcai óvoda új villamos és gáz betáp vezeték tervezése és kiépítése, villamos kapacitásbővítés</t>
  </si>
  <si>
    <t>82-es út közlekedésbiztonsági fejlesztése</t>
  </si>
  <si>
    <t>Veszprém 0105/1 hrsz.alatti nem veszélyes hulladéklerakó részletes tényfeltárása</t>
  </si>
  <si>
    <t>Közvilágítás fejlesztése (Zrínyi Miklós utca és a Káposztáskert utca)</t>
  </si>
  <si>
    <t>Barátság park sport fejlesztések előkészítése, közmű ellátása</t>
  </si>
  <si>
    <t>CLLD - Városrészi közösségi és kulturális terek infrastrukturális felújítása, átépítése</t>
  </si>
  <si>
    <t>Járásszékhely múzeumok szakmai támogatása</t>
  </si>
  <si>
    <t>Káposztáskert utcai távközlési kábel áthelyezése és új kiépítése</t>
  </si>
  <si>
    <t>Magyar Kórusok találkozója</t>
  </si>
  <si>
    <t>Programiroda Kft. törzstőke emelés</t>
  </si>
  <si>
    <t xml:space="preserve">Programiroda Kft. tőketartalékba helyezés </t>
  </si>
  <si>
    <t>Swing-Swing Kft. törzstőke emelés</t>
  </si>
  <si>
    <t>Swing-Swing Kft. tőketartalékba helyezés</t>
  </si>
  <si>
    <t>Veszprém - Balaton 2023 Zrt. törzstőke emelés</t>
  </si>
  <si>
    <t>Veszprém - Balaton 2023 Zrt. tőketartalékba helyezés</t>
  </si>
  <si>
    <t xml:space="preserve">207/2019. (IX.26.) Közgy.h. GFT beruházás: Veszprém Séd 3. sz. kút bekötővezeték, Kút bekötése a települési hálózatba </t>
  </si>
  <si>
    <t>207/2019. (IX.26.) Közgy.h. GFT beruházás:  Veszprém Méhes utca, Támfal építéshez kapcsolódó ivóvíz-hálózat bővítés</t>
  </si>
  <si>
    <t xml:space="preserve">207/2019. (IX.26.) Közgy.h. GFT beruházás: Veszprém Reguly A. utca, Barnamezős beruházásokhoz kapcsolódóan ivóvízvezeték kapacitás bővítés </t>
  </si>
  <si>
    <t xml:space="preserve"> - Képviselői keret</t>
  </si>
  <si>
    <t>Gyulafirátóti Bölcsőde</t>
  </si>
  <si>
    <t>Védőnői Szolgálat</t>
  </si>
  <si>
    <r>
      <rPr>
        <b/>
        <sz val="10"/>
        <rFont val="Palatino Linotype"/>
        <family val="1"/>
        <charset val="238"/>
      </rPr>
      <t xml:space="preserve">TOP – 6.9.2 -16-VP1-2018-00001 </t>
    </r>
    <r>
      <rPr>
        <sz val="10"/>
        <rFont val="Palatino Linotype"/>
        <family val="1"/>
        <charset val="238"/>
      </rPr>
      <t>Közösségfejlesztés Veszprém város településrészein</t>
    </r>
  </si>
  <si>
    <r>
      <rPr>
        <b/>
        <sz val="10"/>
        <rFont val="Palatino Linotype"/>
        <family val="1"/>
        <charset val="238"/>
      </rPr>
      <t xml:space="preserve">EFOP-4.1.9-16-2017-00014 </t>
    </r>
    <r>
      <rPr>
        <sz val="10"/>
        <rFont val="Palatino Linotype"/>
        <family val="1"/>
        <charset val="238"/>
      </rPr>
      <t>A múzeumi és levéltári intézményrendszer tanulás segítő infrastrukturális fejlesztései -Laczkó Dezső Múzeumban oktatótermek és kiszolgáló helyiségek kialakítása</t>
    </r>
  </si>
  <si>
    <r>
      <rPr>
        <b/>
        <sz val="10"/>
        <rFont val="Palatino Linotype"/>
        <family val="1"/>
        <charset val="238"/>
      </rPr>
      <t xml:space="preserve">EFOP-3.3.2-16-2016-00107 </t>
    </r>
    <r>
      <rPr>
        <sz val="10"/>
        <rFont val="Palatino Linotype"/>
        <family val="1"/>
        <charset val="238"/>
      </rPr>
      <t>Kulturális intézmények a köznevelés eredményességéért</t>
    </r>
  </si>
  <si>
    <t>Közösség Kádártáért Egyesület</t>
  </si>
  <si>
    <t>Virágzó Veszprém Egyesület</t>
  </si>
  <si>
    <t>Lokálpatrióták a Városért Egyesület</t>
  </si>
  <si>
    <t>Veszprémi Kultúráért Közalapítvány (új kuratórium, könyvvizsgálat költségeire)</t>
  </si>
  <si>
    <t>Gerence Hagyományőrző Néptáncegyüttes támogatása</t>
  </si>
  <si>
    <t xml:space="preserve">            - Civil irodai szolgáltatások, civil ház</t>
  </si>
  <si>
    <t xml:space="preserve">            - Civil nap költségei</t>
  </si>
  <si>
    <t>Pszichiátriai betegek nappali ellátás ("Horgony" Pszichiátriai Betegekért Közhasznú Alapítvány)</t>
  </si>
  <si>
    <t>V-Busz Kft. 2019. évi ellentételezés</t>
  </si>
  <si>
    <t>Intézményi karbantartási költségek</t>
  </si>
  <si>
    <t>Intézményi közüzemi költségek</t>
  </si>
  <si>
    <t>Kolostorok és kertek működtetése</t>
  </si>
  <si>
    <t>Viziközmű vagyonértékelés költségei</t>
  </si>
  <si>
    <t>Köztéri Szobor Alap</t>
  </si>
  <si>
    <t>Endrődi Sándor emlékév programjaira</t>
  </si>
  <si>
    <t>Swing-Swing Kft. üzletrész vásárlás</t>
  </si>
  <si>
    <t>II. ütem összesen</t>
  </si>
  <si>
    <t>Kelet-nyugati gyűjtőút zajvédő létesítmény tervezése</t>
  </si>
  <si>
    <t>Tőke-törlesztés 2023</t>
  </si>
  <si>
    <t>Kamat 2023</t>
  </si>
  <si>
    <t xml:space="preserve"> 2020.06.01</t>
  </si>
  <si>
    <t>Adósságot Keletkeztető Ügyletek fejlesztési célok szerinti besorolása</t>
  </si>
  <si>
    <t>Közutak, hidak építése, felújítása</t>
  </si>
  <si>
    <t>TOP-6.9.2-16-VP1-2018-00001 Közösségfejlesztés Veszprém város településrészein</t>
  </si>
  <si>
    <t>2023. év</t>
  </si>
  <si>
    <t>Környezetvédelemhez és természeti katasztrófák elhárításához kapcsolódó beruházási célok (szennyvízelvezetés és szennyvíztisztítás, csapadékvíz-elvezetés, hulladékkezelés, árvíz/belvíz elleni védekezés stb.)</t>
  </si>
  <si>
    <t>Közoktatási célú beruházási célok (óvodák, iskolák, tornaterem, tanuszoda, egyéb köznevelési intézmények építése, felújítása stb.)</t>
  </si>
  <si>
    <t>Szociális, gyermekjóléti és gyermekvédelmi célok (bölcsődék, időskorúak ellátását, gyermekek és családok átmeneti gondozását szolgáló beruházások stb.)</t>
  </si>
  <si>
    <t>TOP-6.5.1-16-VPI-2018-00006 Módszertani Bölcsőde energetikai megújítása</t>
  </si>
  <si>
    <t>TOP-6.2.1-16-VP1-2018-00001 Módszertani Bölcsőde megújítása – eszközbeszerzés</t>
  </si>
  <si>
    <t>TOP-6.5.1 Aprófalvi Bölcsőde energetikai megújítása</t>
  </si>
  <si>
    <t>TOP-6.5.1 Völgyikút utca 2. szám alatti épület energetikai megújítása</t>
  </si>
  <si>
    <t>Egészségügyi szolgáltatások fejlesztése (egészségházak, orvosi, gyermekorvosi, fogorvosi szakrendelők felújítása, eszközbeszerzések stb.)</t>
  </si>
  <si>
    <t>TOP - Vilonyai u. 2/B sz. gyermekorvosi rendelők felújítása</t>
  </si>
  <si>
    <t>TOP - Ördögárok u. 5. sz. gyermekorvosi rendelők felújítása</t>
  </si>
  <si>
    <t>Egyéb feladatokhoz kapcsolódó célok (közutak építése, felújítása, közbiztonság növelése, egyéb önkormányzati tulajdonú létesítmények felújítása, fejlesztése, város és település-rehabilitáció stb.)</t>
  </si>
  <si>
    <t>Petőfi Sándor utca rekonstrukciója III. ütem</t>
  </si>
  <si>
    <t>Török I. u. - Aulich L. u. összekötés</t>
  </si>
  <si>
    <t>Közvilágítás bővítések (tervezés, kivitelezés) 2011. évi CLXXXIX törvény</t>
  </si>
  <si>
    <t xml:space="preserve">A  </t>
  </si>
  <si>
    <t>T</t>
  </si>
  <si>
    <t>2019. évi tény</t>
  </si>
  <si>
    <t>2018-2021</t>
  </si>
  <si>
    <t>2018-2019</t>
  </si>
  <si>
    <t>2019-2020</t>
  </si>
  <si>
    <t>2016-2021</t>
  </si>
  <si>
    <t>2017-2020</t>
  </si>
  <si>
    <t>2018-2020</t>
  </si>
  <si>
    <t>2016-2019</t>
  </si>
  <si>
    <t>2019-2021</t>
  </si>
  <si>
    <t>2019-2022</t>
  </si>
  <si>
    <t>Urbact Innova-tor *</t>
  </si>
  <si>
    <t>* Az Urbact Innova-tor támogatása a szerződésben €-ban van meghatározva, az átszámítás 316.39 Ft/EUR-val történt</t>
  </si>
  <si>
    <t>ebből: - Európa Kulturális Főváros II. ütem</t>
  </si>
  <si>
    <t>Projekthez kapcsolódó működési bevétel (ÁFA)</t>
  </si>
  <si>
    <t>új hitelszerződésen alapuló beruházási hitelfelvétele feladatonként</t>
  </si>
  <si>
    <t>Adósságot keletkeztető ügyletek összesen</t>
  </si>
  <si>
    <t>Újjáépítésre kerülő óvodák költöztetési munkák</t>
  </si>
  <si>
    <t>Veszprémi Stadion gázellátása és villamos kapacitásbővítése</t>
  </si>
  <si>
    <t>Sportterület közmű-, út infrastruktúra fejlesztés</t>
  </si>
  <si>
    <t>határozott idejű foglalkozatottak létszáma                 (2020. március 1 - 2021. december 31)</t>
  </si>
  <si>
    <t xml:space="preserve">          - Comitatus Társadalomkutató Egyesület - Comitatus Önkormányzati Szemle</t>
  </si>
  <si>
    <t>V-Busz Kft. szolgáltatás vásárlás</t>
  </si>
  <si>
    <t>**Az intézményeknél kimutatott adatokat is tartalmazza</t>
  </si>
  <si>
    <t>** Az intézményeknél kimutatott adatokat is tartalmazza</t>
  </si>
  <si>
    <t>2021. évi költségvetési bevételei</t>
  </si>
  <si>
    <t>2019. évi              tény</t>
  </si>
  <si>
    <t>2020. évi eredeti előirányzat</t>
  </si>
  <si>
    <t>2020. évi várható</t>
  </si>
  <si>
    <t>2021. évi előirányzat</t>
  </si>
  <si>
    <t>2021. évi költségvetési kiadásai</t>
  </si>
  <si>
    <t>ERASMUS+ Program</t>
  </si>
  <si>
    <t>2021. évi saját bevételei</t>
  </si>
  <si>
    <t>2019. évi           tény</t>
  </si>
  <si>
    <t>2021. évi  előirányzat</t>
  </si>
  <si>
    <t>2021. évi felhalmozási költségvetési kiadások előirányzata</t>
  </si>
  <si>
    <t>2021. évi bevételi előirányzat</t>
  </si>
  <si>
    <t>2021. évi kiadási előirányzat</t>
  </si>
  <si>
    <t>Koronavírus elleni védekezés költségeire</t>
  </si>
  <si>
    <t>Népszámlálás 2021.</t>
  </si>
  <si>
    <t>KÖLTSÉGVETÉSI BEVÉTELEI ÉS KIADÁSAI 2021. ÉVBEN</t>
  </si>
  <si>
    <t>a 2021. évi engedélyezett létszámról</t>
  </si>
  <si>
    <t>2021. évi engedélyezett létszám</t>
  </si>
  <si>
    <t>2021. január 1-től 1fő</t>
  </si>
  <si>
    <t>2024. év</t>
  </si>
  <si>
    <t>a 2021. évi közvetett támogatásokról</t>
  </si>
  <si>
    <r>
      <t xml:space="preserve">Informatikai eszközök beszerzése </t>
    </r>
    <r>
      <rPr>
        <i/>
        <sz val="10"/>
        <rFont val="Palatino Linotype"/>
        <family val="1"/>
        <charset val="238"/>
      </rPr>
      <t>(laptop)</t>
    </r>
  </si>
  <si>
    <t>Klímaberendezés</t>
  </si>
  <si>
    <t>Ülő bútozat (aulába)</t>
  </si>
  <si>
    <t>Csoportszoba bútorzat</t>
  </si>
  <si>
    <t>Rönkbútor</t>
  </si>
  <si>
    <t>Fészekhinta állvánnyal</t>
  </si>
  <si>
    <t>Mosógép</t>
  </si>
  <si>
    <t>Informatikai eszközök beszerzése (laptop)</t>
  </si>
  <si>
    <t>Tárgyi eszközök beszerzése</t>
  </si>
  <si>
    <r>
      <t xml:space="preserve">Informatikai eszközök beszerzése </t>
    </r>
    <r>
      <rPr>
        <i/>
        <sz val="10"/>
        <rFont val="Palatino Linotype"/>
        <family val="1"/>
        <charset val="238"/>
      </rPr>
      <t>(laptop, asztali számítógép, nyomtató)</t>
    </r>
  </si>
  <si>
    <t>Fénymásológép</t>
  </si>
  <si>
    <t>Konyhai eszközök, gépek</t>
  </si>
  <si>
    <r>
      <t xml:space="preserve">Tárgyi eszközök beszerzése </t>
    </r>
    <r>
      <rPr>
        <i/>
        <sz val="10"/>
        <rFont val="Palatino Linotype"/>
        <family val="1"/>
        <charset val="238"/>
      </rPr>
      <t>(ruhaállávnyok, szőnyegek, konyhai eszközök, informatikai eszközök, csúszdatest, telefon, porszívó, székek, ipari botmixer)</t>
    </r>
  </si>
  <si>
    <t>Csoportszoba bútor</t>
  </si>
  <si>
    <r>
      <t xml:space="preserve">Tárgyi eszközök beszerzése </t>
    </r>
    <r>
      <rPr>
        <i/>
        <sz val="10"/>
        <rFont val="Palatino Linotype"/>
        <family val="1"/>
        <charset val="238"/>
      </rPr>
      <t>(homokozó ponyva, mobil fogadó egység, gőztisztító gép, szappanadagoló, tároló kosarak, hosszabítók, ruhafogas)</t>
    </r>
  </si>
  <si>
    <t>Száratós mosógép</t>
  </si>
  <si>
    <t xml:space="preserve">Tárgyi eszközök beszerzése </t>
  </si>
  <si>
    <t>Mozgásfejlesztő udvari játék (mászóvár)</t>
  </si>
  <si>
    <t>Öltözöszekrények</t>
  </si>
  <si>
    <r>
      <t>Tárgyi eszközök beszerzésére</t>
    </r>
    <r>
      <rPr>
        <i/>
        <sz val="10"/>
        <rFont val="Palatino Linotype"/>
        <family val="1"/>
        <charset val="238"/>
      </rPr>
      <t xml:space="preserve"> (hangszóró, könyvállvány, hangszerkészlet, udvari faasztalok-székek, sőrpad garnítura, bluetooth hangszórók)</t>
    </r>
  </si>
  <si>
    <t>Elektromos főzőlap</t>
  </si>
  <si>
    <t>Kombinálható akadálypálya</t>
  </si>
  <si>
    <t>Légkonícionálók</t>
  </si>
  <si>
    <t>Tabletek</t>
  </si>
  <si>
    <t>Okostábla és tartóállvány</t>
  </si>
  <si>
    <r>
      <t>Tárgyi eszközök beszerzésére</t>
    </r>
    <r>
      <rPr>
        <i/>
        <sz val="10"/>
        <rFont val="Palatino Linotype"/>
        <family val="1"/>
        <charset val="238"/>
      </rPr>
      <t xml:space="preserve"> (ventilátorok, vasaló, napvitorlák, függönyök, udvari fapadok, hangszerkészlet, sőrpad garnítura, bluetooth hangszórók)</t>
    </r>
  </si>
  <si>
    <t>Öltözőszekrények</t>
  </si>
  <si>
    <t>Udvari fajátékok</t>
  </si>
  <si>
    <r>
      <t xml:space="preserve">Tárgyi eszközök beszerzése </t>
    </r>
    <r>
      <rPr>
        <i/>
        <sz val="10"/>
        <rFont val="Palatino Linotype"/>
        <family val="1"/>
        <charset val="238"/>
      </rPr>
      <t>(telefonok)</t>
    </r>
  </si>
  <si>
    <r>
      <t xml:space="preserve">Informatikai eszközök beszerzése </t>
    </r>
    <r>
      <rPr>
        <i/>
        <sz val="10"/>
        <rFont val="Palatino Linotype"/>
        <family val="1"/>
        <charset val="238"/>
      </rPr>
      <t>(laptopok szoftverrel, nyomtató, telefon)</t>
    </r>
  </si>
  <si>
    <r>
      <t xml:space="preserve">Gyűjteménygyarapítás </t>
    </r>
    <r>
      <rPr>
        <i/>
        <sz val="10"/>
        <rFont val="Palatino Linotype"/>
        <family val="1"/>
        <charset val="238"/>
      </rPr>
      <t>(pályázasthoz kapcsolódó)</t>
    </r>
  </si>
  <si>
    <t>Könyvtári könyvek, egyéb doc. (CD, DVD stb.) jogszabályi előírás szerint</t>
  </si>
  <si>
    <r>
      <t xml:space="preserve">Informatikai eszközök beszerzése </t>
    </r>
    <r>
      <rPr>
        <i/>
        <sz val="10"/>
        <rFont val="Palatino Linotype"/>
        <family val="1"/>
        <charset val="238"/>
      </rPr>
      <t>(számítogépek)</t>
    </r>
  </si>
  <si>
    <t>Dózsavárosi könyvtár székek beszerzés</t>
  </si>
  <si>
    <r>
      <t xml:space="preserve">Tárgyi eszközök beszerzésére </t>
    </r>
    <r>
      <rPr>
        <i/>
        <sz val="10"/>
        <rFont val="Palatino Linotype"/>
        <family val="1"/>
        <charset val="238"/>
      </rPr>
      <t>(pályázatokhoz kapcsolódó)</t>
    </r>
  </si>
  <si>
    <t>Informatikai eszközök beszerzése</t>
  </si>
  <si>
    <t xml:space="preserve">Vírusirtó program </t>
  </si>
  <si>
    <t>Monari gyűjtemény nyilvántartó program bővítése</t>
  </si>
  <si>
    <t xml:space="preserve">Régészeti nyilvántartó program </t>
  </si>
  <si>
    <t>Beépített szekrények, polcok</t>
  </si>
  <si>
    <t>Nagyteljesítményű nyomtatók beszerzése</t>
  </si>
  <si>
    <t>Tűzjelző rendszer tervezése</t>
  </si>
  <si>
    <t>Bútorok beszerzése</t>
  </si>
  <si>
    <t>Koronavírus elleni védekezéshez kapcsolódó beszerzések</t>
  </si>
  <si>
    <t>Informatika</t>
  </si>
  <si>
    <t>Európai Uniós forrásból finanszírozott támogatással megvalósuló programok, projektek 2021. évi költségvetési kiadásainak előirányzata</t>
  </si>
  <si>
    <t>2021. év utáni javaslat</t>
  </si>
  <si>
    <t>Teljesítés                      2019.          12.31.-ig*</t>
  </si>
  <si>
    <t>TOP-6.4.1-16-VP1-17-00001 Szabadságpuszta településrész és Felsőörs Község közötti kerékpárút beruházása</t>
  </si>
  <si>
    <t>TOP-6.3.4.1-16 Kerékpárút és kerékpárforgalmi létesítmények építése Veszprém-Gyulafirátót</t>
  </si>
  <si>
    <t>TOP-7.1.1-16-VP1-2020-00002 Kulturális negyed</t>
  </si>
  <si>
    <t>TOP-6.5.1-16-VP1-2017-00001 Veszprém városára vonatkozó Fenntartható Energia és Klíma Akcióterv (SECAP) elkészítése című projekt fenntartási jelentése</t>
  </si>
  <si>
    <t>Modern Városok Program és más hazai finanszírozásból megvalósuló feladatok 2021. évi költségvetési kiadásainak előirányzata</t>
  </si>
  <si>
    <t>Teljesítés                      2019.          12.31.-ig**</t>
  </si>
  <si>
    <t>Illegális hulladéklerakó felszámolása</t>
  </si>
  <si>
    <t>EMMI és Belügyminisztérium "Idősbarát Önkormányzati Díj"</t>
  </si>
  <si>
    <t>Nagyfelületű útfelújítás pályázat önerő</t>
  </si>
  <si>
    <t>Állatvédelmi Kompetencia Központ beruházás - törzstőke emelés</t>
  </si>
  <si>
    <t>Európa Kulturális Főváros 2021. évi költségvetési kiadásainak előirányzata</t>
  </si>
  <si>
    <t>Vár u. 10. volt piarista gimnázium</t>
  </si>
  <si>
    <t>Jókai utca 8.</t>
  </si>
  <si>
    <t>Acticity - Hóvirág u. 1.</t>
  </si>
  <si>
    <t>Vasútállomás és környezetének fejlesztése</t>
  </si>
  <si>
    <t>Európa Kulturális Fővárosa III. ütem</t>
  </si>
  <si>
    <t>Játszóeszközök felújítása</t>
  </si>
  <si>
    <t>III. ütem összesen</t>
  </si>
  <si>
    <t>Európa Kulturális Fővárosa IV. ütem</t>
  </si>
  <si>
    <t>Ingatlanvásárlás (volt bútorgyár) Veszprém belterület 4061 hrsz és 4038/1 hrsz ingatlanok</t>
  </si>
  <si>
    <t>Ingatalnvásárlás (SZMT) Veszprém, belterület 4073/3 hrsz és 4073/3/A ingatlanok</t>
  </si>
  <si>
    <t>IV. ütem összesen</t>
  </si>
  <si>
    <t>V. ütem összesen</t>
  </si>
  <si>
    <t>Európa Kulturális Főváros 2023 beruházások előkészítése (önerő)</t>
  </si>
  <si>
    <t>2020. évi tény</t>
  </si>
  <si>
    <t>2021.</t>
  </si>
  <si>
    <t>2022-től</t>
  </si>
  <si>
    <t>TOP-6.2.1-16-VP1-2020-00003 A Veszprémi Bölcsődei és Egészségügyi Alapellátási Integrált Intézmény Módszertani Bölcsődéje megújítása, illetve bölcsődei eszközbeszerzések</t>
  </si>
  <si>
    <t>2020-2021</t>
  </si>
  <si>
    <t>TOP-6.4.1-16-VP1-2019-00003 Kerékpárút és kerékpárforgalmi létesítmények építése Veszprém - Gyulafirátót szakaszon</t>
  </si>
  <si>
    <t>TOP-6.3.2-16-VP1-2020-00002 Kulturális negyed</t>
  </si>
  <si>
    <t>2021-2022</t>
  </si>
  <si>
    <t>2020-2022</t>
  </si>
  <si>
    <t>2020-202</t>
  </si>
  <si>
    <t>*** A projekt a támogatási szerződés szerint nettó módon finanszírozott.</t>
  </si>
  <si>
    <t>GINOP - 7.1.9-17-2018-00023 Veszprém kulturális turisztikai kínálatának fejlesztése***</t>
  </si>
  <si>
    <t>2021. évi beruházási és egyéb felhalmozási célú kiadások előirányzata</t>
  </si>
  <si>
    <t>GFT beruházás: FI-2014-604_x000D_
Veszprém 1. számú (Zrínyi utca) nyomásfokozó, Nemesvámosi nyomásfokozó: HARIBO termelési üzem fejlesztése III. ütemhez kapcsolódóan a nyomásfokozó kapacitásbővítése (1 db átemelő szivattyú)</t>
  </si>
  <si>
    <t>GFT beruházás: FI-2014-16_x000D_
Veszprém ivóvíz-hálózat, Szabályozott fertőtlenítő rendszer fejlesztése</t>
  </si>
  <si>
    <t>GFT beruházás: FI-2014-1461_x000D_
Veszprém Sédvölgyi vízbázis, Belső védőterület bővítés</t>
  </si>
  <si>
    <t>GFT beruházás: FI-2014-1291_x000D_
Veszprém Szennyvíztisztító Telep, Rácsgépház: csigaszivattyúk elé kőfogó telepítése (1 db)</t>
  </si>
  <si>
    <t>1. számú Török Ignác utcai Idősek Otthona - lift építés</t>
  </si>
  <si>
    <t>Városgazdálkodás (hulladékgyűjtők, kutyaürülék gyűjtők, síkosságmentesítő ládák elhelyezése)</t>
  </si>
  <si>
    <t>Jégpálya bekötőút HM Verga Zrt területén</t>
  </si>
  <si>
    <t>Ingatlanrendezési ügyek (kisajátítások, más célú haszn.,humuszvédelmi terv, erdővédelmi járulék)</t>
  </si>
  <si>
    <t>Stadion dobópálya világítása, felújítás</t>
  </si>
  <si>
    <t>8-as főút felújításának terelőút építéséhez kapcsolódó ingatlanrendezés</t>
  </si>
  <si>
    <t>MLSZ ovifoci program önrész és területelőkészítés</t>
  </si>
  <si>
    <t>Kiskúti Csárda építéstörténeti dokumentációja</t>
  </si>
  <si>
    <t>Március 15. u. 4/B. orvosi rendelő - bejárat mellett nyitható ablak</t>
  </si>
  <si>
    <t>V-Busz Kft. (használt autóbusz vásárlás)</t>
  </si>
  <si>
    <t>Teljesítés                      2019.          12.31.-ig</t>
  </si>
  <si>
    <t>2021. évi felújítási kiadások előirányzata</t>
  </si>
  <si>
    <t>Önkormányzati feladatok és egyéb kötelezettségek 2021. évi működési költségvetési kiadásai</t>
  </si>
  <si>
    <t>Jégcsarnok üzemidő- és szolgáltatás vásárlás</t>
  </si>
  <si>
    <t>Repülőtér üzemeltetése, szolgáltatás vásárlás</t>
  </si>
  <si>
    <t xml:space="preserve">          - Vészhelyzeti támogatás (krízis segély)</t>
  </si>
  <si>
    <t>Ebrendészeti feladatok</t>
  </si>
  <si>
    <t>Közterület Felügyelet</t>
  </si>
  <si>
    <t>TOP és MVP beruházásokhoz kapcsolódó energetikai tanusítvány</t>
  </si>
  <si>
    <t>UNESCO Zene városa</t>
  </si>
  <si>
    <t>Európa Ifjúsági Fővárosa 2024 pályázat benyújtása</t>
  </si>
  <si>
    <t>Szociális bérlakás felújítások (vasútállomás rehabilitáció érdekében)</t>
  </si>
  <si>
    <t>Európa Kulturális Fővárosa V. ütem</t>
  </si>
  <si>
    <t>Európa Kulturális Fővárosa VI. ütem</t>
  </si>
  <si>
    <t>VI. ütem összesen</t>
  </si>
  <si>
    <t>Ingatlanvásárlás (Ady Endre u. 5. volt szikvízparkoló) 4726/2 hrsz-ú ingatlan</t>
  </si>
  <si>
    <t>Ingatlanvásárlás (Cserhát ltp. 8.  volt húsáruház)23 hrsz-ú ingatlan</t>
  </si>
  <si>
    <t>Koronavírus védekezés költségeire és gazdasági hatásának enyhítésére</t>
  </si>
  <si>
    <t>Cipőmúzeum</t>
  </si>
  <si>
    <t>Polgármesteri Hivatal</t>
  </si>
  <si>
    <t>Integrált irányítási rendszer fenntartása (ISO, GDPR)</t>
  </si>
  <si>
    <t xml:space="preserve"> - Intézményi felmentési idő, jub.jut., végkielégítés és működési kiadások</t>
  </si>
  <si>
    <t xml:space="preserve">Európa Kulturális Fővárosa III. ütem </t>
  </si>
  <si>
    <t>Európa Kulturális Fővárosa I. ütem</t>
  </si>
  <si>
    <r>
      <rPr>
        <b/>
        <sz val="10"/>
        <rFont val="Palatino Linotype"/>
        <family val="1"/>
        <charset val="238"/>
      </rPr>
      <t>EFOP-1.9.9-17-2017-00004</t>
    </r>
    <r>
      <rPr>
        <sz val="10"/>
        <rFont val="Palatino Linotype"/>
        <family val="1"/>
        <charset val="238"/>
      </rPr>
      <t xml:space="preserve"> Még jobb kezekben - Veszprémben</t>
    </r>
  </si>
  <si>
    <r>
      <rPr>
        <b/>
        <sz val="10"/>
        <rFont val="Palatino Linotype"/>
        <family val="1"/>
        <charset val="238"/>
      </rPr>
      <t>EFOP-4.1.9-16-2017-00014</t>
    </r>
    <r>
      <rPr>
        <sz val="10"/>
        <rFont val="Palatino Linotype"/>
        <family val="1"/>
        <charset val="238"/>
      </rPr>
      <t xml:space="preserve"> A múzeumi és levéltári intézményrendszer tanulás segítő infrastrukturális fejlesztései -Laczkó Dezső Múzeumban oktatótermek és kiszolgáló helyiségek kialakítása</t>
    </r>
  </si>
  <si>
    <r>
      <rPr>
        <b/>
        <sz val="10"/>
        <rFont val="Palatino Linotype"/>
        <family val="1"/>
        <charset val="238"/>
      </rPr>
      <t>EFOP-3.3.2-16-2016-00107</t>
    </r>
    <r>
      <rPr>
        <sz val="10"/>
        <rFont val="Palatino Linotype"/>
        <family val="1"/>
        <charset val="238"/>
      </rPr>
      <t xml:space="preserve"> Kulturális intézmények a köznevelés eredményességéért</t>
    </r>
  </si>
  <si>
    <t xml:space="preserve">A települési önkormányzatok általános működésének, ágazati feladatainak </t>
  </si>
  <si>
    <t>2021/2020.</t>
  </si>
  <si>
    <t>1. A települési önkormányzatok működésének általános támogatása</t>
  </si>
  <si>
    <t>Önkormányzati hivatalok működésének támogatása</t>
  </si>
  <si>
    <t>Egyéb önkormányzati feladatok támogatása</t>
  </si>
  <si>
    <t>Lakott külterülettel kapcsolatos feladatok támogatása</t>
  </si>
  <si>
    <t>2. A települési önkormányzatok egyes köznevelési feladatainak támogatása</t>
  </si>
  <si>
    <t>Az óvodában foglalkoztatott pedagógusok átlagbéralapú támogatása</t>
  </si>
  <si>
    <t>Kiegészítő támogatás a pedagógusok és a pedagógus szakképzettséggel rendelkező segítők minősítéséből adódó többletkiadásokhoz</t>
  </si>
  <si>
    <t>Az óvodában foglalkozatott pedagógusok nevelőmunkáját közvetlenül segítők átlagbér-alapú támogatása</t>
  </si>
  <si>
    <t>3. A települési önkormányzatok egyes szociális és gyermekjóléti  feladatainak támogatása</t>
  </si>
  <si>
    <t>Bölcsőde, mini bölcsőde támogatása (kedvezményes étk. támog. nélkül)</t>
  </si>
  <si>
    <t>Családok átmeneti otthonában biztosított ellátásának támogatása</t>
  </si>
  <si>
    <t>4. A települési önkormányzatok gyermekétkeztetési feladatainak támogatása</t>
  </si>
  <si>
    <t>Intézményi gyermekétkeztetés támogatása</t>
  </si>
  <si>
    <t>5. A települési önkormányzatok kulturális feladatainak támogatása</t>
  </si>
  <si>
    <t>Alkohol Drogrsegély Ambulancia</t>
  </si>
  <si>
    <t>Hitel-állomány 2020.12.31</t>
  </si>
  <si>
    <t>Hitelfelvétel 2021</t>
  </si>
  <si>
    <t>Hitel-állomány  2021.12.31</t>
  </si>
  <si>
    <t>Tőke-törlesztés 2024</t>
  </si>
  <si>
    <t>Tőke-törlesztés 2025-tól</t>
  </si>
  <si>
    <t>Kamat 2024</t>
  </si>
  <si>
    <t>Felhalmozási hitel - Célhitel 2017</t>
  </si>
  <si>
    <t>Felhalmozási hitel - Célhitel 2019</t>
  </si>
  <si>
    <t>Felhalmozási célhitel 2021</t>
  </si>
  <si>
    <t>2031.</t>
  </si>
  <si>
    <t>Hitelmaradvány</t>
  </si>
  <si>
    <t>I. számú Török Ignác utcai idősek otthona lift építés</t>
  </si>
  <si>
    <t>* Magyarország gazdasági stabilitásáról szóló 2011. évi CXCIV. törvény szerint Kormányengedélyhez kötött, adósságot keletkeztető ügylet jóváhagyása megtörtént az önkormányzatok adósságot keletkeztető, valamint kezesség-, illetve garanciavállalásra vonatkozó ügyleteihez történő 2019. áprilisi előzetes kormányzati hozzájárulásról szóló 1356/2019. (VI.14.) Korm. határozatában.</t>
  </si>
  <si>
    <t>Veszprém Megyei Jogú Város Önkormányzatának 2021. évi</t>
  </si>
  <si>
    <t>Hitel összege 2021. év</t>
  </si>
  <si>
    <t>Környezetvédelemhez és természeti katasztrófák elhárításához kapcsolódó beruházási célok</t>
  </si>
  <si>
    <t>Kulturális és sportcélú infrastruktúra kialakítása</t>
  </si>
  <si>
    <t>Nagyfelületű útfelújítások pályázati önerő</t>
  </si>
  <si>
    <t>Egyéb rendezési tervekhez kapcsolódó infrastrukturális beruházások</t>
  </si>
  <si>
    <t>Szociális bérlakásfelújítások (vasútállomás rehabilitáció érdekében)</t>
  </si>
  <si>
    <t>Város- és település-rehabilitáció</t>
  </si>
  <si>
    <t>V2</t>
  </si>
  <si>
    <t>alapítványoknak, egyesületeknek, civil szervezeteknek, társadalmi szervezeteknek nyújtott támogatásokról 2021. évben</t>
  </si>
  <si>
    <t>Hitelfelvétel 2019. (előző évek hitel-szerződésén alapuló)</t>
  </si>
  <si>
    <t>Bank</t>
  </si>
  <si>
    <t>Veszprém Megyei Jogú Város Önkormányzat 2019. évben megkötött hitelszerződésének le nem hívott rész beruházási hitelkerete feladatonként *</t>
  </si>
  <si>
    <t>ÖNKORMÁNYZATI KIADÁSOK ÖSSZESEN:</t>
  </si>
  <si>
    <t>Víziközmű szolgáltatónál, Bakonykarszt Zrt. - tőketartalékba helyezés</t>
  </si>
  <si>
    <t>Víziközmű szolgáltatónál, Bakonykarszt Zrt. - törzstőke emelés</t>
  </si>
  <si>
    <t xml:space="preserve">Rekultivációt megelőző telephely fenntartási költség </t>
  </si>
  <si>
    <t>Kittenberger Kálmán Növény és Vadaspark Szolgáltató Közhasznú Nonprofit Kft. működéséhez hozzájárulás</t>
  </si>
  <si>
    <t>Városi TV közszolgálati  műsorok támogatása</t>
  </si>
  <si>
    <t xml:space="preserve">Swing-Swing Kft. törzstőke emelés, tőketartalékba helyezés (Hangvilla üzletrész vásárlás) </t>
  </si>
  <si>
    <t>Swing-Swing Kft. nem önkormányzati tulajdonban lévő üzletrészeinek megvásárlása</t>
  </si>
  <si>
    <t>Swing-Swing Kft. (Hangvilla) szolgáltatás vásárlás</t>
  </si>
  <si>
    <t xml:space="preserve">V-Busz Kft. szolgáltatás vásárlás </t>
  </si>
  <si>
    <t xml:space="preserve">       Parkfenntartás</t>
  </si>
  <si>
    <t xml:space="preserve">       Köztisztasági feladatok</t>
  </si>
  <si>
    <t xml:space="preserve">       Egyéb városüzemeltetési feladatok</t>
  </si>
  <si>
    <t xml:space="preserve">      Temetők üzemeltetésével kapcsolatos feladatok</t>
  </si>
  <si>
    <t>VKSZ Zrt. által ellátott intézményüzemeltetési feladatok:</t>
  </si>
  <si>
    <t xml:space="preserve">       Intézményi karbantartási költségek</t>
  </si>
  <si>
    <t xml:space="preserve">       Intézményi működtetők költsége</t>
  </si>
  <si>
    <t xml:space="preserve">       Intézményi közüzemi költségek</t>
  </si>
  <si>
    <t>Villamos energia beszerzésre irányuló pénzügyi kötelezettségvállalás (Intézmények)</t>
  </si>
  <si>
    <t>Villamos energia beszerzésre irányuló pénzügyi kötelezettségvállalás (Közvilágítás célú)</t>
  </si>
  <si>
    <t>Földgáz energia beszerzésre irányuló pénzügyi kötelezettségvállalás</t>
  </si>
  <si>
    <t>Veszprém város önkormányzati bel- és külterületi közútjainak, járdáinak és úthoz tartozó műtárgyainak fenntartásával és karbantartásával kapcsolatos pénzügyi kötelezettségvállalás</t>
  </si>
  <si>
    <t>Veszprém Stromfeld A. u. 9/E. szám alatti ingatlanrész rendőrségi körzeti megbízotti iroda működtetése céljára</t>
  </si>
  <si>
    <t>Sport marketing tárgyú több éves szolgáltatásvásárlási szerződés megkötése érdekében pénzügyi kötelezettségvállalás</t>
  </si>
  <si>
    <t>Veszprémi Egyetemi és Diák Atlétikai Clubbal megkötött együttműködési megállapodás</t>
  </si>
  <si>
    <t>Veszprém Kosárlabda Korlátolt Felelősségű Társasággal megkötött együttműködési megállapodás (Veszprémi Egyetemi SC kosárlabda szakosztály)</t>
  </si>
  <si>
    <t>Veszprémi Foci Centrum Utánpótlás Sportegyesülettel együttműködési megállapodás megkötése</t>
  </si>
  <si>
    <t>Az 1. Futsal Club Veszprémmel megkötött együttműködési megállapodás</t>
  </si>
  <si>
    <t>Veszprémi Labdarúgó és Sportszervező Korlátolt Felelősségű Társasággal megkötött együttműködési megállapodás</t>
  </si>
  <si>
    <t>Jutasi úti műfüves sportpálya fenntartási és működési költségeihez történő hozzájárulás</t>
  </si>
  <si>
    <t>Signator Audit Könyvvizsgáló Kft-vel kötött megbízási szerződés könyvvizsgálói feladatok ellátására</t>
  </si>
  <si>
    <t>VMJV Önkormányzatánál, költségvetési szerveinél, valamint a Veszprémi Kistérség Többcélú Társulása Egyesített Szociális Intézménynél foglalkozás-egészségügyi szolgáltatás ellátásával kapcsolatos pénzügyi kötelezettségvállalás</t>
  </si>
  <si>
    <t>Cuha Völgye Egyesületi tagdíj (5 Ft/lakos)</t>
  </si>
  <si>
    <t>ÖKOpolisz Klaszter tagdíj</t>
  </si>
  <si>
    <t>A Települési Önkormányzatok Országos Szövetségéhez történő csatlakozásról</t>
  </si>
  <si>
    <t>A Klímabarát Települések Szövetségéhez történő csatlakozásról</t>
  </si>
  <si>
    <t>Balatoni Szövetség</t>
  </si>
  <si>
    <t>Megyei Jogú Városok Szövetsége tagdíj</t>
  </si>
  <si>
    <t>Európai Városok Szövetsége tagdíj</t>
  </si>
  <si>
    <t>Szenvedélybetegek ellátásának működési kiadásaihoz támogatás (Alkohol-Drogsegély Ambulancia - ellátási szerződés)</t>
  </si>
  <si>
    <t>Máltai Szeretetszolgálat (ellátási szerződés)</t>
  </si>
  <si>
    <t>Bérlakások üzemeltetési költségei: „VESZOL” Veszprémi Közösségi Lakásügynökség Nonprofit Kft.-vel megkötött szolgáltatásvásárlási szerződés</t>
  </si>
  <si>
    <t>Polgármesteri Hivatal használatában lévő nyomatkészítő eszközök bérletét és üzemeltetését érintő, 2021-2022. évi előzetes pénzügyi kötelezettségvállalás</t>
  </si>
  <si>
    <t>Megállapodás megkötése üzemidő hasznosítás tárgyában  a Veszprémi Programiroda Rendezvényszervező és Kulturális Szolgáltató Kft.-vel</t>
  </si>
  <si>
    <t>Kertek és Kolostorok működtetése</t>
  </si>
  <si>
    <t>Városi kiemelt fesztiválok körének meghatározása</t>
  </si>
  <si>
    <t>Az Önkormányzat vagyonbiztosításával kapcsolatos pénzügyi kötelezettségvállalás</t>
  </si>
  <si>
    <t>Veszprém Megyei Jogú Város Polgármesteri Hivatal „Takarítási feladatainak ellátásával” kapcsolatos pénzügyi kötelezettségvállalás</t>
  </si>
  <si>
    <t>Veszprém Megyei Jogú Város Polgármesteri Hivatal „Őrzés-védelmi és portaszolgálat” feladatainak ellátásával kapcsolatos pénzügyi kötelezettségvállalás</t>
  </si>
  <si>
    <t>Az alapellátási központi orvosi ügyelet működtetésével kapcsolatos pénzügyi kötelezettségvállalás</t>
  </si>
  <si>
    <t>Egészségügyi feladatok ellátása - Veszprémi Csolnoky Ferenc Kórházzal kötött használati szerződés</t>
  </si>
  <si>
    <t>Döntés „VMJV Önkormányzatánál, költségvetési szerveinél, valamint a Veszprémi Kistérség Többcélú Társulása Egyesített Szociális Intézménynél munka- és tűzvédelmi feladatok” ellátásával kapcsolatos pénzügyi kötelezettségvállalásról</t>
  </si>
  <si>
    <t>Német Nemzetiségi Önk. helyiségének bérleti díja</t>
  </si>
  <si>
    <t>Előzetes kötelezettségvállalás diákétkeztetésre</t>
  </si>
  <si>
    <t>A gyermekétkeztetés biztosításával kapcsolatos előzetes pénzügyi kötelezettségvállalás</t>
  </si>
  <si>
    <t>A Veszprémi Intézményi Szolgáltató Szervezet diákétkeztetési
közfeladatainak ellátásához szükséges étkezési nyilvántartó program beszerzésével kapcsolatos pénzügyi kötelezettségvállalás</t>
  </si>
  <si>
    <t>Aveszprémi óvodák gyermekétkeztetési közfeladat ellátása érdekében  élelmezési nyilvántartó program és közkonyha szoftver beszerzéséhez szükséges pénzügyi kötelezettségvállalás</t>
  </si>
  <si>
    <t>A 2021. évi szünidei gyermekétkeztetés költségével kapcsolatos előzetes pénzügyi kötelezettségvállalás</t>
  </si>
  <si>
    <t>Veszprémi Csillag Úti Körzeti Óvoda gyermekétkeztetésést érintő előzetes pénzügyi kötelezettségvállalás</t>
  </si>
  <si>
    <t>VMJV Polgármesteri Hivatal adószámla kivonat elkészítésével kapcsolatos pénzügyi kötelezettségvállalás</t>
  </si>
  <si>
    <t>Polgármesteri Hivatal mobil távközlési szolgáltatások igénybevételével kapcsolatos pénzügyi kötelezettségvállalás</t>
  </si>
  <si>
    <t>A 2021. évi köztemetések költségével kapcsolatos előzetes pénzügyi kötelezettségvállalás</t>
  </si>
  <si>
    <t>Támogatási igény benyújtása és 2021-2022. évi előzetes pénzügyi kötelezettségvállalás a belterületi utak megújítása érdekében</t>
  </si>
  <si>
    <t>Az ebrendészeti feladatok külső szolgáltatóval történő ellátásáról 2021. évben és az előzetes pénzügyi kötelezettségvállalás</t>
  </si>
  <si>
    <t>A Laczkó Dezső Múzeummal kötendő műtárgykölcsönzési szerződést érintő 2021-2025. évi előzetes pénzügyi kötelezettségvállalás</t>
  </si>
  <si>
    <t>Határozati rendelkezések hatályon kívül helyezése és az adatvédelmi, valamint információbiztonsági szolgáltatás beszerzését érintő előzetes pénzügyi kötelezettségvállalás</t>
  </si>
  <si>
    <r>
      <t>VKSZ Zrt. által ellátott városüzemeltetési feladatok</t>
    </r>
    <r>
      <rPr>
        <sz val="10"/>
        <rFont val="Palatino Linotype"/>
        <family val="1"/>
        <charset val="238"/>
      </rPr>
      <t xml:space="preserve"> közszolgáltatási keretmegállapodás alapján:</t>
    </r>
  </si>
  <si>
    <t xml:space="preserve">         - Veszprém várostörténeti kiadványok előkészítése</t>
  </si>
  <si>
    <t xml:space="preserve">          - Ex Symposion Alapítvány</t>
  </si>
  <si>
    <t>Település üzemeltetés - zöldterület-gazdálkodás támogatása</t>
  </si>
  <si>
    <t>Település üzemeltetés - közvilágítás támogatása</t>
  </si>
  <si>
    <t>Település üzemeltetés - köztemető támogatása</t>
  </si>
  <si>
    <t>Település üzemeltetés - közutak támogatása</t>
  </si>
  <si>
    <t>Volt Büfé helyett tárgyaló kialakítás, adálymentes vizesblokk megvalósítása, nyílászáró csere</t>
  </si>
  <si>
    <t>és egyéb kiegészítő támogatásainak alakulása 2020. és 2021. évben</t>
  </si>
  <si>
    <t>Haszkovó lakótelep újjáélesztése</t>
  </si>
  <si>
    <t>Állatvédelmi Kompetencia Központ beruházás - tőketartalékba helyezés</t>
  </si>
  <si>
    <t>1. melléklet a 7/2021. (II.25.) önkormányzati rendelethez</t>
  </si>
  <si>
    <t>1/A. melléklet a 7/2021. (II.25.) önkormányzati rendelethez</t>
  </si>
  <si>
    <t>2. melléklet a 7/2021. (II.25.) önkormányzati rendelethez</t>
  </si>
  <si>
    <t>3. melléklet a 7/2021. (II.25.) önkormányzati rendelethez</t>
  </si>
  <si>
    <t>3/A. melléklet a 7/2021. (II.25.) önkormányzati rendelethez</t>
  </si>
  <si>
    <t>4. melléklet a 7/2021. (II.25.) önkormányzati rendelethez</t>
  </si>
  <si>
    <t>5. melléklet a 7/2021. (II.25.) önkormányzati rendelethez</t>
  </si>
  <si>
    <t>6. melléklet a 7/2021. (II.25.) önkormányzati rendelethez</t>
  </si>
  <si>
    <t>6/A. melléklet a 7/2021. (II.25.) önkormányzati rendelethez</t>
  </si>
  <si>
    <t>7. melléklet a 7/2021. (II.25.) önkormányzati rendelethez</t>
  </si>
  <si>
    <t>8. melléklet a 7/2021. (II.25.) önkormányzati rendelethez</t>
  </si>
  <si>
    <t>9. melléklet a 7/2021. (II.25.) önkormányzati rendelethez</t>
  </si>
  <si>
    <t>10. melléklet a 7/2021. (II.25.) önkormányzati rendelethez</t>
  </si>
  <si>
    <t>11. melléklet a 7/2021. (II.25.) önkormányzati rendelethez</t>
  </si>
  <si>
    <t>12. melléklet a 7/2021. (II.25.) önkormányzati rendelethez</t>
  </si>
  <si>
    <t>13. melléklet a 7/2021. (II.25.) önkormányzati rendelethez</t>
  </si>
  <si>
    <t>14. melléklet a 7/2021. (II.25.) önkormányzati rendelethez</t>
  </si>
  <si>
    <t>15. melléklet a 7/2021. (II.25.) önkormányzati rendelethez</t>
  </si>
  <si>
    <t>15/A. melléklet a 7/2021. (II.25.) önkormányzati rendelethez</t>
  </si>
  <si>
    <t>15/B. melléklet a 7/2021. (II.25.) önkormányzati rendelethez</t>
  </si>
  <si>
    <t>16. melléklet a 7/2021. (II.25.) önkormányzati rendelethez</t>
  </si>
  <si>
    <t>17. melléklet a 7/2021. (II.25.) önkormányzati rendelethez</t>
  </si>
  <si>
    <t>2021. évi eredeti előirányzat</t>
  </si>
  <si>
    <t>2021. évi módosított előirányzat 1.</t>
  </si>
  <si>
    <t xml:space="preserve"> - Projekt kiadásokhoz kapcsolódó céltartalék</t>
  </si>
  <si>
    <t>módosítás- költségvetési maradvány</t>
  </si>
  <si>
    <t>módosított előirányzat 1.</t>
  </si>
  <si>
    <t>áfa visszatérülés</t>
  </si>
  <si>
    <t>módosítás-</t>
  </si>
  <si>
    <t>módosítás- Szociális ágazati összevont pótlék (2020. december hó - 2021. február hó)</t>
  </si>
  <si>
    <t>költségvetési maradvány</t>
  </si>
  <si>
    <t>szakképzési hozzájárulás</t>
  </si>
  <si>
    <t>átcsoportosítás orvosi rendelő bebútorozására</t>
  </si>
  <si>
    <t>Szociális és Gyermekvédelmi Főigazgatóság - fejlesztő foglalkoztatás támogatása</t>
  </si>
  <si>
    <t>nyugdíjas szervezetek pályázati keret</t>
  </si>
  <si>
    <t>NKA pályázati támogatás</t>
  </si>
  <si>
    <t>személyi költségek fedezetére</t>
  </si>
  <si>
    <t>régészeti projekt elmaradás, pandémia miatti bevételkiesés</t>
  </si>
  <si>
    <t>Alapítványi céltámogatás képtároló rendszer beszerzésére, áfa visszatérülés</t>
  </si>
  <si>
    <t>módosítás- ágazati bértámogatás</t>
  </si>
  <si>
    <t>Népszámlálás - 2021. évi együttműködési megállapodás megszüntetése</t>
  </si>
  <si>
    <t>átcsoportosítás Ister DTP Interreg Projektre</t>
  </si>
  <si>
    <t>átcsoportosítás EKF II. ütem személyi és járulék kiadásaira</t>
  </si>
  <si>
    <t>EKF V. ütem átcsoportosítás</t>
  </si>
  <si>
    <t>EKF VII. ütem támogatási szerződés szerint</t>
  </si>
  <si>
    <t>nyugdíjas szervezetk számára pályázati keret</t>
  </si>
  <si>
    <t>átcsoportosítás</t>
  </si>
  <si>
    <t>Alapítványi céltámogatás képtároló rendszer beszerzésére</t>
  </si>
  <si>
    <t>módosítás- átcsoportosítás</t>
  </si>
  <si>
    <t>módosítás- átcsoportosítás önkormányzati feladatokról</t>
  </si>
  <si>
    <t>Európa Kulturális Fővárosa VII. ütem</t>
  </si>
  <si>
    <t>módosítás- támogatási szerződés szerint</t>
  </si>
  <si>
    <t>módosítás- 2021. évi együttműködési megállapodás megszüntetése</t>
  </si>
  <si>
    <r>
      <t xml:space="preserve">Tárgyi eszközök beszerzése </t>
    </r>
    <r>
      <rPr>
        <i/>
        <sz val="10"/>
        <rFont val="Palatino Linotype"/>
        <family val="1"/>
        <charset val="238"/>
      </rPr>
      <t>(irodai szék, szőnyeg, párakapu, hangszerkészlet</t>
    </r>
    <r>
      <rPr>
        <sz val="10"/>
        <rFont val="Palatino Linotype"/>
        <family val="1"/>
        <charset val="238"/>
      </rPr>
      <t>)</t>
    </r>
  </si>
  <si>
    <r>
      <t xml:space="preserve">Informatikai eszközök beszerzése </t>
    </r>
    <r>
      <rPr>
        <i/>
        <sz val="10"/>
        <rFont val="Palatino Linotype"/>
        <family val="1"/>
        <charset val="238"/>
      </rPr>
      <t>(laptopok)</t>
    </r>
  </si>
  <si>
    <t>Okos tv hordozható szekrénnyel</t>
  </si>
  <si>
    <r>
      <t xml:space="preserve">Tárgyi eszközök beszerzése </t>
    </r>
    <r>
      <rPr>
        <i/>
        <sz val="10"/>
        <rFont val="Palatino Linotype"/>
        <family val="1"/>
        <charset val="238"/>
      </rPr>
      <t>(öltözőszekrények, párakapu, mosogató és szárító állvány)</t>
    </r>
  </si>
  <si>
    <r>
      <t xml:space="preserve">Informatikai eszközök beszerzése </t>
    </r>
    <r>
      <rPr>
        <i/>
        <sz val="10"/>
        <rFont val="Palatino Linotype"/>
        <family val="1"/>
        <charset val="238"/>
      </rPr>
      <t>(laptop, asztali számítógép, monitor)</t>
    </r>
  </si>
  <si>
    <t>Udvati játékok (egyensúlyozó gerenda, kézi malomkő)</t>
  </si>
  <si>
    <r>
      <t xml:space="preserve">Tárgyi eszközök beszerzése </t>
    </r>
    <r>
      <rPr>
        <i/>
        <sz val="10"/>
        <rFont val="Palatino Linotype"/>
        <family val="1"/>
        <charset val="238"/>
      </rPr>
      <t>(gyerekfektetők, gyerekasztalok, gyerekszékek, függönyök, szőnyegek, porszívók, vasalók, egyéb bútorzat, redőny, roló, szúnyogháló, konyhai kisgépek, saválló asztal, karnis, irodai szék, magasnyomású mosó, ágyazószekrény, tárgyalószék, tartós szakmai eszköz és játék, zárható irattároló szekrény)</t>
    </r>
  </si>
  <si>
    <t>Szárítógép</t>
  </si>
  <si>
    <t>Terasz árnyékolás, kitekerhető roló</t>
  </si>
  <si>
    <t>Udvari játék és játéktároló láda</t>
  </si>
  <si>
    <r>
      <t xml:space="preserve">Tárgyi eszközök beszerzése </t>
    </r>
    <r>
      <rPr>
        <i/>
        <sz val="10"/>
        <rFont val="Palatino Linotype"/>
        <family val="1"/>
        <charset val="238"/>
      </rPr>
      <t>(gyerekfektetők, gyerekasztalok, gyerekszékek, függönyök, szőnyegek, porszívók, vasalók, egyéb bútorzat, tartós szakmai eszköz és játék, zárható irattároló szekrény, irodai szék)</t>
    </r>
  </si>
  <si>
    <r>
      <t xml:space="preserve">Tárgyi eszközök beszerzése </t>
    </r>
    <r>
      <rPr>
        <i/>
        <sz val="10"/>
        <rFont val="Palatino Linotype"/>
        <family val="1"/>
        <charset val="238"/>
      </rPr>
      <t>(porszívók, reluxák, vasalók, mikrók,  iratmegsemmisítő, papírvágó, hűtőventillátorok, fűtőventillátorok, asztali telefonok,	mobiltelefonok)</t>
    </r>
  </si>
  <si>
    <t xml:space="preserve">Informatikia eszközök beszerzése: NOTEBOOK -operációs rendszerrrel </t>
  </si>
  <si>
    <r>
      <t xml:space="preserve">Informatikai eszközök beszerzése: </t>
    </r>
    <r>
      <rPr>
        <i/>
        <sz val="10"/>
        <rFont val="Palatino Linotype"/>
        <family val="1"/>
        <charset val="238"/>
      </rPr>
      <t>Multifunkciós nyomtató</t>
    </r>
  </si>
  <si>
    <r>
      <t>Tárgyi eszközök beszerzése</t>
    </r>
    <r>
      <rPr>
        <i/>
        <sz val="10"/>
        <rFont val="Palatino Linotype"/>
        <family val="1"/>
        <charset val="238"/>
      </rPr>
      <t xml:space="preserve"> (hűtő, hűtőventillátorok, fűtőventillátorok, mobiltelefonok, vasalók, edényszárító állvány)</t>
    </r>
  </si>
  <si>
    <r>
      <t>Tárgyi eszközök beszerzése</t>
    </r>
    <r>
      <rPr>
        <i/>
        <sz val="10"/>
        <rFont val="Palatino Linotype"/>
        <family val="1"/>
        <charset val="238"/>
      </rPr>
      <t xml:space="preserve"> (konyhai és szakmai eszközök)</t>
    </r>
  </si>
  <si>
    <t>Napvitorlák</t>
  </si>
  <si>
    <r>
      <t xml:space="preserve">Tárgyi eszközök beszerzése </t>
    </r>
    <r>
      <rPr>
        <i/>
        <sz val="10"/>
        <rFont val="Palatino Linotype"/>
        <family val="1"/>
        <charset val="238"/>
      </rPr>
      <t>(hűtőszekrény, mosógép, konyhai és szakmai eszközök)</t>
    </r>
  </si>
  <si>
    <r>
      <t xml:space="preserve">Tárgyi eszközök beszerzése </t>
    </r>
    <r>
      <rPr>
        <i/>
        <sz val="10"/>
        <rFont val="Palatino Linotype"/>
        <family val="1"/>
        <charset val="238"/>
      </rPr>
      <t>(mosógép, szárítógép, konyhai és szakmai eszközök)</t>
    </r>
  </si>
  <si>
    <r>
      <t xml:space="preserve">Tárgyi eszközök beszerzése </t>
    </r>
    <r>
      <rPr>
        <i/>
        <sz val="10"/>
        <rFont val="Palatino Linotype"/>
        <family val="1"/>
        <charset val="238"/>
      </rPr>
      <t>(mosógép, laptop, szekrények, asztalok, székek, nyyomtató, konyhai és szakmai eszközök)</t>
    </r>
  </si>
  <si>
    <r>
      <t xml:space="preserve">Tárgyi eszközök beszerzése </t>
    </r>
    <r>
      <rPr>
        <i/>
        <sz val="10"/>
        <rFont val="Palatino Linotype"/>
        <family val="1"/>
        <charset val="238"/>
      </rPr>
      <t>(mosógép, hűtőszekrény, konyhai és szakmai eszközök)</t>
    </r>
  </si>
  <si>
    <r>
      <t>Tárgyi eszközök beszerzése (</t>
    </r>
    <r>
      <rPr>
        <i/>
        <sz val="10"/>
        <rFont val="Palatino Linotype"/>
        <family val="1"/>
        <charset val="238"/>
      </rPr>
      <t>szakmai eszközök)</t>
    </r>
  </si>
  <si>
    <t>Ördögárok u. 5. gyermekorvosi rendelő bútorzat cseréje</t>
  </si>
  <si>
    <r>
      <t xml:space="preserve">Tárgyi eszközök beszerzése </t>
    </r>
    <r>
      <rPr>
        <i/>
        <sz val="10"/>
        <rFont val="Palatino Linotype"/>
        <family val="1"/>
        <charset val="238"/>
      </rPr>
      <t>(kartotékszekrény, forgószékek, kerékpártároló, szakmai eszközök)</t>
    </r>
  </si>
  <si>
    <r>
      <t xml:space="preserve">Informatikai eszközök beszerzése </t>
    </r>
    <r>
      <rPr>
        <i/>
        <sz val="10"/>
        <rFont val="Palatino Linotype"/>
        <family val="1"/>
        <charset val="238"/>
      </rPr>
      <t>(számítógépek, nyomtatók, mobil telefonok)</t>
    </r>
  </si>
  <si>
    <r>
      <t xml:space="preserve">Tárgyi eszközök beszerzése </t>
    </r>
    <r>
      <rPr>
        <i/>
        <sz val="10"/>
        <rFont val="Palatino Linotype"/>
        <family val="1"/>
        <charset val="238"/>
      </rPr>
      <t>(telefonok, konyhai eszközök, egyéb tönkrement kisértékű eszközök pótlása)</t>
    </r>
  </si>
  <si>
    <t>Számítógép</t>
  </si>
  <si>
    <r>
      <t xml:space="preserve">Tárgyi eszközök beszerzése </t>
    </r>
    <r>
      <rPr>
        <b/>
        <sz val="10"/>
        <rFont val="Palatino Linotype"/>
        <family val="1"/>
        <charset val="238"/>
      </rPr>
      <t xml:space="preserve">Mikszáth K.u.13. </t>
    </r>
    <r>
      <rPr>
        <i/>
        <sz val="10"/>
        <rFont val="Palatino Linotype"/>
        <family val="1"/>
        <charset val="238"/>
      </rPr>
      <t>(digitális lázmérő, fertőtlenítő állomás, kártyaolvasó, bútor, szőnyeg, függöny, mobiltelefon, mikró, kávéfőző, vízmelegítő, tűzhely,ventilátor/hősugárzó, külső winchester, router, iratmegsemmisítő, porszívó,  játék/társasjáték, konyhai eszközök)</t>
    </r>
  </si>
  <si>
    <r>
      <t xml:space="preserve">Tárgyi eszközök beszerzése </t>
    </r>
    <r>
      <rPr>
        <b/>
        <sz val="10"/>
        <rFont val="Palatino Linotype"/>
        <family val="1"/>
        <charset val="238"/>
      </rPr>
      <t>Pápai út 37. - CSÁO</t>
    </r>
    <r>
      <rPr>
        <sz val="10"/>
        <rFont val="Palatino Linotype"/>
        <family val="1"/>
        <charset val="238"/>
      </rPr>
      <t xml:space="preserve"> </t>
    </r>
    <r>
      <rPr>
        <i/>
        <sz val="10"/>
        <rFont val="Palatino Linotype"/>
        <family val="1"/>
        <charset val="238"/>
      </rPr>
      <t>(digitális lázmérő, légzésfigyelő, elektromos streizáló (cumisüveg), fertőtlenítő állomás, bébiőr,  hűtő/fagyasztó, boyler,  bútor, szőnyeg, függöny, mobiltelefon, mikró, kávéfőző, vízmelegítő, ventilátor/hősugárzó, külső winchester, router, iratmegsemmisítő, porszívó, mérleg,  szárítógép, konyhai eszközök)</t>
    </r>
  </si>
  <si>
    <r>
      <t xml:space="preserve">Tárgyi eszközök beszerzése </t>
    </r>
    <r>
      <rPr>
        <b/>
        <sz val="10"/>
        <rFont val="Palatino Linotype"/>
        <family val="1"/>
        <charset val="238"/>
      </rPr>
      <t>Rózsa u. 48</t>
    </r>
    <r>
      <rPr>
        <sz val="10"/>
        <rFont val="Palatino Linotype"/>
        <family val="1"/>
        <charset val="238"/>
      </rPr>
      <t xml:space="preserve">  </t>
    </r>
    <r>
      <rPr>
        <i/>
        <sz val="10"/>
        <rFont val="Palatino Linotype"/>
        <family val="1"/>
        <charset val="238"/>
      </rPr>
      <t>(fertőtlenítő állomás, digitális lázmérő, bútor, szőnyeg, függöny, mobiltelefon, mikró, kávéfőző, vízmelegítő, ventilátor /hősugárzó, külső winchester, router, iratmegsemmisítő, porszívó, játék/társasjáték, konyhai eszközök)</t>
    </r>
  </si>
  <si>
    <t>4 db laptop</t>
  </si>
  <si>
    <t>öltözősátor</t>
  </si>
  <si>
    <t>40 db összecsukható szék</t>
  </si>
  <si>
    <t>6 db reflektor</t>
  </si>
  <si>
    <r>
      <t xml:space="preserve">Informatikai eszközök beszerzése </t>
    </r>
    <r>
      <rPr>
        <i/>
        <sz val="10"/>
        <rFont val="Palatino Linotype"/>
        <family val="1"/>
        <charset val="238"/>
      </rPr>
      <t>(számítogépek, szoftver, laptop, Win-office)</t>
    </r>
  </si>
  <si>
    <t>Műalkotások: kortárs gyűjtemény gyarapítása</t>
  </si>
  <si>
    <t>Tárgyi eszközök beszerzése (Amerikai Kuckó: monitor, egér, SSD kártya, Iphone állvány, külső merevlemez, forgószék)</t>
  </si>
  <si>
    <t>Honlapfejlesztés</t>
  </si>
  <si>
    <t>Pénztárgép</t>
  </si>
  <si>
    <t>Mosdókád textilrestaurátor műhelybe</t>
  </si>
  <si>
    <t>Képtároló rendszer beszerzése</t>
  </si>
  <si>
    <t>Hagyaték/szamizdat gyűjtemény vásárlása</t>
  </si>
  <si>
    <t>Informatikai eszközök beszerzése (laptopok, asztali gépek, monitorok, nyomtatók)</t>
  </si>
  <si>
    <r>
      <t xml:space="preserve">Tárgyi eszközök beszerzése </t>
    </r>
    <r>
      <rPr>
        <i/>
        <sz val="10"/>
        <rFont val="Palatino Linotype"/>
        <family val="1"/>
        <charset val="238"/>
      </rPr>
      <t>(irodai székek, címkéző, porszívó, mobil telefonok)</t>
    </r>
  </si>
  <si>
    <t>Informatikai eszközök (számítógépek, router, külső winchester, hangszórók számítógépekhez)</t>
  </si>
  <si>
    <t>Autó nyári gumi garnitúra</t>
  </si>
  <si>
    <t>Hűtőszekrény (Bárczi Iskola)</t>
  </si>
  <si>
    <t>Szünetmentes áramforrás I.ütem</t>
  </si>
  <si>
    <t>Kisértékű tárgyi eszközök beszerzése (polcrendszer, virágtartó láda, gázkazán füstgáz elvezetésének átalakítása)</t>
  </si>
  <si>
    <t xml:space="preserve">módosítás- </t>
  </si>
  <si>
    <t>módosítás- átcsoportosítás Agóra VKK-nak</t>
  </si>
  <si>
    <t>Egészségügyi kiegészítő pótlék (2020. december hó - 2021. február hó)</t>
  </si>
  <si>
    <t>2020. évi állami támogatás elszámolás veszprémi ellátottakra jutó része</t>
  </si>
  <si>
    <t>2020. évi állami támogatás szakosított ellátottak elszámolása</t>
  </si>
  <si>
    <t>2021. évi veszprémi ellátottak finanszírozási kiadás korrekciója</t>
  </si>
  <si>
    <t>2020. évi állami támogatás elszámolás társult településekre jutó rész</t>
  </si>
  <si>
    <t>módosítás- idegenforgalmi adó</t>
  </si>
  <si>
    <t>Környezet terhelés vizsgálat K-Ny-i főtengely I. ütem</t>
  </si>
  <si>
    <t>VEDAC</t>
  </si>
  <si>
    <t>Futsal Club</t>
  </si>
  <si>
    <t>Veszprémi Foci Centrum Utánpótlás Sportegyesület</t>
  </si>
  <si>
    <t>Veszprém Fiatal Sportolóiért Alapítvány</t>
  </si>
  <si>
    <t>Veszprém Pannon SE női kézilabda</t>
  </si>
  <si>
    <t>Veszprémi Úszó Klub</t>
  </si>
  <si>
    <t>Balaton Úszó Klub</t>
  </si>
  <si>
    <t>Veszprémi Torna Club</t>
  </si>
  <si>
    <t>Veszprémi Egyetemi Sport Club női röplabda</t>
  </si>
  <si>
    <t>Szilágyi Diák Sportegyesület</t>
  </si>
  <si>
    <t>Dózsavárosi Diáksport Egyesület</t>
  </si>
  <si>
    <t>Sportolj Velünk SE</t>
  </si>
  <si>
    <t>Gyulafirátót SE</t>
  </si>
  <si>
    <t>Veszprémi Sí Egylet</t>
  </si>
  <si>
    <t>Veszprémi Tae Kwon Do SE</t>
  </si>
  <si>
    <t>Veszprémi Asztalitenisz Sportegyesület</t>
  </si>
  <si>
    <t>Centrum Diák- és Szabadidősport Egyesület</t>
  </si>
  <si>
    <t>Veszprémi Sportmászó Egyesület</t>
  </si>
  <si>
    <t>Domonkos László Veszprémi Judo és Szabadidő Közhasznú SE</t>
  </si>
  <si>
    <t>Veszprémi Honvéd SE</t>
  </si>
  <si>
    <t>Veszprémi Dózsa Sportkör - birkózó</t>
  </si>
  <si>
    <t>Ász Veszprémi Teniszezők Klubja</t>
  </si>
  <si>
    <t>Körmendi Ferenc Veszprémi Thai-Boksz SE</t>
  </si>
  <si>
    <t>Építők Természetbarát SE</t>
  </si>
  <si>
    <t>Veszprémi Spartacus SE</t>
  </si>
  <si>
    <t>Top Gym SE</t>
  </si>
  <si>
    <t>Veszprémi Kerékpáros Egyesület</t>
  </si>
  <si>
    <t>Veszprémi Szivárvány Integrált SE</t>
  </si>
  <si>
    <t>Kid Rock and Roll SE</t>
  </si>
  <si>
    <t>Golding Táncsport Egyesület</t>
  </si>
  <si>
    <t>Veszprémi Bridzs és Tájékozódási SE</t>
  </si>
  <si>
    <t>Veszprémi Ejtőernyős Egyesület</t>
  </si>
  <si>
    <t>Bakony Kendo és Iaido Club Veszprém</t>
  </si>
  <si>
    <t>Bakony Dinamikus Lövész Egyesület</t>
  </si>
  <si>
    <t>Carlson Gracie Bloodline Team SE</t>
  </si>
  <si>
    <t>Piros Életmód és SE</t>
  </si>
  <si>
    <t>Veszprémi Kempo SE</t>
  </si>
  <si>
    <t>Veszprémi Sportlövész Egyesület</t>
  </si>
  <si>
    <t>Utánpótlás Kézilabdakapus Képző Sportegyesület</t>
  </si>
  <si>
    <t>Veszprémi Harcművészetek Egyesület</t>
  </si>
  <si>
    <t>Légtorna és Légtánc Egyesület</t>
  </si>
  <si>
    <t>Veszprémi Lovas Klub</t>
  </si>
  <si>
    <t>Ezüst Huszár Sakkegyesület Veszprém</t>
  </si>
  <si>
    <t>Rendezvényi támogatás</t>
  </si>
  <si>
    <t>Veszprémi Asztalitenisz SE</t>
  </si>
  <si>
    <t>Laroco Motorsport Klub Veszprém</t>
  </si>
  <si>
    <t>Dózsavárosi DSE</t>
  </si>
  <si>
    <t>D.L. Veszprémi Judo SE</t>
  </si>
  <si>
    <t>Utánpótlás Kézilabdakapus Képző SE</t>
  </si>
  <si>
    <t>Olimpiai felkészülés céljára támogatás (Verseny és élsport)</t>
  </si>
  <si>
    <t>Sportolj Velünk SE (Bartha-Kéri Bianka)</t>
  </si>
  <si>
    <t>Sportolj Velünk SE (Szögi István Dániel)</t>
  </si>
  <si>
    <t>VEDAC (Orbán Éva)</t>
  </si>
  <si>
    <t>VEDAC (Pásztor Bence)</t>
  </si>
  <si>
    <t>Veszprémi Sí Egylet (Kónya Ádám)</t>
  </si>
  <si>
    <t>Balaton Úszó Klub (Rasovszky Kristóf)</t>
  </si>
  <si>
    <t>Balaton Úszó Klub (Kalmár Ákos)</t>
  </si>
  <si>
    <t>Veszprém Megyei Diáksport Egyesület</t>
  </si>
  <si>
    <t>Nemzetközi Sportkapcsolatok</t>
  </si>
  <si>
    <t>2020. évi              tény</t>
  </si>
  <si>
    <t>Önkormányzati érdekeket érintő településrendezési eszközök módosítása</t>
  </si>
  <si>
    <r>
      <t>VESZOL - Veszprém, Pápai u. 37. sz. munkásszálló működetési feladatai -</t>
    </r>
    <r>
      <rPr>
        <i/>
        <sz val="11"/>
        <rFont val="Palatino Linotype"/>
        <family val="1"/>
        <charset val="238"/>
      </rPr>
      <t xml:space="preserve"> tönkrement bútorok, eszközök pótlása, ózongenerátor, egyéb kis értékű tárgyi eszközök beszerzése</t>
    </r>
  </si>
  <si>
    <t>Bakonykarszt - lakossági vízbekötés</t>
  </si>
  <si>
    <t xml:space="preserve">Gyulafirátót Posta u. 15. sz.alatti hivatali épületben új gázkazán beépítése, gáz, fűtési rendszer tervezése, szivattyú beépítés, füstgáz elvezetés </t>
  </si>
  <si>
    <t>MLSZ TAO pályaépítési program</t>
  </si>
  <si>
    <t>2020. évi              tény*</t>
  </si>
  <si>
    <t>módosítás- új támogatási szerződés</t>
  </si>
  <si>
    <t>TOP-6.2.1-16-VP1-2020-00003  A Veszprémi Bölcsődei és Egészségügyi Alapellátási Integrált Intézmény Módszertani Bölcsődéje megújítása, illetve bölcsődei eszközbeszerzések</t>
  </si>
  <si>
    <t>módosítás- átcsoportosítás polgármesteri hivatali feladatokra</t>
  </si>
  <si>
    <t>URBRACT III. fenntartható városfejlesztés európai városhálózat projekt</t>
  </si>
  <si>
    <t>módosítás- átcsoportosítás (elszámolás alapján)</t>
  </si>
  <si>
    <t>800 méteres futókör építése a "Kolostorok és Kertek a veszprémi vár tövében" elnevezésű közpark területén</t>
  </si>
  <si>
    <t>módosítás- költségvetési maradványból, pályázati támogatásból</t>
  </si>
  <si>
    <t>Modern Városok Program keretében megvalósuló veszprémi belterületi közúthálózat fejlesztése projekt során az építési engedélyhez nem kötött felújítások, rekonstrukciók előkészítéséhez kapcsolódó beruházás lebonyolítói tevékenység ellátása a lakóutak és fő közlekedési utak tekintetében</t>
  </si>
  <si>
    <t>módosítás- költségvetési maradványból</t>
  </si>
  <si>
    <t>Ingatlanvásárlás (Málta, volt postaépület) 2551 hrsz-ú  ingatlan</t>
  </si>
  <si>
    <t>módosítás- támogatási szerződés</t>
  </si>
  <si>
    <t>Kiskuti csárda 0270/1, 02720/2, 0270/3, 0274/3, 0270/7 hrsz-ú ingatlan</t>
  </si>
  <si>
    <t>Önerő összesen</t>
  </si>
  <si>
    <t>Európa Kulturális Fővárosa  VII. ütem</t>
  </si>
  <si>
    <t>Várkert, tűztorony</t>
  </si>
  <si>
    <t>Digitális Alagút</t>
  </si>
  <si>
    <t>Várbörtön</t>
  </si>
  <si>
    <t>Volt Bútorgyár</t>
  </si>
  <si>
    <t>VII. ütem összesen</t>
  </si>
  <si>
    <t>2021. évi engedélyezett (módosított) létszám</t>
  </si>
  <si>
    <t>2021. május 1-től 2021. december 31-ig határozott időtartamra 1 fő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</si>
</sst>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F_t_-;\-* #,##0.00\ _F_t_-;_-* &quot;-&quot;??\ _F_t_-;_-@_-"/>
    <numFmt numFmtId="164" formatCode="0.000"/>
    <numFmt numFmtId="165" formatCode="0.0%"/>
  </numFmts>
  <fonts count="53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name val="Palatino Linotype"/>
      <family val="1"/>
      <charset val="238"/>
    </font>
    <font>
      <sz val="10"/>
      <name val="Arial"/>
      <family val="2"/>
      <charset val="238"/>
    </font>
    <font>
      <b/>
      <sz val="11"/>
      <name val="Palatino Linotype"/>
      <family val="1"/>
      <charset val="238"/>
    </font>
    <font>
      <i/>
      <sz val="11"/>
      <name val="Palatino Linotype"/>
      <family val="1"/>
      <charset val="238"/>
    </font>
    <font>
      <sz val="9"/>
      <name val="Palatino Linotype"/>
      <family val="1"/>
      <charset val="238"/>
    </font>
    <font>
      <sz val="8"/>
      <name val="Arial CE"/>
      <charset val="238"/>
    </font>
    <font>
      <sz val="12"/>
      <name val="Times New Roman"/>
      <family val="1"/>
      <charset val="238"/>
    </font>
    <font>
      <sz val="8"/>
      <name val="Palatino Linotype"/>
      <family val="1"/>
      <charset val="238"/>
    </font>
    <font>
      <sz val="10"/>
      <name val="Palatino Linotype"/>
      <family val="1"/>
      <charset val="238"/>
    </font>
    <font>
      <b/>
      <sz val="9"/>
      <name val="Palatino Linotype"/>
      <family val="1"/>
      <charset val="238"/>
    </font>
    <font>
      <i/>
      <sz val="10"/>
      <name val="Palatino Linotype"/>
      <family val="1"/>
      <charset val="238"/>
    </font>
    <font>
      <b/>
      <sz val="10"/>
      <name val="Palatino Linotype"/>
      <family val="1"/>
      <charset val="238"/>
    </font>
    <font>
      <sz val="9"/>
      <name val="Arial CE"/>
      <charset val="238"/>
    </font>
    <font>
      <i/>
      <u/>
      <sz val="10"/>
      <name val="Palatino Linotype"/>
      <family val="1"/>
      <charset val="238"/>
    </font>
    <font>
      <b/>
      <i/>
      <sz val="10"/>
      <name val="Palatino Linotype"/>
      <family val="1"/>
      <charset val="238"/>
    </font>
    <font>
      <b/>
      <i/>
      <sz val="11"/>
      <name val="Palatino Linotype"/>
      <family val="1"/>
      <charset val="238"/>
    </font>
    <font>
      <sz val="7"/>
      <name val="Palatino Linotype"/>
      <family val="1"/>
      <charset val="238"/>
    </font>
    <font>
      <b/>
      <sz val="8"/>
      <name val="Palatino Linotype"/>
      <family val="1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sz val="11"/>
      <name val="Arial CE"/>
      <charset val="238"/>
    </font>
    <font>
      <sz val="10"/>
      <name val="Times New Roman"/>
      <family val="1"/>
      <charset val="238"/>
    </font>
    <font>
      <b/>
      <u/>
      <sz val="10"/>
      <name val="Palatino Linotype"/>
      <family val="1"/>
      <charset val="238"/>
    </font>
    <font>
      <b/>
      <u/>
      <sz val="11"/>
      <name val="Palatino Linotype"/>
      <family val="1"/>
      <charset val="238"/>
    </font>
    <font>
      <u/>
      <sz val="11"/>
      <name val="Palatino Linotype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u/>
      <sz val="12"/>
      <name val="Palatino Linotype"/>
      <family val="1"/>
      <charset val="238"/>
    </font>
    <font>
      <u/>
      <sz val="10"/>
      <name val="Palatino Linotype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Palatino Linotype"/>
      <family val="1"/>
      <charset val="238"/>
    </font>
    <font>
      <b/>
      <sz val="10"/>
      <color theme="5" tint="-0.499984740745262"/>
      <name val="Palatino Linotype"/>
      <family val="1"/>
      <charset val="238"/>
    </font>
    <font>
      <b/>
      <i/>
      <sz val="10"/>
      <color theme="5" tint="-0.499984740745262"/>
      <name val="Palatino Linotype"/>
      <family val="1"/>
      <charset val="238"/>
    </font>
    <font>
      <b/>
      <sz val="10"/>
      <color theme="5" tint="-0.499984740745262"/>
      <name val="Arial CE"/>
      <charset val="238"/>
    </font>
    <font>
      <b/>
      <i/>
      <sz val="10"/>
      <color theme="5" tint="-0.499984740745262"/>
      <name val="Arial CE"/>
      <charset val="238"/>
    </font>
    <font>
      <b/>
      <sz val="11"/>
      <color theme="5" tint="-0.499984740745262"/>
      <name val="Palatino Linotype"/>
      <family val="1"/>
      <charset val="238"/>
    </font>
    <font>
      <sz val="11"/>
      <color theme="5" tint="-0.499984740745262"/>
      <name val="Palatino Linotype"/>
      <family val="1"/>
      <charset val="238"/>
    </font>
    <font>
      <sz val="11"/>
      <color theme="1"/>
      <name val="Palatino Linotype"/>
      <family val="1"/>
      <charset val="238"/>
    </font>
    <font>
      <b/>
      <sz val="11"/>
      <color theme="1"/>
      <name val="Palatino Linotype"/>
      <family val="1"/>
      <charset val="238"/>
    </font>
    <font>
      <sz val="11"/>
      <color rgb="FF000000"/>
      <name val="Palatino Linotype"/>
      <family val="1"/>
      <charset val="238"/>
    </font>
    <font>
      <b/>
      <i/>
      <sz val="11"/>
      <color theme="5" tint="-0.499984740745262"/>
      <name val="Palatino Linotype"/>
      <family val="1"/>
      <charset val="238"/>
    </font>
    <font>
      <b/>
      <sz val="9"/>
      <color theme="5" tint="-0.499984740745262"/>
      <name val="Palatino Linotype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5" tint="-0.499984740745262"/>
      <name val="Palatino Linotype"/>
      <family val="1"/>
      <charset val="238"/>
    </font>
    <font>
      <i/>
      <sz val="10"/>
      <color theme="5" tint="-0.499984740745262"/>
      <name val="Palatino Linotype"/>
      <family val="1"/>
      <charset val="238"/>
    </font>
    <font>
      <b/>
      <sz val="10.5"/>
      <name val="Palatino Linotype"/>
      <family val="1"/>
      <charset val="238"/>
    </font>
    <font>
      <sz val="10.5"/>
      <name val="Palatino Linotype"/>
      <family val="1"/>
      <charset val="238"/>
    </font>
    <font>
      <sz val="10"/>
      <color theme="1"/>
      <name val="Palatino Linotype"/>
      <family val="1"/>
      <charset val="238"/>
    </font>
    <font>
      <b/>
      <i/>
      <u/>
      <sz val="11"/>
      <name val="Palatino Linotype"/>
      <family val="1"/>
      <charset val="238"/>
    </font>
    <font>
      <i/>
      <u/>
      <sz val="11"/>
      <name val="Palatino Linotype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hair">
        <color indexed="64"/>
      </right>
      <top style="dotted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53">
    <xf numFmtId="0" fontId="0" fillId="0" borderId="0"/>
    <xf numFmtId="43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2" fillId="0" borderId="0"/>
    <xf numFmtId="0" fontId="8" fillId="0" borderId="0"/>
    <xf numFmtId="0" fontId="9" fillId="0" borderId="0"/>
    <xf numFmtId="0" fontId="9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8" fillId="0" borderId="0"/>
    <xf numFmtId="0" fontId="4" fillId="0" borderId="0"/>
    <xf numFmtId="0" fontId="4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80">
    <xf numFmtId="0" fontId="0" fillId="0" borderId="0" xfId="0"/>
    <xf numFmtId="0" fontId="3" fillId="0" borderId="0" xfId="0" applyFont="1" applyFill="1" applyBorder="1" applyAlignment="1">
      <alignment vertical="center"/>
    </xf>
    <xf numFmtId="3" fontId="3" fillId="0" borderId="0" xfId="0" applyNumberFormat="1" applyFont="1" applyFill="1" applyBorder="1"/>
    <xf numFmtId="3" fontId="3" fillId="0" borderId="0" xfId="27" applyNumberFormat="1" applyFont="1" applyFill="1" applyAlignment="1">
      <alignment horizontal="center"/>
    </xf>
    <xf numFmtId="3" fontId="3" fillId="0" borderId="0" xfId="27" applyNumberFormat="1" applyFont="1" applyFill="1"/>
    <xf numFmtId="3" fontId="5" fillId="0" borderId="0" xfId="27" applyNumberFormat="1" applyFont="1" applyFill="1"/>
    <xf numFmtId="3" fontId="3" fillId="0" borderId="0" xfId="27" applyNumberFormat="1" applyFont="1" applyFill="1" applyAlignment="1">
      <alignment vertical="center"/>
    </xf>
    <xf numFmtId="3" fontId="3" fillId="0" borderId="0" xfId="27" applyNumberFormat="1" applyFont="1" applyFill="1" applyAlignment="1">
      <alignment horizontal="center" vertical="top"/>
    </xf>
    <xf numFmtId="3" fontId="3" fillId="0" borderId="0" xfId="27" applyNumberFormat="1" applyFont="1" applyFill="1" applyAlignment="1">
      <alignment horizontal="center" vertical="center"/>
    </xf>
    <xf numFmtId="3" fontId="6" fillId="0" borderId="0" xfId="27" applyNumberFormat="1" applyFont="1" applyFill="1" applyAlignment="1">
      <alignment horizontal="center" vertical="center"/>
    </xf>
    <xf numFmtId="3" fontId="5" fillId="0" borderId="0" xfId="0" applyNumberFormat="1" applyFont="1" applyFill="1" applyBorder="1"/>
    <xf numFmtId="3" fontId="5" fillId="0" borderId="0" xfId="27" applyNumberFormat="1" applyFont="1" applyFill="1" applyBorder="1"/>
    <xf numFmtId="3" fontId="3" fillId="0" borderId="0" xfId="27" applyNumberFormat="1" applyFont="1" applyFill="1" applyAlignment="1">
      <alignment vertical="top" wrapText="1"/>
    </xf>
    <xf numFmtId="0" fontId="3" fillId="0" borderId="0" xfId="0" applyFont="1" applyFill="1" applyAlignment="1">
      <alignment horizontal="center" vertical="center"/>
    </xf>
    <xf numFmtId="4" fontId="3" fillId="0" borderId="0" xfId="0" applyNumberFormat="1" applyFont="1" applyFill="1" applyBorder="1" applyAlignment="1">
      <alignment horizontal="left" vertical="center"/>
    </xf>
    <xf numFmtId="4" fontId="3" fillId="0" borderId="0" xfId="0" applyNumberFormat="1" applyFont="1" applyFill="1" applyAlignment="1">
      <alignment vertical="center"/>
    </xf>
    <xf numFmtId="4" fontId="7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1" fillId="0" borderId="1" xfId="0" applyFont="1" applyFill="1" applyBorder="1" applyAlignment="1">
      <alignment horizontal="center" vertical="center" textRotation="90"/>
    </xf>
    <xf numFmtId="0" fontId="3" fillId="0" borderId="2" xfId="0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vertical="center"/>
    </xf>
    <xf numFmtId="164" fontId="6" fillId="0" borderId="0" xfId="0" applyNumberFormat="1" applyFont="1" applyFill="1" applyBorder="1" applyAlignment="1">
      <alignment horizontal="left" vertical="center" wrapText="1" indent="3"/>
    </xf>
    <xf numFmtId="0" fontId="5" fillId="0" borderId="0" xfId="0" applyFont="1" applyFill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164" fontId="5" fillId="0" borderId="6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 wrapText="1"/>
    </xf>
    <xf numFmtId="4" fontId="5" fillId="0" borderId="0" xfId="0" applyNumberFormat="1" applyFont="1" applyFill="1" applyAlignment="1">
      <alignment vertical="center"/>
    </xf>
    <xf numFmtId="4" fontId="3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vertical="center" wrapText="1"/>
    </xf>
    <xf numFmtId="3" fontId="3" fillId="0" borderId="0" xfId="0" applyNumberFormat="1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/>
    <xf numFmtId="0" fontId="3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center"/>
    </xf>
    <xf numFmtId="3" fontId="3" fillId="0" borderId="0" xfId="0" applyNumberFormat="1" applyFont="1" applyBorder="1"/>
    <xf numFmtId="3" fontId="11" fillId="0" borderId="0" xfId="0" applyNumberFormat="1" applyFont="1" applyFill="1" applyAlignment="1">
      <alignment vertical="center"/>
    </xf>
    <xf numFmtId="3" fontId="13" fillId="0" borderId="0" xfId="0" applyNumberFormat="1" applyFont="1" applyFill="1" applyAlignment="1">
      <alignment vertical="center"/>
    </xf>
    <xf numFmtId="3" fontId="11" fillId="0" borderId="0" xfId="0" applyNumberFormat="1" applyFont="1" applyFill="1" applyAlignment="1">
      <alignment horizontal="center" vertical="center"/>
    </xf>
    <xf numFmtId="3" fontId="11" fillId="0" borderId="0" xfId="0" applyNumberFormat="1" applyFont="1" applyFill="1" applyBorder="1" applyAlignment="1">
      <alignment vertical="center"/>
    </xf>
    <xf numFmtId="3" fontId="16" fillId="0" borderId="7" xfId="0" applyNumberFormat="1" applyFont="1" applyFill="1" applyBorder="1" applyAlignment="1">
      <alignment horizontal="center" vertical="center" wrapText="1"/>
    </xf>
    <xf numFmtId="3" fontId="11" fillId="0" borderId="0" xfId="0" applyNumberFormat="1" applyFont="1" applyFill="1" applyAlignment="1"/>
    <xf numFmtId="3" fontId="11" fillId="0" borderId="0" xfId="0" applyNumberFormat="1" applyFont="1" applyFill="1" applyBorder="1" applyAlignment="1"/>
    <xf numFmtId="3" fontId="13" fillId="0" borderId="0" xfId="0" applyNumberFormat="1" applyFont="1" applyFill="1" applyBorder="1" applyAlignment="1">
      <alignment vertical="center"/>
    </xf>
    <xf numFmtId="3" fontId="11" fillId="0" borderId="0" xfId="0" applyNumberFormat="1" applyFont="1" applyFill="1" applyAlignment="1">
      <alignment vertical="top"/>
    </xf>
    <xf numFmtId="3" fontId="14" fillId="0" borderId="0" xfId="0" applyNumberFormat="1" applyFont="1" applyFill="1" applyAlignment="1">
      <alignment vertical="center"/>
    </xf>
    <xf numFmtId="3" fontId="14" fillId="0" borderId="0" xfId="0" applyNumberFormat="1" applyFont="1" applyFill="1" applyBorder="1" applyAlignment="1">
      <alignment vertical="center"/>
    </xf>
    <xf numFmtId="3" fontId="17" fillId="0" borderId="0" xfId="0" applyNumberFormat="1" applyFont="1" applyFill="1" applyBorder="1" applyAlignment="1">
      <alignment vertical="center"/>
    </xf>
    <xf numFmtId="3" fontId="11" fillId="0" borderId="0" xfId="0" applyNumberFormat="1" applyFont="1" applyFill="1" applyBorder="1" applyAlignment="1">
      <alignment horizontal="right" vertical="center"/>
    </xf>
    <xf numFmtId="3" fontId="7" fillId="0" borderId="0" xfId="0" applyNumberFormat="1" applyFont="1" applyFill="1" applyAlignment="1">
      <alignment horizontal="center" vertical="center"/>
    </xf>
    <xf numFmtId="3" fontId="11" fillId="0" borderId="0" xfId="0" applyNumberFormat="1" applyFont="1" applyFill="1" applyAlignment="1">
      <alignment horizontal="center" vertical="top"/>
    </xf>
    <xf numFmtId="3" fontId="7" fillId="0" borderId="0" xfId="0" applyNumberFormat="1" applyFont="1" applyAlignment="1">
      <alignment horizontal="center"/>
    </xf>
    <xf numFmtId="3" fontId="11" fillId="0" borderId="7" xfId="26" applyNumberFormat="1" applyFont="1" applyFill="1" applyBorder="1" applyAlignment="1">
      <alignment horizontal="center" vertical="center" wrapText="1"/>
    </xf>
    <xf numFmtId="3" fontId="5" fillId="0" borderId="0" xfId="26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 indent="1"/>
    </xf>
    <xf numFmtId="3" fontId="5" fillId="0" borderId="0" xfId="0" applyNumberFormat="1" applyFont="1" applyFill="1" applyBorder="1" applyAlignment="1"/>
    <xf numFmtId="3" fontId="5" fillId="0" borderId="8" xfId="0" applyNumberFormat="1" applyFont="1" applyFill="1" applyBorder="1" applyAlignment="1">
      <alignment vertical="center"/>
    </xf>
    <xf numFmtId="3" fontId="3" fillId="0" borderId="9" xfId="0" applyNumberFormat="1" applyFont="1" applyFill="1" applyBorder="1"/>
    <xf numFmtId="3" fontId="3" fillId="0" borderId="0" xfId="0" applyNumberFormat="1" applyFont="1" applyFill="1"/>
    <xf numFmtId="3" fontId="3" fillId="0" borderId="0" xfId="26" applyNumberFormat="1" applyFont="1" applyFill="1"/>
    <xf numFmtId="3" fontId="3" fillId="0" borderId="0" xfId="26" applyNumberFormat="1" applyFont="1" applyFill="1" applyAlignment="1">
      <alignment horizontal="right"/>
    </xf>
    <xf numFmtId="3" fontId="3" fillId="0" borderId="0" xfId="26" applyNumberFormat="1" applyFont="1" applyFill="1" applyAlignment="1"/>
    <xf numFmtId="3" fontId="3" fillId="0" borderId="0" xfId="26" applyNumberFormat="1" applyFont="1" applyFill="1" applyAlignment="1">
      <alignment vertical="center"/>
    </xf>
    <xf numFmtId="3" fontId="3" fillId="0" borderId="0" xfId="26" applyNumberFormat="1" applyFont="1" applyFill="1" applyAlignment="1">
      <alignment horizontal="center" vertical="center"/>
    </xf>
    <xf numFmtId="3" fontId="5" fillId="0" borderId="10" xfId="26" applyNumberFormat="1" applyFont="1" applyFill="1" applyBorder="1" applyAlignment="1">
      <alignment horizontal="center"/>
    </xf>
    <xf numFmtId="3" fontId="3" fillId="0" borderId="10" xfId="26" applyNumberFormat="1" applyFont="1" applyFill="1" applyBorder="1" applyAlignment="1">
      <alignment horizontal="center"/>
    </xf>
    <xf numFmtId="3" fontId="5" fillId="0" borderId="10" xfId="26" applyNumberFormat="1" applyFont="1" applyFill="1" applyBorder="1" applyAlignment="1">
      <alignment wrapText="1"/>
    </xf>
    <xf numFmtId="3" fontId="5" fillId="0" borderId="10" xfId="26" applyNumberFormat="1" applyFont="1" applyFill="1" applyBorder="1"/>
    <xf numFmtId="3" fontId="5" fillId="0" borderId="0" xfId="26" applyNumberFormat="1" applyFont="1" applyFill="1"/>
    <xf numFmtId="49" fontId="3" fillId="0" borderId="4" xfId="26" applyNumberFormat="1" applyFont="1" applyFill="1" applyBorder="1" applyAlignment="1">
      <alignment horizontal="center"/>
    </xf>
    <xf numFmtId="3" fontId="3" fillId="0" borderId="0" xfId="26" applyNumberFormat="1" applyFont="1" applyFill="1" applyBorder="1" applyAlignment="1">
      <alignment horizontal="center"/>
    </xf>
    <xf numFmtId="3" fontId="3" fillId="0" borderId="0" xfId="26" applyNumberFormat="1" applyFont="1" applyFill="1" applyBorder="1"/>
    <xf numFmtId="3" fontId="3" fillId="0" borderId="0" xfId="26" applyNumberFormat="1" applyFont="1" applyFill="1" applyBorder="1" applyAlignment="1">
      <alignment horizontal="left" indent="2"/>
    </xf>
    <xf numFmtId="3" fontId="5" fillId="0" borderId="8" xfId="26" applyNumberFormat="1" applyFont="1" applyFill="1" applyBorder="1" applyAlignment="1">
      <alignment horizontal="center"/>
    </xf>
    <xf numFmtId="3" fontId="3" fillId="0" borderId="8" xfId="26" applyNumberFormat="1" applyFont="1" applyFill="1" applyBorder="1" applyAlignment="1">
      <alignment horizontal="center"/>
    </xf>
    <xf numFmtId="3" fontId="5" fillId="0" borderId="8" xfId="26" applyNumberFormat="1" applyFont="1" applyFill="1" applyBorder="1"/>
    <xf numFmtId="3" fontId="5" fillId="0" borderId="0" xfId="26" applyNumberFormat="1" applyFont="1" applyFill="1" applyBorder="1" applyAlignment="1">
      <alignment horizontal="center"/>
    </xf>
    <xf numFmtId="3" fontId="5" fillId="0" borderId="0" xfId="26" applyNumberFormat="1" applyFont="1" applyFill="1" applyBorder="1"/>
    <xf numFmtId="3" fontId="6" fillId="0" borderId="0" xfId="26" applyNumberFormat="1" applyFont="1" applyFill="1" applyBorder="1" applyAlignment="1">
      <alignment horizontal="center"/>
    </xf>
    <xf numFmtId="3" fontId="6" fillId="0" borderId="0" xfId="26" applyNumberFormat="1" applyFont="1" applyFill="1" applyBorder="1" applyAlignment="1">
      <alignment horizontal="left" indent="2"/>
    </xf>
    <xf numFmtId="3" fontId="6" fillId="0" borderId="0" xfId="26" applyNumberFormat="1" applyFont="1" applyFill="1" applyBorder="1"/>
    <xf numFmtId="3" fontId="6" fillId="0" borderId="0" xfId="26" applyNumberFormat="1" applyFont="1" applyFill="1"/>
    <xf numFmtId="3" fontId="3" fillId="0" borderId="0" xfId="26" applyNumberFormat="1" applyFont="1" applyFill="1" applyBorder="1" applyAlignment="1">
      <alignment horizontal="left" indent="3"/>
    </xf>
    <xf numFmtId="3" fontId="5" fillId="0" borderId="0" xfId="26" applyNumberFormat="1" applyFont="1" applyFill="1" applyBorder="1" applyAlignment="1">
      <alignment horizontal="center" vertical="center"/>
    </xf>
    <xf numFmtId="3" fontId="5" fillId="0" borderId="0" xfId="26" applyNumberFormat="1" applyFont="1" applyFill="1" applyBorder="1" applyAlignment="1">
      <alignment vertical="center"/>
    </xf>
    <xf numFmtId="3" fontId="3" fillId="0" borderId="0" xfId="26" applyNumberFormat="1" applyFont="1" applyFill="1" applyBorder="1" applyAlignment="1">
      <alignment horizontal="left"/>
    </xf>
    <xf numFmtId="49" fontId="3" fillId="0" borderId="4" xfId="26" applyNumberFormat="1" applyFont="1" applyFill="1" applyBorder="1" applyAlignment="1">
      <alignment horizontal="center" vertical="top"/>
    </xf>
    <xf numFmtId="3" fontId="3" fillId="0" borderId="0" xfId="26" applyNumberFormat="1" applyFont="1" applyFill="1" applyBorder="1" applyAlignment="1">
      <alignment horizontal="center" vertical="top"/>
    </xf>
    <xf numFmtId="3" fontId="3" fillId="0" borderId="0" xfId="26" applyNumberFormat="1" applyFont="1" applyFill="1" applyBorder="1" applyAlignment="1">
      <alignment vertical="top"/>
    </xf>
    <xf numFmtId="3" fontId="3" fillId="0" borderId="0" xfId="26" applyNumberFormat="1" applyFont="1" applyFill="1" applyAlignment="1">
      <alignment vertical="top"/>
    </xf>
    <xf numFmtId="49" fontId="3" fillId="0" borderId="11" xfId="26" applyNumberFormat="1" applyFont="1" applyFill="1" applyBorder="1" applyAlignment="1">
      <alignment horizontal="center" vertical="center"/>
    </xf>
    <xf numFmtId="3" fontId="5" fillId="0" borderId="12" xfId="26" applyNumberFormat="1" applyFont="1" applyFill="1" applyBorder="1" applyAlignment="1">
      <alignment horizontal="center" vertical="center"/>
    </xf>
    <xf numFmtId="3" fontId="3" fillId="0" borderId="12" xfId="26" applyNumberFormat="1" applyFont="1" applyFill="1" applyBorder="1" applyAlignment="1">
      <alignment horizontal="center" vertical="center"/>
    </xf>
    <xf numFmtId="3" fontId="5" fillId="0" borderId="12" xfId="26" applyNumberFormat="1" applyFont="1" applyFill="1" applyBorder="1" applyAlignment="1">
      <alignment vertical="center"/>
    </xf>
    <xf numFmtId="3" fontId="3" fillId="0" borderId="0" xfId="26" applyNumberFormat="1" applyFont="1" applyFill="1" applyBorder="1" applyAlignment="1"/>
    <xf numFmtId="3" fontId="3" fillId="0" borderId="0" xfId="26" applyNumberFormat="1" applyFont="1" applyFill="1" applyBorder="1" applyAlignment="1">
      <alignment horizontal="left" indent="1"/>
    </xf>
    <xf numFmtId="3" fontId="3" fillId="0" borderId="0" xfId="26" applyNumberFormat="1" applyFont="1" applyFill="1" applyBorder="1" applyAlignment="1">
      <alignment horizontal="left" vertical="top" indent="1"/>
    </xf>
    <xf numFmtId="49" fontId="3" fillId="0" borderId="0" xfId="26" applyNumberFormat="1" applyFont="1" applyFill="1" applyBorder="1" applyAlignment="1">
      <alignment horizontal="center"/>
    </xf>
    <xf numFmtId="49" fontId="3" fillId="0" borderId="0" xfId="26" applyNumberFormat="1" applyFont="1" applyFill="1" applyAlignment="1">
      <alignment horizontal="center"/>
    </xf>
    <xf numFmtId="3" fontId="5" fillId="0" borderId="0" xfId="26" applyNumberFormat="1" applyFont="1" applyFill="1" applyAlignment="1">
      <alignment horizontal="center"/>
    </xf>
    <xf numFmtId="3" fontId="3" fillId="0" borderId="0" xfId="26" applyNumberFormat="1" applyFont="1" applyFill="1" applyAlignment="1">
      <alignment horizontal="center"/>
    </xf>
    <xf numFmtId="3" fontId="5" fillId="0" borderId="0" xfId="27" applyNumberFormat="1" applyFont="1" applyFill="1" applyAlignment="1">
      <alignment horizontal="center"/>
    </xf>
    <xf numFmtId="3" fontId="11" fillId="0" borderId="0" xfId="0" applyNumberFormat="1" applyFont="1" applyFill="1" applyBorder="1" applyAlignment="1">
      <alignment horizontal="right"/>
    </xf>
    <xf numFmtId="3" fontId="7" fillId="0" borderId="0" xfId="27" applyNumberFormat="1" applyFont="1" applyFill="1" applyAlignment="1">
      <alignment horizontal="center" vertical="center"/>
    </xf>
    <xf numFmtId="3" fontId="11" fillId="0" borderId="13" xfId="0" applyNumberFormat="1" applyFont="1" applyFill="1" applyBorder="1" applyAlignment="1">
      <alignment horizontal="center" wrapText="1"/>
    </xf>
    <xf numFmtId="3" fontId="11" fillId="0" borderId="14" xfId="0" applyNumberFormat="1" applyFont="1" applyFill="1" applyBorder="1" applyAlignment="1">
      <alignment horizontal="center" wrapText="1"/>
    </xf>
    <xf numFmtId="3" fontId="11" fillId="0" borderId="15" xfId="0" applyNumberFormat="1" applyFont="1" applyFill="1" applyBorder="1" applyAlignment="1">
      <alignment horizontal="center" wrapText="1"/>
    </xf>
    <xf numFmtId="3" fontId="11" fillId="0" borderId="16" xfId="0" applyNumberFormat="1" applyFont="1" applyFill="1" applyBorder="1" applyAlignment="1">
      <alignment horizontal="center" wrapText="1"/>
    </xf>
    <xf numFmtId="3" fontId="11" fillId="0" borderId="16" xfId="0" applyNumberFormat="1" applyFont="1" applyFill="1" applyBorder="1" applyAlignment="1"/>
    <xf numFmtId="0" fontId="3" fillId="0" borderId="4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left" wrapText="1"/>
    </xf>
    <xf numFmtId="0" fontId="3" fillId="0" borderId="0" xfId="0" applyFont="1" applyFill="1" applyAlignment="1"/>
    <xf numFmtId="0" fontId="3" fillId="0" borderId="4" xfId="0" applyFont="1" applyFill="1" applyBorder="1" applyAlignment="1">
      <alignment horizontal="center" vertical="top"/>
    </xf>
    <xf numFmtId="0" fontId="3" fillId="0" borderId="0" xfId="0" applyFont="1" applyFill="1" applyAlignment="1">
      <alignment vertical="top"/>
    </xf>
    <xf numFmtId="164" fontId="6" fillId="0" borderId="0" xfId="0" applyNumberFormat="1" applyFont="1" applyFill="1" applyBorder="1" applyAlignment="1">
      <alignment horizontal="left" vertical="top" wrapText="1" indent="2"/>
    </xf>
    <xf numFmtId="164" fontId="6" fillId="0" borderId="6" xfId="0" applyNumberFormat="1" applyFont="1" applyFill="1" applyBorder="1" applyAlignment="1">
      <alignment horizontal="left" vertical="center" wrapText="1" indent="3"/>
    </xf>
    <xf numFmtId="0" fontId="7" fillId="0" borderId="0" xfId="0" applyFont="1" applyAlignment="1">
      <alignment horizontal="center"/>
    </xf>
    <xf numFmtId="3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3" fontId="11" fillId="0" borderId="17" xfId="0" applyNumberFormat="1" applyFont="1" applyFill="1" applyBorder="1" applyAlignment="1"/>
    <xf numFmtId="4" fontId="7" fillId="0" borderId="18" xfId="0" applyNumberFormat="1" applyFont="1" applyFill="1" applyBorder="1" applyAlignment="1">
      <alignment horizontal="center"/>
    </xf>
    <xf numFmtId="4" fontId="7" fillId="0" borderId="18" xfId="0" applyNumberFormat="1" applyFont="1" applyFill="1" applyBorder="1" applyAlignment="1">
      <alignment horizontal="center" vertical="top"/>
    </xf>
    <xf numFmtId="4" fontId="7" fillId="0" borderId="18" xfId="0" applyNumberFormat="1" applyFont="1" applyFill="1" applyBorder="1" applyAlignment="1">
      <alignment horizontal="center" vertical="center"/>
    </xf>
    <xf numFmtId="4" fontId="12" fillId="0" borderId="19" xfId="0" applyNumberFormat="1" applyFont="1" applyFill="1" applyBorder="1" applyAlignment="1">
      <alignment horizontal="center" vertical="center"/>
    </xf>
    <xf numFmtId="4" fontId="7" fillId="0" borderId="18" xfId="0" applyNumberFormat="1" applyFont="1" applyFill="1" applyBorder="1" applyAlignment="1">
      <alignment horizontal="center" vertical="center" wrapText="1"/>
    </xf>
    <xf numFmtId="4" fontId="7" fillId="0" borderId="18" xfId="0" applyNumberFormat="1" applyFont="1" applyFill="1" applyBorder="1" applyAlignment="1">
      <alignment horizontal="center" vertical="top" wrapText="1"/>
    </xf>
    <xf numFmtId="4" fontId="7" fillId="0" borderId="19" xfId="0" applyNumberFormat="1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center" vertical="center"/>
    </xf>
    <xf numFmtId="4" fontId="12" fillId="0" borderId="0" xfId="0" applyNumberFormat="1" applyFont="1" applyFill="1" applyAlignment="1">
      <alignment horizontal="center" vertical="center"/>
    </xf>
    <xf numFmtId="0" fontId="15" fillId="0" borderId="0" xfId="0" applyFont="1" applyFill="1"/>
    <xf numFmtId="0" fontId="3" fillId="0" borderId="0" xfId="0" applyFont="1" applyFill="1" applyBorder="1" applyAlignment="1">
      <alignment horizontal="center"/>
    </xf>
    <xf numFmtId="0" fontId="3" fillId="0" borderId="0" xfId="0" applyFont="1" applyFill="1"/>
    <xf numFmtId="0" fontId="3" fillId="0" borderId="0" xfId="0" applyFont="1" applyFill="1" applyBorder="1"/>
    <xf numFmtId="0" fontId="5" fillId="0" borderId="0" xfId="0" applyFont="1" applyFill="1" applyAlignment="1"/>
    <xf numFmtId="0" fontId="3" fillId="0" borderId="0" xfId="0" applyFont="1" applyFill="1" applyBorder="1" applyAlignment="1">
      <alignment vertical="top"/>
    </xf>
    <xf numFmtId="3" fontId="14" fillId="0" borderId="0" xfId="0" applyNumberFormat="1" applyFont="1" applyFill="1" applyBorder="1" applyAlignment="1">
      <alignment vertical="top"/>
    </xf>
    <xf numFmtId="3" fontId="14" fillId="0" borderId="0" xfId="0" applyNumberFormat="1" applyFont="1" applyFill="1" applyAlignment="1">
      <alignment vertical="top"/>
    </xf>
    <xf numFmtId="3" fontId="13" fillId="0" borderId="0" xfId="0" applyNumberFormat="1" applyFont="1" applyFill="1" applyAlignment="1">
      <alignment vertical="top"/>
    </xf>
    <xf numFmtId="3" fontId="14" fillId="0" borderId="0" xfId="0" applyNumberFormat="1" applyFont="1" applyFill="1" applyAlignment="1"/>
    <xf numFmtId="3" fontId="13" fillId="0" borderId="0" xfId="0" applyNumberFormat="1" applyFont="1" applyFill="1" applyBorder="1" applyAlignment="1">
      <alignment horizontal="right" vertical="center"/>
    </xf>
    <xf numFmtId="3" fontId="14" fillId="0" borderId="0" xfId="0" applyNumberFormat="1" applyFont="1" applyFill="1" applyAlignment="1">
      <alignment horizontal="right"/>
    </xf>
    <xf numFmtId="3" fontId="18" fillId="0" borderId="0" xfId="27" applyNumberFormat="1" applyFont="1" applyFill="1" applyAlignment="1">
      <alignment horizontal="center" vertical="center"/>
    </xf>
    <xf numFmtId="3" fontId="13" fillId="0" borderId="16" xfId="0" applyNumberFormat="1" applyFont="1" applyFill="1" applyBorder="1" applyAlignment="1"/>
    <xf numFmtId="3" fontId="7" fillId="0" borderId="0" xfId="0" applyNumberFormat="1" applyFont="1" applyFill="1" applyBorder="1"/>
    <xf numFmtId="3" fontId="12" fillId="0" borderId="0" xfId="0" applyNumberFormat="1" applyFont="1" applyFill="1" applyBorder="1"/>
    <xf numFmtId="3" fontId="11" fillId="0" borderId="15" xfId="27" applyNumberFormat="1" applyFont="1" applyFill="1" applyBorder="1" applyAlignment="1">
      <alignment horizontal="center"/>
    </xf>
    <xf numFmtId="3" fontId="11" fillId="0" borderId="16" xfId="27" applyNumberFormat="1" applyFont="1" applyFill="1" applyBorder="1" applyAlignment="1">
      <alignment horizontal="center"/>
    </xf>
    <xf numFmtId="3" fontId="11" fillId="0" borderId="16" xfId="27" applyNumberFormat="1" applyFont="1" applyFill="1" applyBorder="1" applyAlignment="1">
      <alignment wrapText="1"/>
    </xf>
    <xf numFmtId="3" fontId="11" fillId="0" borderId="16" xfId="27" applyNumberFormat="1" applyFont="1" applyFill="1" applyBorder="1" applyAlignment="1">
      <alignment horizontal="right"/>
    </xf>
    <xf numFmtId="3" fontId="11" fillId="0" borderId="20" xfId="27" applyNumberFormat="1" applyFont="1" applyFill="1" applyBorder="1" applyAlignment="1">
      <alignment horizontal="right"/>
    </xf>
    <xf numFmtId="3" fontId="11" fillId="0" borderId="15" xfId="27" applyNumberFormat="1" applyFont="1" applyFill="1" applyBorder="1" applyAlignment="1">
      <alignment horizontal="center" vertical="center"/>
    </xf>
    <xf numFmtId="3" fontId="11" fillId="0" borderId="16" xfId="27" applyNumberFormat="1" applyFont="1" applyFill="1" applyBorder="1" applyAlignment="1">
      <alignment horizontal="center" vertical="center"/>
    </xf>
    <xf numFmtId="3" fontId="11" fillId="0" borderId="21" xfId="27" applyNumberFormat="1" applyFont="1" applyFill="1" applyBorder="1" applyAlignment="1">
      <alignment wrapText="1"/>
    </xf>
    <xf numFmtId="3" fontId="13" fillId="0" borderId="21" xfId="27" applyNumberFormat="1" applyFont="1" applyFill="1" applyBorder="1" applyAlignment="1">
      <alignment horizontal="right"/>
    </xf>
    <xf numFmtId="3" fontId="13" fillId="0" borderId="22" xfId="27" applyNumberFormat="1" applyFont="1" applyFill="1" applyBorder="1" applyAlignment="1">
      <alignment horizontal="right"/>
    </xf>
    <xf numFmtId="3" fontId="13" fillId="0" borderId="15" xfId="27" applyNumberFormat="1" applyFont="1" applyFill="1" applyBorder="1" applyAlignment="1">
      <alignment horizontal="center" vertical="center"/>
    </xf>
    <xf numFmtId="3" fontId="13" fillId="0" borderId="16" xfId="27" applyNumberFormat="1" applyFont="1" applyFill="1" applyBorder="1" applyAlignment="1">
      <alignment horizontal="right"/>
    </xf>
    <xf numFmtId="3" fontId="13" fillId="0" borderId="20" xfId="27" applyNumberFormat="1" applyFont="1" applyFill="1" applyBorder="1" applyAlignment="1">
      <alignment horizontal="right"/>
    </xf>
    <xf numFmtId="3" fontId="13" fillId="0" borderId="16" xfId="27" applyNumberFormat="1" applyFont="1" applyFill="1" applyBorder="1" applyAlignment="1">
      <alignment vertical="center" wrapText="1"/>
    </xf>
    <xf numFmtId="3" fontId="11" fillId="0" borderId="16" xfId="27" applyNumberFormat="1" applyFont="1" applyFill="1" applyBorder="1" applyAlignment="1"/>
    <xf numFmtId="3" fontId="11" fillId="0" borderId="20" xfId="27" applyNumberFormat="1" applyFont="1" applyFill="1" applyBorder="1" applyAlignment="1"/>
    <xf numFmtId="3" fontId="11" fillId="0" borderId="15" xfId="27" applyNumberFormat="1" applyFont="1" applyFill="1" applyBorder="1" applyAlignment="1">
      <alignment horizontal="center" vertical="top"/>
    </xf>
    <xf numFmtId="49" fontId="13" fillId="0" borderId="16" xfId="27" applyNumberFormat="1" applyFont="1" applyFill="1" applyBorder="1" applyAlignment="1">
      <alignment horizontal="left" vertical="center" wrapText="1" indent="4"/>
    </xf>
    <xf numFmtId="3" fontId="11" fillId="0" borderId="23" xfId="27" applyNumberFormat="1" applyFont="1" applyFill="1" applyBorder="1" applyAlignment="1">
      <alignment horizontal="center" vertical="center"/>
    </xf>
    <xf numFmtId="3" fontId="17" fillId="0" borderId="23" xfId="27" applyNumberFormat="1" applyFont="1" applyFill="1" applyBorder="1" applyAlignment="1">
      <alignment horizontal="center"/>
    </xf>
    <xf numFmtId="3" fontId="18" fillId="0" borderId="0" xfId="27" applyNumberFormat="1" applyFont="1" applyFill="1" applyAlignment="1">
      <alignment horizontal="center"/>
    </xf>
    <xf numFmtId="3" fontId="13" fillId="0" borderId="16" xfId="27" applyNumberFormat="1" applyFont="1" applyFill="1" applyBorder="1" applyAlignment="1">
      <alignment horizontal="left" wrapText="1" indent="2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/>
    <xf numFmtId="3" fontId="11" fillId="0" borderId="23" xfId="27" applyNumberFormat="1" applyFont="1" applyFill="1" applyBorder="1" applyAlignment="1">
      <alignment horizontal="center"/>
    </xf>
    <xf numFmtId="3" fontId="3" fillId="0" borderId="15" xfId="27" applyNumberFormat="1" applyFont="1" applyFill="1" applyBorder="1" applyAlignment="1">
      <alignment vertical="center" wrapText="1"/>
    </xf>
    <xf numFmtId="3" fontId="3" fillId="0" borderId="17" xfId="0" applyNumberFormat="1" applyFont="1" applyFill="1" applyBorder="1" applyAlignment="1">
      <alignment horizontal="right" vertical="center" wrapText="1"/>
    </xf>
    <xf numFmtId="3" fontId="5" fillId="0" borderId="24" xfId="27" applyNumberFormat="1" applyFont="1" applyFill="1" applyBorder="1" applyAlignment="1">
      <alignment horizontal="center" vertical="center" wrapText="1"/>
    </xf>
    <xf numFmtId="3" fontId="5" fillId="0" borderId="25" xfId="27" applyNumberFormat="1" applyFont="1" applyFill="1" applyBorder="1" applyAlignment="1">
      <alignment vertical="center"/>
    </xf>
    <xf numFmtId="3" fontId="11" fillId="0" borderId="21" xfId="0" applyNumberFormat="1" applyFont="1" applyFill="1" applyBorder="1" applyAlignment="1">
      <alignment horizontal="right" wrapText="1"/>
    </xf>
    <xf numFmtId="3" fontId="11" fillId="0" borderId="21" xfId="27" applyNumberFormat="1" applyFont="1" applyFill="1" applyBorder="1" applyAlignment="1">
      <alignment horizontal="right"/>
    </xf>
    <xf numFmtId="3" fontId="11" fillId="0" borderId="22" xfId="27" applyNumberFormat="1" applyFont="1" applyFill="1" applyBorder="1" applyAlignment="1">
      <alignment horizontal="right"/>
    </xf>
    <xf numFmtId="0" fontId="10" fillId="0" borderId="0" xfId="27" applyNumberFormat="1" applyFont="1" applyFill="1" applyBorder="1" applyAlignment="1">
      <alignment horizontal="center" vertical="center"/>
    </xf>
    <xf numFmtId="0" fontId="20" fillId="0" borderId="0" xfId="27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3" fontId="17" fillId="0" borderId="0" xfId="0" applyNumberFormat="1" applyFont="1" applyFill="1" applyBorder="1" applyAlignment="1">
      <alignment vertical="top"/>
    </xf>
    <xf numFmtId="3" fontId="11" fillId="0" borderId="26" xfId="0" applyNumberFormat="1" applyFont="1" applyFill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left" vertical="center" wrapText="1" indent="2"/>
    </xf>
    <xf numFmtId="0" fontId="7" fillId="0" borderId="0" xfId="29" applyFont="1" applyAlignment="1">
      <alignment horizontal="center" vertical="center"/>
    </xf>
    <xf numFmtId="0" fontId="3" fillId="0" borderId="0" xfId="29" applyFont="1" applyAlignment="1">
      <alignment vertical="center"/>
    </xf>
    <xf numFmtId="3" fontId="5" fillId="0" borderId="0" xfId="29" applyNumberFormat="1" applyFont="1" applyAlignment="1">
      <alignment horizontal="center"/>
    </xf>
    <xf numFmtId="0" fontId="3" fillId="0" borderId="0" xfId="29" applyFont="1" applyAlignment="1"/>
    <xf numFmtId="3" fontId="5" fillId="0" borderId="0" xfId="29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wrapText="1"/>
    </xf>
    <xf numFmtId="3" fontId="7" fillId="0" borderId="0" xfId="0" applyNumberFormat="1" applyFont="1" applyBorder="1" applyAlignment="1">
      <alignment horizontal="center"/>
    </xf>
    <xf numFmtId="3" fontId="5" fillId="0" borderId="27" xfId="0" applyNumberFormat="1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3" fontId="5" fillId="0" borderId="28" xfId="0" applyNumberFormat="1" applyFont="1" applyBorder="1" applyAlignment="1">
      <alignment horizontal="center"/>
    </xf>
    <xf numFmtId="3" fontId="5" fillId="0" borderId="0" xfId="44" applyNumberFormat="1" applyFont="1" applyBorder="1" applyAlignment="1">
      <alignment vertical="center"/>
    </xf>
    <xf numFmtId="3" fontId="3" fillId="0" borderId="0" xfId="44" applyNumberFormat="1" applyFont="1" applyBorder="1" applyAlignment="1">
      <alignment vertical="center"/>
    </xf>
    <xf numFmtId="0" fontId="5" fillId="0" borderId="11" xfId="29" applyFont="1" applyBorder="1" applyAlignment="1">
      <alignment horizontal="center" vertical="center" wrapText="1"/>
    </xf>
    <xf numFmtId="3" fontId="5" fillId="0" borderId="12" xfId="29" applyNumberFormat="1" applyFont="1" applyBorder="1" applyAlignment="1">
      <alignment vertical="center"/>
    </xf>
    <xf numFmtId="10" fontId="5" fillId="0" borderId="29" xfId="44" applyNumberFormat="1" applyFont="1" applyBorder="1" applyAlignment="1">
      <alignment vertical="center"/>
    </xf>
    <xf numFmtId="0" fontId="5" fillId="0" borderId="0" xfId="29" applyFont="1" applyAlignment="1">
      <alignment vertical="center"/>
    </xf>
    <xf numFmtId="0" fontId="3" fillId="0" borderId="0" xfId="29" applyFont="1" applyAlignment="1">
      <alignment wrapText="1"/>
    </xf>
    <xf numFmtId="3" fontId="3" fillId="0" borderId="0" xfId="29" applyNumberFormat="1" applyFont="1"/>
    <xf numFmtId="0" fontId="3" fillId="0" borderId="0" xfId="29" applyFont="1"/>
    <xf numFmtId="3" fontId="11" fillId="0" borderId="0" xfId="0" applyNumberFormat="1" applyFont="1" applyFill="1" applyAlignment="1">
      <alignment horizontal="right" vertical="center"/>
    </xf>
    <xf numFmtId="0" fontId="3" fillId="0" borderId="0" xfId="0" applyFont="1" applyAlignment="1">
      <alignment vertical="top"/>
    </xf>
    <xf numFmtId="3" fontId="5" fillId="0" borderId="30" xfId="0" applyNumberFormat="1" applyFont="1" applyBorder="1" applyAlignment="1">
      <alignment horizontal="center" vertical="center" wrapText="1"/>
    </xf>
    <xf numFmtId="0" fontId="3" fillId="0" borderId="0" xfId="0" applyFont="1" applyBorder="1" applyAlignment="1"/>
    <xf numFmtId="3" fontId="3" fillId="0" borderId="18" xfId="0" applyNumberFormat="1" applyFont="1" applyBorder="1" applyAlignment="1"/>
    <xf numFmtId="0" fontId="3" fillId="0" borderId="0" xfId="0" applyFont="1" applyBorder="1" applyAlignment="1">
      <alignment horizontal="left" indent="2"/>
    </xf>
    <xf numFmtId="0" fontId="3" fillId="0" borderId="0" xfId="0" applyFont="1" applyBorder="1" applyAlignment="1">
      <alignment vertical="center" wrapText="1"/>
    </xf>
    <xf numFmtId="3" fontId="6" fillId="0" borderId="18" xfId="0" applyNumberFormat="1" applyFont="1" applyBorder="1" applyAlignment="1">
      <alignment vertical="center"/>
    </xf>
    <xf numFmtId="3" fontId="5" fillId="0" borderId="29" xfId="0" applyNumberFormat="1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Border="1"/>
    <xf numFmtId="0" fontId="3" fillId="0" borderId="0" xfId="0" applyFont="1" applyFill="1" applyBorder="1" applyAlignment="1">
      <alignment horizontal="center" vertical="center"/>
    </xf>
    <xf numFmtId="3" fontId="5" fillId="0" borderId="10" xfId="26" applyNumberFormat="1" applyFont="1" applyFill="1" applyBorder="1" applyAlignment="1">
      <alignment horizontal="left" textRotation="90" wrapText="1"/>
    </xf>
    <xf numFmtId="3" fontId="3" fillId="0" borderId="10" xfId="26" applyNumberFormat="1" applyFont="1" applyFill="1" applyBorder="1" applyAlignment="1">
      <alignment horizontal="center" wrapText="1"/>
    </xf>
    <xf numFmtId="3" fontId="5" fillId="0" borderId="10" xfId="26" applyNumberFormat="1" applyFont="1" applyFill="1" applyBorder="1" applyAlignment="1">
      <alignment horizontal="left" wrapText="1"/>
    </xf>
    <xf numFmtId="3" fontId="5" fillId="0" borderId="0" xfId="26" applyNumberFormat="1" applyFont="1" applyFill="1" applyBorder="1" applyAlignment="1">
      <alignment horizontal="left"/>
    </xf>
    <xf numFmtId="3" fontId="5" fillId="0" borderId="0" xfId="26" applyNumberFormat="1" applyFont="1" applyFill="1" applyAlignment="1">
      <alignment horizontal="left"/>
    </xf>
    <xf numFmtId="3" fontId="5" fillId="0" borderId="0" xfId="26" applyNumberFormat="1" applyFont="1" applyFill="1" applyBorder="1" applyAlignment="1">
      <alignment horizontal="left" wrapText="1"/>
    </xf>
    <xf numFmtId="3" fontId="3" fillId="0" borderId="0" xfId="26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/>
    <xf numFmtId="0" fontId="3" fillId="0" borderId="0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5" fillId="0" borderId="9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 vertical="top"/>
    </xf>
    <xf numFmtId="0" fontId="5" fillId="0" borderId="9" xfId="0" applyFont="1" applyFill="1" applyBorder="1" applyAlignment="1">
      <alignment wrapText="1"/>
    </xf>
    <xf numFmtId="3" fontId="5" fillId="0" borderId="9" xfId="26" applyNumberFormat="1" applyFont="1" applyFill="1" applyBorder="1" applyAlignment="1">
      <alignment horizontal="left" textRotation="90" wrapText="1"/>
    </xf>
    <xf numFmtId="3" fontId="3" fillId="0" borderId="9" xfId="26" applyNumberFormat="1" applyFont="1" applyFill="1" applyBorder="1" applyAlignment="1">
      <alignment horizontal="center" wrapText="1"/>
    </xf>
    <xf numFmtId="3" fontId="5" fillId="0" borderId="9" xfId="26" applyNumberFormat="1" applyFont="1" applyFill="1" applyBorder="1" applyAlignment="1">
      <alignment horizontal="left" wrapText="1"/>
    </xf>
    <xf numFmtId="0" fontId="5" fillId="0" borderId="0" xfId="0" applyFont="1" applyFill="1" applyBorder="1" applyAlignment="1">
      <alignment vertical="top" wrapText="1"/>
    </xf>
    <xf numFmtId="0" fontId="5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/>
    </xf>
    <xf numFmtId="0" fontId="5" fillId="0" borderId="31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vertical="center"/>
    </xf>
    <xf numFmtId="0" fontId="5" fillId="0" borderId="32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 shrinkToFit="1"/>
    </xf>
    <xf numFmtId="0" fontId="3" fillId="0" borderId="0" xfId="0" applyFont="1" applyFill="1" applyBorder="1" applyAlignment="1">
      <alignment horizontal="left" indent="1"/>
    </xf>
    <xf numFmtId="0" fontId="3" fillId="0" borderId="9" xfId="0" applyFont="1" applyFill="1" applyBorder="1" applyAlignment="1">
      <alignment horizontal="left" indent="1"/>
    </xf>
    <xf numFmtId="0" fontId="5" fillId="0" borderId="33" xfId="0" applyFont="1" applyFill="1" applyBorder="1" applyAlignment="1">
      <alignment horizontal="center" vertical="center"/>
    </xf>
    <xf numFmtId="0" fontId="3" fillId="0" borderId="33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vertical="center"/>
    </xf>
    <xf numFmtId="0" fontId="3" fillId="0" borderId="0" xfId="0" applyFont="1" applyFill="1" applyAlignment="1">
      <alignment horizontal="center"/>
    </xf>
    <xf numFmtId="0" fontId="0" fillId="0" borderId="0" xfId="0" applyFont="1" applyFill="1"/>
    <xf numFmtId="0" fontId="22" fillId="0" borderId="0" xfId="0" applyFont="1" applyFill="1"/>
    <xf numFmtId="0" fontId="21" fillId="0" borderId="0" xfId="0" applyFont="1" applyFill="1"/>
    <xf numFmtId="0" fontId="0" fillId="0" borderId="0" xfId="0" applyFont="1" applyFill="1" applyAlignment="1"/>
    <xf numFmtId="3" fontId="7" fillId="0" borderId="0" xfId="0" applyNumberFormat="1" applyFont="1" applyFill="1" applyAlignment="1">
      <alignment horizontal="left" vertical="center"/>
    </xf>
    <xf numFmtId="3" fontId="14" fillId="0" borderId="0" xfId="0" applyNumberFormat="1" applyFont="1" applyFill="1" applyAlignment="1">
      <alignment horizontal="right" vertical="center"/>
    </xf>
    <xf numFmtId="3" fontId="11" fillId="0" borderId="0" xfId="0" applyNumberFormat="1" applyFont="1" applyFill="1" applyAlignment="1">
      <alignment horizontal="center"/>
    </xf>
    <xf numFmtId="3" fontId="11" fillId="0" borderId="0" xfId="0" applyNumberFormat="1" applyFont="1" applyFill="1" applyAlignment="1">
      <alignment horizontal="right"/>
    </xf>
    <xf numFmtId="3" fontId="11" fillId="0" borderId="0" xfId="0" applyNumberFormat="1" applyFont="1" applyFill="1"/>
    <xf numFmtId="3" fontId="14" fillId="0" borderId="0" xfId="0" applyNumberFormat="1" applyFont="1" applyFill="1" applyBorder="1" applyAlignment="1">
      <alignment horizontal="right" vertical="center"/>
    </xf>
    <xf numFmtId="3" fontId="11" fillId="0" borderId="0" xfId="0" applyNumberFormat="1" applyFont="1" applyFill="1" applyAlignment="1">
      <alignment horizontal="right" vertical="top"/>
    </xf>
    <xf numFmtId="3" fontId="13" fillId="0" borderId="0" xfId="0" applyNumberFormat="1" applyFont="1" applyFill="1" applyBorder="1" applyAlignment="1">
      <alignment horizontal="right"/>
    </xf>
    <xf numFmtId="3" fontId="14" fillId="0" borderId="0" xfId="0" applyNumberFormat="1" applyFont="1" applyFill="1" applyBorder="1" applyAlignment="1">
      <alignment horizontal="right" vertical="top"/>
    </xf>
    <xf numFmtId="0" fontId="23" fillId="0" borderId="0" xfId="0" applyFont="1" applyFill="1"/>
    <xf numFmtId="0" fontId="23" fillId="0" borderId="0" xfId="0" applyFont="1" applyFill="1" applyAlignment="1">
      <alignment vertical="center"/>
    </xf>
    <xf numFmtId="0" fontId="23" fillId="0" borderId="0" xfId="0" applyFont="1" applyFill="1" applyBorder="1" applyAlignment="1">
      <alignment vertical="center"/>
    </xf>
    <xf numFmtId="3" fontId="3" fillId="0" borderId="0" xfId="27" applyNumberFormat="1" applyFont="1" applyFill="1" applyBorder="1" applyAlignment="1">
      <alignment vertical="center" wrapText="1"/>
    </xf>
    <xf numFmtId="3" fontId="3" fillId="0" borderId="0" xfId="31" applyNumberFormat="1" applyFont="1"/>
    <xf numFmtId="3" fontId="3" fillId="0" borderId="0" xfId="31" applyNumberFormat="1" applyFont="1" applyAlignment="1">
      <alignment horizontal="center"/>
    </xf>
    <xf numFmtId="14" fontId="3" fillId="0" borderId="0" xfId="31" applyNumberFormat="1" applyFont="1" applyAlignment="1">
      <alignment horizontal="center"/>
    </xf>
    <xf numFmtId="3" fontId="3" fillId="0" borderId="0" xfId="31" applyNumberFormat="1" applyFont="1" applyAlignment="1">
      <alignment horizontal="center" vertical="center" wrapText="1"/>
    </xf>
    <xf numFmtId="3" fontId="5" fillId="0" borderId="34" xfId="31" applyNumberFormat="1" applyFont="1" applyBorder="1" applyAlignment="1">
      <alignment horizontal="right" vertical="center"/>
    </xf>
    <xf numFmtId="3" fontId="3" fillId="0" borderId="35" xfId="31" applyNumberFormat="1" applyFont="1" applyBorder="1" applyAlignment="1">
      <alignment horizontal="right" vertical="center" wrapText="1"/>
    </xf>
    <xf numFmtId="0" fontId="3" fillId="0" borderId="0" xfId="0" applyFont="1" applyFill="1" applyAlignment="1">
      <alignment horizontal="right"/>
    </xf>
    <xf numFmtId="3" fontId="3" fillId="0" borderId="0" xfId="0" applyNumberFormat="1" applyFont="1" applyFill="1" applyAlignment="1">
      <alignment horizontal="right"/>
    </xf>
    <xf numFmtId="3" fontId="3" fillId="0" borderId="38" xfId="26" applyNumberFormat="1" applyFont="1" applyFill="1" applyBorder="1" applyAlignment="1">
      <alignment horizontal="center" vertical="center" wrapText="1"/>
    </xf>
    <xf numFmtId="3" fontId="3" fillId="0" borderId="0" xfId="26" applyNumberFormat="1" applyFont="1" applyFill="1" applyBorder="1" applyAlignment="1">
      <alignment horizontal="center" vertical="top" wrapText="1"/>
    </xf>
    <xf numFmtId="3" fontId="11" fillId="0" borderId="39" xfId="0" applyNumberFormat="1" applyFont="1" applyFill="1" applyBorder="1" applyAlignment="1">
      <alignment horizontal="center"/>
    </xf>
    <xf numFmtId="3" fontId="11" fillId="0" borderId="40" xfId="0" applyNumberFormat="1" applyFont="1" applyFill="1" applyBorder="1" applyAlignment="1">
      <alignment horizontal="center"/>
    </xf>
    <xf numFmtId="3" fontId="11" fillId="0" borderId="40" xfId="0" applyNumberFormat="1" applyFont="1" applyFill="1" applyBorder="1" applyAlignment="1"/>
    <xf numFmtId="3" fontId="13" fillId="0" borderId="40" xfId="0" applyNumberFormat="1" applyFont="1" applyFill="1" applyBorder="1" applyAlignment="1"/>
    <xf numFmtId="3" fontId="11" fillId="0" borderId="15" xfId="0" applyNumberFormat="1" applyFont="1" applyFill="1" applyBorder="1" applyAlignment="1">
      <alignment horizontal="center"/>
    </xf>
    <xf numFmtId="3" fontId="11" fillId="0" borderId="16" xfId="0" applyNumberFormat="1" applyFont="1" applyFill="1" applyBorder="1" applyAlignment="1">
      <alignment horizontal="center"/>
    </xf>
    <xf numFmtId="3" fontId="11" fillId="0" borderId="15" xfId="0" applyNumberFormat="1" applyFont="1" applyFill="1" applyBorder="1" applyAlignment="1">
      <alignment horizontal="center" vertical="center"/>
    </xf>
    <xf numFmtId="3" fontId="11" fillId="0" borderId="16" xfId="0" applyNumberFormat="1" applyFont="1" applyFill="1" applyBorder="1" applyAlignment="1">
      <alignment horizontal="center" vertical="center"/>
    </xf>
    <xf numFmtId="3" fontId="11" fillId="0" borderId="15" xfId="0" applyNumberFormat="1" applyFont="1" applyFill="1" applyBorder="1" applyAlignment="1">
      <alignment horizontal="center" vertical="top"/>
    </xf>
    <xf numFmtId="3" fontId="11" fillId="0" borderId="16" xfId="0" applyNumberFormat="1" applyFont="1" applyFill="1" applyBorder="1" applyAlignment="1">
      <alignment horizontal="center" vertical="top"/>
    </xf>
    <xf numFmtId="3" fontId="11" fillId="0" borderId="16" xfId="0" applyNumberFormat="1" applyFont="1" applyFill="1" applyBorder="1" applyAlignment="1">
      <alignment vertical="center"/>
    </xf>
    <xf numFmtId="3" fontId="13" fillId="0" borderId="16" xfId="0" applyNumberFormat="1" applyFont="1" applyFill="1" applyBorder="1" applyAlignment="1">
      <alignment vertical="center"/>
    </xf>
    <xf numFmtId="3" fontId="14" fillId="0" borderId="17" xfId="0" applyNumberFormat="1" applyFont="1" applyFill="1" applyBorder="1" applyAlignment="1">
      <alignment vertical="center"/>
    </xf>
    <xf numFmtId="3" fontId="11" fillId="0" borderId="16" xfId="0" applyNumberFormat="1" applyFont="1" applyFill="1" applyBorder="1" applyAlignment="1">
      <alignment vertical="top"/>
    </xf>
    <xf numFmtId="3" fontId="13" fillId="0" borderId="16" xfId="0" applyNumberFormat="1" applyFont="1" applyFill="1" applyBorder="1" applyAlignment="1">
      <alignment vertical="top"/>
    </xf>
    <xf numFmtId="3" fontId="14" fillId="0" borderId="17" xfId="0" applyNumberFormat="1" applyFont="1" applyFill="1" applyBorder="1" applyAlignment="1">
      <alignment vertical="top"/>
    </xf>
    <xf numFmtId="0" fontId="0" fillId="0" borderId="16" xfId="0" applyFont="1" applyFill="1" applyBorder="1"/>
    <xf numFmtId="0" fontId="22" fillId="0" borderId="16" xfId="0" applyFont="1" applyFill="1" applyBorder="1"/>
    <xf numFmtId="3" fontId="11" fillId="0" borderId="23" xfId="0" applyNumberFormat="1" applyFont="1" applyFill="1" applyBorder="1" applyAlignment="1">
      <alignment horizontal="center"/>
    </xf>
    <xf numFmtId="3" fontId="11" fillId="0" borderId="21" xfId="0" applyNumberFormat="1" applyFont="1" applyFill="1" applyBorder="1" applyAlignment="1">
      <alignment horizontal="center"/>
    </xf>
    <xf numFmtId="3" fontId="11" fillId="0" borderId="21" xfId="0" applyNumberFormat="1" applyFont="1" applyFill="1" applyBorder="1" applyAlignment="1">
      <alignment vertical="center"/>
    </xf>
    <xf numFmtId="3" fontId="13" fillId="0" borderId="21" xfId="0" applyNumberFormat="1" applyFont="1" applyFill="1" applyBorder="1" applyAlignment="1">
      <alignment vertical="center"/>
    </xf>
    <xf numFmtId="3" fontId="14" fillId="0" borderId="26" xfId="0" applyNumberFormat="1" applyFont="1" applyFill="1" applyBorder="1" applyAlignment="1">
      <alignment vertical="center"/>
    </xf>
    <xf numFmtId="3" fontId="11" fillId="0" borderId="17" xfId="0" applyNumberFormat="1" applyFont="1" applyFill="1" applyBorder="1" applyAlignment="1">
      <alignment vertical="center"/>
    </xf>
    <xf numFmtId="3" fontId="14" fillId="0" borderId="17" xfId="0" applyNumberFormat="1" applyFont="1" applyFill="1" applyBorder="1" applyAlignment="1"/>
    <xf numFmtId="3" fontId="11" fillId="0" borderId="16" xfId="37" applyNumberFormat="1" applyFont="1" applyFill="1" applyBorder="1" applyAlignment="1">
      <alignment wrapText="1"/>
    </xf>
    <xf numFmtId="3" fontId="17" fillId="0" borderId="0" xfId="0" applyNumberFormat="1" applyFont="1" applyFill="1" applyAlignment="1">
      <alignment vertical="center"/>
    </xf>
    <xf numFmtId="3" fontId="14" fillId="0" borderId="41" xfId="0" applyNumberFormat="1" applyFont="1" applyFill="1" applyBorder="1" applyAlignment="1"/>
    <xf numFmtId="0" fontId="21" fillId="0" borderId="17" xfId="0" applyFont="1" applyFill="1" applyBorder="1"/>
    <xf numFmtId="3" fontId="11" fillId="0" borderId="26" xfId="0" applyNumberFormat="1" applyFont="1" applyFill="1" applyBorder="1" applyAlignment="1">
      <alignment vertical="center"/>
    </xf>
    <xf numFmtId="3" fontId="11" fillId="0" borderId="21" xfId="0" applyNumberFormat="1" applyFont="1" applyFill="1" applyBorder="1" applyAlignment="1"/>
    <xf numFmtId="3" fontId="13" fillId="0" borderId="21" xfId="0" applyNumberFormat="1" applyFont="1" applyFill="1" applyBorder="1" applyAlignment="1"/>
    <xf numFmtId="3" fontId="14" fillId="0" borderId="26" xfId="0" applyNumberFormat="1" applyFont="1" applyFill="1" applyBorder="1" applyAlignment="1"/>
    <xf numFmtId="3" fontId="11" fillId="0" borderId="42" xfId="0" applyNumberFormat="1" applyFont="1" applyFill="1" applyBorder="1" applyAlignment="1">
      <alignment horizontal="center" vertical="center"/>
    </xf>
    <xf numFmtId="3" fontId="11" fillId="0" borderId="42" xfId="0" applyNumberFormat="1" applyFont="1" applyFill="1" applyBorder="1" applyAlignment="1">
      <alignment vertical="center"/>
    </xf>
    <xf numFmtId="3" fontId="11" fillId="0" borderId="43" xfId="0" applyNumberFormat="1" applyFont="1" applyFill="1" applyBorder="1" applyAlignment="1">
      <alignment vertical="center"/>
    </xf>
    <xf numFmtId="3" fontId="11" fillId="0" borderId="21" xfId="0" applyNumberFormat="1" applyFont="1" applyFill="1" applyBorder="1" applyAlignment="1">
      <alignment horizontal="center" vertical="center"/>
    </xf>
    <xf numFmtId="3" fontId="11" fillId="0" borderId="44" xfId="0" applyNumberFormat="1" applyFont="1" applyFill="1" applyBorder="1" applyAlignment="1">
      <alignment vertical="center"/>
    </xf>
    <xf numFmtId="3" fontId="14" fillId="0" borderId="25" xfId="0" applyNumberFormat="1" applyFont="1" applyFill="1" applyBorder="1" applyAlignment="1">
      <alignment vertical="center"/>
    </xf>
    <xf numFmtId="3" fontId="11" fillId="0" borderId="45" xfId="0" applyNumberFormat="1" applyFont="1" applyFill="1" applyBorder="1" applyAlignment="1">
      <alignment horizontal="center" vertical="top"/>
    </xf>
    <xf numFmtId="3" fontId="14" fillId="0" borderId="46" xfId="0" applyNumberFormat="1" applyFont="1" applyFill="1" applyBorder="1" applyAlignment="1">
      <alignment vertical="center"/>
    </xf>
    <xf numFmtId="3" fontId="14" fillId="0" borderId="16" xfId="37" applyNumberFormat="1" applyFont="1" applyFill="1" applyBorder="1" applyAlignment="1"/>
    <xf numFmtId="3" fontId="11" fillId="0" borderId="16" xfId="0" applyNumberFormat="1" applyFont="1" applyFill="1" applyBorder="1" applyAlignment="1">
      <alignment horizontal="right"/>
    </xf>
    <xf numFmtId="3" fontId="11" fillId="0" borderId="17" xfId="0" applyNumberFormat="1" applyFont="1" applyFill="1" applyBorder="1" applyAlignment="1">
      <alignment horizontal="right"/>
    </xf>
    <xf numFmtId="3" fontId="11" fillId="0" borderId="16" xfId="0" applyNumberFormat="1" applyFont="1" applyFill="1" applyBorder="1" applyAlignment="1">
      <alignment horizontal="right" vertical="top"/>
    </xf>
    <xf numFmtId="3" fontId="11" fillId="0" borderId="17" xfId="0" applyNumberFormat="1" applyFont="1" applyFill="1" applyBorder="1" applyAlignment="1">
      <alignment horizontal="right" vertical="top"/>
    </xf>
    <xf numFmtId="3" fontId="11" fillId="0" borderId="16" xfId="0" applyNumberFormat="1" applyFont="1" applyFill="1" applyBorder="1" applyAlignment="1">
      <alignment horizontal="right" vertical="center"/>
    </xf>
    <xf numFmtId="3" fontId="11" fillId="0" borderId="20" xfId="0" applyNumberFormat="1" applyFont="1" applyFill="1" applyBorder="1" applyAlignment="1"/>
    <xf numFmtId="3" fontId="11" fillId="0" borderId="20" xfId="0" applyNumberFormat="1" applyFont="1" applyFill="1" applyBorder="1" applyAlignment="1">
      <alignment vertical="center"/>
    </xf>
    <xf numFmtId="3" fontId="14" fillId="0" borderId="47" xfId="0" applyNumberFormat="1" applyFont="1" applyFill="1" applyBorder="1" applyAlignment="1">
      <alignment vertical="center"/>
    </xf>
    <xf numFmtId="3" fontId="14" fillId="0" borderId="47" xfId="0" applyNumberFormat="1" applyFont="1" applyFill="1" applyBorder="1" applyAlignment="1"/>
    <xf numFmtId="3" fontId="17" fillId="0" borderId="15" xfId="0" applyNumberFormat="1" applyFont="1" applyFill="1" applyBorder="1" applyAlignment="1">
      <alignment horizontal="center" vertical="center"/>
    </xf>
    <xf numFmtId="3" fontId="17" fillId="0" borderId="0" xfId="0" applyNumberFormat="1" applyFont="1" applyFill="1" applyBorder="1" applyAlignment="1">
      <alignment horizontal="right" vertical="center"/>
    </xf>
    <xf numFmtId="3" fontId="11" fillId="0" borderId="26" xfId="0" applyNumberFormat="1" applyFont="1" applyFill="1" applyBorder="1" applyAlignment="1"/>
    <xf numFmtId="3" fontId="13" fillId="0" borderId="16" xfId="0" applyNumberFormat="1" applyFont="1" applyFill="1" applyBorder="1" applyAlignment="1">
      <alignment horizontal="right"/>
    </xf>
    <xf numFmtId="3" fontId="13" fillId="0" borderId="17" xfId="0" applyNumberFormat="1" applyFont="1" applyFill="1" applyBorder="1" applyAlignment="1">
      <alignment horizontal="right"/>
    </xf>
    <xf numFmtId="3" fontId="11" fillId="0" borderId="17" xfId="0" applyNumberFormat="1" applyFont="1" applyFill="1" applyBorder="1" applyAlignment="1">
      <alignment horizontal="right" vertical="center"/>
    </xf>
    <xf numFmtId="3" fontId="17" fillId="0" borderId="0" xfId="0" applyNumberFormat="1" applyFont="1" applyFill="1" applyBorder="1" applyAlignment="1">
      <alignment horizontal="right" vertical="top"/>
    </xf>
    <xf numFmtId="3" fontId="17" fillId="0" borderId="47" xfId="0" applyNumberFormat="1" applyFont="1" applyFill="1" applyBorder="1" applyAlignment="1"/>
    <xf numFmtId="3" fontId="14" fillId="0" borderId="40" xfId="0" applyNumberFormat="1" applyFont="1" applyFill="1" applyBorder="1" applyAlignment="1">
      <alignment horizontal="right"/>
    </xf>
    <xf numFmtId="3" fontId="14" fillId="0" borderId="41" xfId="0" applyNumberFormat="1" applyFont="1" applyFill="1" applyBorder="1" applyAlignment="1">
      <alignment horizontal="right"/>
    </xf>
    <xf numFmtId="3" fontId="14" fillId="0" borderId="16" xfId="0" applyNumberFormat="1" applyFont="1" applyFill="1" applyBorder="1" applyAlignment="1">
      <alignment horizontal="right" vertical="center"/>
    </xf>
    <xf numFmtId="3" fontId="14" fillId="0" borderId="17" xfId="0" applyNumberFormat="1" applyFont="1" applyFill="1" applyBorder="1" applyAlignment="1">
      <alignment horizontal="right" vertical="center"/>
    </xf>
    <xf numFmtId="3" fontId="14" fillId="0" borderId="40" xfId="0" applyNumberFormat="1" applyFont="1" applyFill="1" applyBorder="1" applyAlignment="1">
      <alignment horizontal="right" vertical="center"/>
    </xf>
    <xf numFmtId="3" fontId="14" fillId="0" borderId="41" xfId="0" applyNumberFormat="1" applyFont="1" applyFill="1" applyBorder="1" applyAlignment="1">
      <alignment horizontal="right" vertical="center"/>
    </xf>
    <xf numFmtId="3" fontId="14" fillId="0" borderId="48" xfId="0" applyNumberFormat="1" applyFont="1" applyFill="1" applyBorder="1" applyAlignment="1">
      <alignment horizontal="right"/>
    </xf>
    <xf numFmtId="3" fontId="14" fillId="0" borderId="47" xfId="0" applyNumberFormat="1" applyFont="1" applyFill="1" applyBorder="1" applyAlignment="1">
      <alignment horizontal="right" vertical="center"/>
    </xf>
    <xf numFmtId="3" fontId="14" fillId="0" borderId="48" xfId="0" applyNumberFormat="1" applyFont="1" applyFill="1" applyBorder="1" applyAlignment="1">
      <alignment horizontal="right" vertical="center"/>
    </xf>
    <xf numFmtId="3" fontId="17" fillId="0" borderId="47" xfId="0" applyNumberFormat="1" applyFont="1" applyFill="1" applyBorder="1" applyAlignment="1">
      <alignment horizontal="right" vertical="center"/>
    </xf>
    <xf numFmtId="0" fontId="12" fillId="0" borderId="0" xfId="0" applyFont="1" applyFill="1" applyAlignment="1">
      <alignment horizontal="center"/>
    </xf>
    <xf numFmtId="0" fontId="3" fillId="0" borderId="49" xfId="31" applyNumberFormat="1" applyFont="1" applyBorder="1" applyAlignment="1">
      <alignment horizontal="center" vertical="center" wrapText="1"/>
    </xf>
    <xf numFmtId="3" fontId="3" fillId="0" borderId="50" xfId="31" applyNumberFormat="1" applyFont="1" applyBorder="1" applyAlignment="1">
      <alignment horizontal="center" vertical="center" wrapText="1"/>
    </xf>
    <xf numFmtId="3" fontId="3" fillId="0" borderId="49" xfId="31" applyNumberFormat="1" applyFont="1" applyBorder="1" applyAlignment="1">
      <alignment horizontal="center" vertical="center" wrapText="1"/>
    </xf>
    <xf numFmtId="3" fontId="11" fillId="0" borderId="0" xfId="27" applyNumberFormat="1" applyFont="1" applyFill="1"/>
    <xf numFmtId="3" fontId="25" fillId="0" borderId="16" xfId="27" applyNumberFormat="1" applyFont="1" applyFill="1" applyBorder="1" applyAlignment="1">
      <alignment wrapText="1"/>
    </xf>
    <xf numFmtId="3" fontId="3" fillId="0" borderId="0" xfId="27" applyNumberFormat="1" applyFont="1" applyFill="1" applyBorder="1"/>
    <xf numFmtId="3" fontId="3" fillId="0" borderId="51" xfId="26" applyNumberFormat="1" applyFont="1" applyFill="1" applyBorder="1" applyAlignment="1">
      <alignment horizontal="center" textRotation="90" wrapText="1"/>
    </xf>
    <xf numFmtId="3" fontId="3" fillId="0" borderId="4" xfId="26" applyNumberFormat="1" applyFont="1" applyFill="1" applyBorder="1" applyAlignment="1">
      <alignment horizontal="center" wrapText="1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/>
    </xf>
    <xf numFmtId="49" fontId="3" fillId="0" borderId="4" xfId="0" applyNumberFormat="1" applyFont="1" applyFill="1" applyBorder="1" applyAlignment="1">
      <alignment horizontal="center" vertical="top"/>
    </xf>
    <xf numFmtId="3" fontId="3" fillId="0" borderId="52" xfId="26" applyNumberFormat="1" applyFont="1" applyFill="1" applyBorder="1" applyAlignment="1">
      <alignment horizontal="center" textRotation="90" wrapText="1"/>
    </xf>
    <xf numFmtId="0" fontId="3" fillId="0" borderId="53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/>
    </xf>
    <xf numFmtId="0" fontId="3" fillId="0" borderId="52" xfId="0" applyFont="1" applyFill="1" applyBorder="1" applyAlignment="1">
      <alignment horizontal="center" vertical="center"/>
    </xf>
    <xf numFmtId="0" fontId="3" fillId="0" borderId="55" xfId="0" applyFont="1" applyFill="1" applyBorder="1" applyAlignment="1">
      <alignment horizontal="center" vertical="center"/>
    </xf>
    <xf numFmtId="49" fontId="3" fillId="0" borderId="51" xfId="26" applyNumberFormat="1" applyFont="1" applyFill="1" applyBorder="1" applyAlignment="1">
      <alignment horizontal="center"/>
    </xf>
    <xf numFmtId="49" fontId="3" fillId="0" borderId="52" xfId="26" applyNumberFormat="1" applyFont="1" applyFill="1" applyBorder="1" applyAlignment="1">
      <alignment horizontal="center"/>
    </xf>
    <xf numFmtId="49" fontId="6" fillId="0" borderId="4" xfId="26" applyNumberFormat="1" applyFont="1" applyFill="1" applyBorder="1" applyAlignment="1">
      <alignment horizontal="center"/>
    </xf>
    <xf numFmtId="49" fontId="3" fillId="0" borderId="4" xfId="26" applyNumberFormat="1" applyFont="1" applyFill="1" applyBorder="1" applyAlignment="1">
      <alignment horizontal="center" vertical="center"/>
    </xf>
    <xf numFmtId="3" fontId="11" fillId="0" borderId="38" xfId="26" applyNumberFormat="1" applyFont="1" applyFill="1" applyBorder="1" applyAlignment="1">
      <alignment horizontal="center" vertical="center" wrapText="1"/>
    </xf>
    <xf numFmtId="3" fontId="3" fillId="0" borderId="56" xfId="26" applyNumberFormat="1" applyFont="1" applyFill="1" applyBorder="1" applyAlignment="1">
      <alignment horizontal="center" vertical="center" textRotation="90" wrapText="1"/>
    </xf>
    <xf numFmtId="3" fontId="3" fillId="0" borderId="38" xfId="26" applyNumberFormat="1" applyFont="1" applyFill="1" applyBorder="1" applyAlignment="1">
      <alignment horizontal="center" vertical="center" textRotation="90" wrapText="1"/>
    </xf>
    <xf numFmtId="3" fontId="5" fillId="0" borderId="38" xfId="26" applyNumberFormat="1" applyFont="1" applyFill="1" applyBorder="1" applyAlignment="1">
      <alignment horizontal="center" vertical="center" wrapText="1"/>
    </xf>
    <xf numFmtId="3" fontId="3" fillId="0" borderId="57" xfId="26" applyNumberFormat="1" applyFont="1" applyFill="1" applyBorder="1" applyAlignment="1">
      <alignment horizontal="center" vertical="center" wrapText="1"/>
    </xf>
    <xf numFmtId="3" fontId="3" fillId="0" borderId="12" xfId="26" applyNumberFormat="1" applyFont="1" applyFill="1" applyBorder="1" applyAlignment="1">
      <alignment horizontal="center" vertical="center" wrapText="1"/>
    </xf>
    <xf numFmtId="3" fontId="5" fillId="0" borderId="10" xfId="26" applyNumberFormat="1" applyFont="1" applyFill="1" applyBorder="1" applyAlignment="1">
      <alignment horizontal="right" wrapText="1"/>
    </xf>
    <xf numFmtId="3" fontId="5" fillId="0" borderId="9" xfId="0" applyNumberFormat="1" applyFont="1" applyFill="1" applyBorder="1"/>
    <xf numFmtId="3" fontId="5" fillId="0" borderId="9" xfId="26" applyNumberFormat="1" applyFont="1" applyFill="1" applyBorder="1" applyAlignment="1">
      <alignment horizontal="right" wrapText="1"/>
    </xf>
    <xf numFmtId="3" fontId="5" fillId="0" borderId="31" xfId="0" applyNumberFormat="1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3" fontId="5" fillId="0" borderId="33" xfId="0" applyNumberFormat="1" applyFont="1" applyFill="1" applyBorder="1" applyAlignment="1">
      <alignment vertical="center"/>
    </xf>
    <xf numFmtId="3" fontId="6" fillId="0" borderId="0" xfId="26" applyNumberFormat="1" applyFont="1" applyFill="1" applyBorder="1" applyAlignment="1">
      <alignment horizontal="right"/>
    </xf>
    <xf numFmtId="3" fontId="3" fillId="0" borderId="6" xfId="26" applyNumberFormat="1" applyFont="1" applyFill="1" applyBorder="1" applyAlignment="1">
      <alignment horizontal="center"/>
    </xf>
    <xf numFmtId="49" fontId="3" fillId="0" borderId="56" xfId="26" applyNumberFormat="1" applyFont="1" applyFill="1" applyBorder="1" applyAlignment="1">
      <alignment horizontal="center" vertical="center" textRotation="90"/>
    </xf>
    <xf numFmtId="3" fontId="3" fillId="0" borderId="38" xfId="26" applyNumberFormat="1" applyFont="1" applyFill="1" applyBorder="1" applyAlignment="1">
      <alignment horizontal="center" vertical="center" textRotation="90"/>
    </xf>
    <xf numFmtId="3" fontId="5" fillId="0" borderId="38" xfId="26" applyNumberFormat="1" applyFont="1" applyFill="1" applyBorder="1" applyAlignment="1">
      <alignment horizontal="center" vertical="center"/>
    </xf>
    <xf numFmtId="3" fontId="3" fillId="0" borderId="58" xfId="26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59" xfId="33" applyFont="1" applyFill="1" applyBorder="1" applyAlignment="1">
      <alignment horizontal="center" vertical="center" wrapText="1"/>
    </xf>
    <xf numFmtId="0" fontId="3" fillId="0" borderId="21" xfId="36" applyFont="1" applyFill="1" applyBorder="1" applyAlignment="1">
      <alignment vertical="center" wrapText="1"/>
    </xf>
    <xf numFmtId="14" fontId="3" fillId="0" borderId="21" xfId="36" applyNumberFormat="1" applyFont="1" applyFill="1" applyBorder="1" applyAlignment="1">
      <alignment horizontal="center" vertical="center"/>
    </xf>
    <xf numFmtId="3" fontId="3" fillId="0" borderId="21" xfId="35" applyNumberFormat="1" applyFont="1" applyFill="1" applyBorder="1" applyAlignment="1">
      <alignment horizontal="right" vertical="center"/>
    </xf>
    <xf numFmtId="0" fontId="3" fillId="0" borderId="16" xfId="36" applyFont="1" applyFill="1" applyBorder="1" applyAlignment="1">
      <alignment horizontal="center" vertical="center" wrapText="1"/>
    </xf>
    <xf numFmtId="0" fontId="3" fillId="0" borderId="42" xfId="36" applyFont="1" applyFill="1" applyBorder="1" applyAlignment="1">
      <alignment horizontal="center" vertical="center" wrapText="1"/>
    </xf>
    <xf numFmtId="0" fontId="3" fillId="0" borderId="0" xfId="40" applyFont="1" applyFill="1" applyBorder="1"/>
    <xf numFmtId="0" fontId="3" fillId="0" borderId="0" xfId="40" applyFont="1" applyFill="1" applyBorder="1" applyAlignment="1">
      <alignment horizontal="center" vertical="center"/>
    </xf>
    <xf numFmtId="0" fontId="3" fillId="0" borderId="0" xfId="40" applyFont="1" applyFill="1" applyBorder="1" applyAlignment="1"/>
    <xf numFmtId="0" fontId="3" fillId="0" borderId="15" xfId="40" applyFont="1" applyFill="1" applyBorder="1" applyAlignment="1">
      <alignment horizontal="center" vertical="center"/>
    </xf>
    <xf numFmtId="0" fontId="3" fillId="0" borderId="16" xfId="40" applyFont="1" applyFill="1" applyBorder="1" applyAlignment="1">
      <alignment horizontal="center" vertical="top"/>
    </xf>
    <xf numFmtId="0" fontId="3" fillId="0" borderId="16" xfId="30" applyFont="1" applyFill="1" applyBorder="1" applyAlignment="1">
      <alignment wrapText="1"/>
    </xf>
    <xf numFmtId="0" fontId="3" fillId="0" borderId="16" xfId="30" applyFont="1" applyFill="1" applyBorder="1" applyAlignment="1">
      <alignment vertical="top" wrapText="1"/>
    </xf>
    <xf numFmtId="0" fontId="3" fillId="0" borderId="0" xfId="40" applyFont="1" applyFill="1" applyBorder="1" applyAlignment="1">
      <alignment vertical="center"/>
    </xf>
    <xf numFmtId="0" fontId="3" fillId="0" borderId="16" xfId="40" applyFont="1" applyFill="1" applyBorder="1" applyAlignment="1">
      <alignment vertical="center" wrapText="1"/>
    </xf>
    <xf numFmtId="3" fontId="3" fillId="0" borderId="21" xfId="30" applyNumberFormat="1" applyFont="1" applyFill="1" applyBorder="1" applyAlignment="1">
      <alignment horizontal="right"/>
    </xf>
    <xf numFmtId="3" fontId="3" fillId="0" borderId="22" xfId="40" applyNumberFormat="1" applyFont="1" applyFill="1" applyBorder="1" applyAlignment="1">
      <alignment horizontal="right"/>
    </xf>
    <xf numFmtId="3" fontId="3" fillId="0" borderId="21" xfId="40" applyNumberFormat="1" applyFont="1" applyFill="1" applyBorder="1" applyAlignment="1">
      <alignment horizontal="right"/>
    </xf>
    <xf numFmtId="0" fontId="5" fillId="0" borderId="0" xfId="40" applyFont="1" applyFill="1" applyBorder="1" applyAlignment="1">
      <alignment vertical="center"/>
    </xf>
    <xf numFmtId="0" fontId="3" fillId="0" borderId="0" xfId="40" applyFont="1" applyFill="1" applyBorder="1" applyAlignment="1">
      <alignment horizontal="left"/>
    </xf>
    <xf numFmtId="3" fontId="3" fillId="0" borderId="16" xfId="40" applyNumberFormat="1" applyFont="1" applyFill="1" applyBorder="1" applyAlignment="1">
      <alignment horizontal="right"/>
    </xf>
    <xf numFmtId="3" fontId="3" fillId="0" borderId="20" xfId="40" applyNumberFormat="1" applyFont="1" applyFill="1" applyBorder="1" applyAlignment="1">
      <alignment horizontal="right"/>
    </xf>
    <xf numFmtId="3" fontId="3" fillId="0" borderId="0" xfId="41" applyNumberFormat="1" applyFont="1" applyFill="1" applyBorder="1" applyAlignment="1">
      <alignment horizontal="right"/>
    </xf>
    <xf numFmtId="3" fontId="3" fillId="0" borderId="0" xfId="41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3" fontId="14" fillId="0" borderId="60" xfId="0" applyNumberFormat="1" applyFont="1" applyFill="1" applyBorder="1" applyAlignment="1">
      <alignment vertical="center"/>
    </xf>
    <xf numFmtId="3" fontId="17" fillId="0" borderId="60" xfId="0" applyNumberFormat="1" applyFont="1" applyFill="1" applyBorder="1" applyAlignment="1">
      <alignment vertical="center"/>
    </xf>
    <xf numFmtId="3" fontId="17" fillId="0" borderId="61" xfId="0" applyNumberFormat="1" applyFont="1" applyFill="1" applyBorder="1" applyAlignment="1"/>
    <xf numFmtId="3" fontId="11" fillId="0" borderId="62" xfId="0" applyNumberFormat="1" applyFont="1" applyFill="1" applyBorder="1" applyAlignment="1"/>
    <xf numFmtId="3" fontId="13" fillId="0" borderId="16" xfId="27" applyNumberFormat="1" applyFont="1" applyFill="1" applyBorder="1" applyAlignment="1">
      <alignment wrapText="1"/>
    </xf>
    <xf numFmtId="3" fontId="13" fillId="0" borderId="16" xfId="27" applyNumberFormat="1" applyFont="1" applyFill="1" applyBorder="1" applyAlignment="1">
      <alignment horizontal="left" wrapText="1"/>
    </xf>
    <xf numFmtId="3" fontId="13" fillId="0" borderId="16" xfId="27" applyNumberFormat="1" applyFont="1" applyFill="1" applyBorder="1" applyAlignment="1">
      <alignment horizontal="left" wrapText="1" indent="3"/>
    </xf>
    <xf numFmtId="3" fontId="3" fillId="0" borderId="0" xfId="0" applyNumberFormat="1" applyFont="1" applyFill="1" applyAlignment="1">
      <alignment horizontal="right" vertical="center"/>
    </xf>
    <xf numFmtId="3" fontId="5" fillId="0" borderId="0" xfId="0" applyNumberFormat="1" applyFont="1" applyFill="1" applyAlignment="1">
      <alignment horizontal="right" vertical="center"/>
    </xf>
    <xf numFmtId="3" fontId="11" fillId="0" borderId="0" xfId="0" applyNumberFormat="1" applyFont="1" applyFill="1" applyBorder="1" applyAlignment="1">
      <alignment horizontal="center"/>
    </xf>
    <xf numFmtId="3" fontId="11" fillId="0" borderId="16" xfId="37" applyNumberFormat="1" applyFont="1" applyFill="1" applyBorder="1" applyAlignment="1">
      <alignment horizontal="center"/>
    </xf>
    <xf numFmtId="3" fontId="11" fillId="0" borderId="21" xfId="37" applyNumberFormat="1" applyFont="1" applyFill="1" applyBorder="1" applyAlignment="1">
      <alignment horizontal="center"/>
    </xf>
    <xf numFmtId="3" fontId="11" fillId="0" borderId="22" xfId="0" applyNumberFormat="1" applyFont="1" applyFill="1" applyBorder="1" applyAlignment="1"/>
    <xf numFmtId="3" fontId="11" fillId="0" borderId="16" xfId="37" applyNumberFormat="1" applyFont="1" applyFill="1" applyBorder="1" applyAlignment="1">
      <alignment horizontal="center" vertical="top" wrapText="1"/>
    </xf>
    <xf numFmtId="3" fontId="11" fillId="0" borderId="20" xfId="0" applyNumberFormat="1" applyFont="1" applyFill="1" applyBorder="1" applyAlignment="1">
      <alignment vertical="top"/>
    </xf>
    <xf numFmtId="3" fontId="14" fillId="0" borderId="40" xfId="37" applyNumberFormat="1" applyFont="1" applyFill="1" applyBorder="1" applyAlignment="1">
      <alignment horizontal="center"/>
    </xf>
    <xf numFmtId="3" fontId="14" fillId="0" borderId="40" xfId="0" applyNumberFormat="1" applyFont="1" applyFill="1" applyBorder="1" applyAlignment="1">
      <alignment vertical="center"/>
    </xf>
    <xf numFmtId="3" fontId="14" fillId="0" borderId="66" xfId="0" applyNumberFormat="1" applyFont="1" applyFill="1" applyBorder="1" applyAlignment="1">
      <alignment vertical="center"/>
    </xf>
    <xf numFmtId="3" fontId="14" fillId="0" borderId="66" xfId="0" applyNumberFormat="1" applyFont="1" applyFill="1" applyBorder="1" applyAlignment="1">
      <alignment horizontal="right"/>
    </xf>
    <xf numFmtId="3" fontId="14" fillId="0" borderId="15" xfId="0" applyNumberFormat="1" applyFont="1" applyFill="1" applyBorder="1" applyAlignment="1">
      <alignment horizontal="center" vertical="center"/>
    </xf>
    <xf numFmtId="3" fontId="11" fillId="0" borderId="20" xfId="0" applyNumberFormat="1" applyFont="1" applyFill="1" applyBorder="1" applyAlignment="1">
      <alignment horizontal="right" vertical="center"/>
    </xf>
    <xf numFmtId="3" fontId="14" fillId="0" borderId="40" xfId="0" applyNumberFormat="1" applyFont="1" applyFill="1" applyBorder="1" applyAlignment="1">
      <alignment horizontal="center" vertical="center"/>
    </xf>
    <xf numFmtId="3" fontId="14" fillId="0" borderId="66" xfId="0" applyNumberFormat="1" applyFont="1" applyFill="1" applyBorder="1" applyAlignment="1">
      <alignment horizontal="right" vertical="center"/>
    </xf>
    <xf numFmtId="3" fontId="11" fillId="0" borderId="16" xfId="0" applyNumberFormat="1" applyFont="1" applyFill="1" applyBorder="1" applyAlignment="1">
      <alignment horizontal="center" vertical="center" wrapText="1"/>
    </xf>
    <xf numFmtId="3" fontId="11" fillId="0" borderId="20" xfId="0" applyNumberFormat="1" applyFont="1" applyFill="1" applyBorder="1" applyAlignment="1">
      <alignment horizontal="right" vertical="top"/>
    </xf>
    <xf numFmtId="0" fontId="23" fillId="0" borderId="0" xfId="0" applyFont="1" applyFill="1" applyAlignment="1">
      <alignment vertical="top"/>
    </xf>
    <xf numFmtId="0" fontId="3" fillId="0" borderId="16" xfId="40" applyFont="1" applyFill="1" applyBorder="1" applyAlignment="1">
      <alignment horizontal="center"/>
    </xf>
    <xf numFmtId="4" fontId="3" fillId="0" borderId="2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/>
    <xf numFmtId="4" fontId="3" fillId="0" borderId="0" xfId="0" applyNumberFormat="1" applyFont="1" applyFill="1" applyBorder="1" applyAlignment="1">
      <alignment vertical="top"/>
    </xf>
    <xf numFmtId="4" fontId="5" fillId="0" borderId="6" xfId="0" applyNumberFormat="1" applyFont="1" applyFill="1" applyBorder="1" applyAlignment="1">
      <alignment vertical="center"/>
    </xf>
    <xf numFmtId="4" fontId="3" fillId="0" borderId="6" xfId="0" applyNumberFormat="1" applyFont="1" applyFill="1" applyBorder="1" applyAlignment="1">
      <alignment vertical="center"/>
    </xf>
    <xf numFmtId="3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5" fillId="0" borderId="51" xfId="0" applyFont="1" applyFill="1" applyBorder="1" applyAlignment="1">
      <alignment horizontal="left"/>
    </xf>
    <xf numFmtId="0" fontId="5" fillId="0" borderId="67" xfId="0" applyFont="1" applyFill="1" applyBorder="1" applyAlignment="1">
      <alignment horizontal="center"/>
    </xf>
    <xf numFmtId="3" fontId="5" fillId="0" borderId="68" xfId="0" applyNumberFormat="1" applyFont="1" applyFill="1" applyBorder="1" applyAlignment="1">
      <alignment horizontal="center" wrapText="1"/>
    </xf>
    <xf numFmtId="0" fontId="5" fillId="0" borderId="69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3" fontId="5" fillId="0" borderId="70" xfId="0" applyNumberFormat="1" applyFont="1" applyFill="1" applyBorder="1" applyAlignment="1">
      <alignment horizontal="center" wrapText="1"/>
    </xf>
    <xf numFmtId="3" fontId="3" fillId="0" borderId="71" xfId="0" applyNumberFormat="1" applyFont="1" applyFill="1" applyBorder="1"/>
    <xf numFmtId="0" fontId="3" fillId="0" borderId="72" xfId="0" applyFont="1" applyFill="1" applyBorder="1" applyAlignment="1">
      <alignment horizontal="center"/>
    </xf>
    <xf numFmtId="0" fontId="3" fillId="0" borderId="0" xfId="0" applyFont="1" applyFill="1" applyBorder="1" applyAlignment="1">
      <alignment wrapText="1"/>
    </xf>
    <xf numFmtId="0" fontId="3" fillId="0" borderId="72" xfId="0" applyFont="1" applyFill="1" applyBorder="1" applyAlignment="1">
      <alignment horizontal="center" vertical="top"/>
    </xf>
    <xf numFmtId="0" fontId="5" fillId="0" borderId="52" xfId="0" applyFont="1" applyFill="1" applyBorder="1" applyAlignment="1">
      <alignment horizontal="right" vertical="center"/>
    </xf>
    <xf numFmtId="0" fontId="5" fillId="0" borderId="8" xfId="0" applyFont="1" applyFill="1" applyBorder="1" applyAlignment="1">
      <alignment horizontal="left" vertical="center"/>
    </xf>
    <xf numFmtId="3" fontId="5" fillId="0" borderId="73" xfId="0" applyNumberFormat="1" applyFont="1" applyFill="1" applyBorder="1" applyAlignment="1">
      <alignment vertical="center"/>
    </xf>
    <xf numFmtId="3" fontId="5" fillId="0" borderId="74" xfId="0" applyNumberFormat="1" applyFont="1" applyFill="1" applyBorder="1" applyAlignment="1">
      <alignment horizontal="center" vertical="center"/>
    </xf>
    <xf numFmtId="3" fontId="5" fillId="0" borderId="75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left"/>
    </xf>
    <xf numFmtId="0" fontId="5" fillId="0" borderId="7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3" fontId="3" fillId="0" borderId="71" xfId="0" applyNumberFormat="1" applyFont="1" applyFill="1" applyBorder="1" applyAlignment="1">
      <alignment horizontal="right"/>
    </xf>
    <xf numFmtId="1" fontId="3" fillId="0" borderId="72" xfId="0" applyNumberFormat="1" applyFont="1" applyFill="1" applyBorder="1" applyAlignment="1">
      <alignment horizontal="center"/>
    </xf>
    <xf numFmtId="3" fontId="3" fillId="0" borderId="76" xfId="0" applyNumberFormat="1" applyFont="1" applyFill="1" applyBorder="1" applyAlignment="1">
      <alignment horizontal="right"/>
    </xf>
    <xf numFmtId="0" fontId="5" fillId="0" borderId="53" xfId="0" applyFont="1" applyFill="1" applyBorder="1" applyAlignment="1">
      <alignment horizontal="right" vertical="center"/>
    </xf>
    <xf numFmtId="0" fontId="5" fillId="0" borderId="31" xfId="0" applyFont="1" applyFill="1" applyBorder="1" applyAlignment="1">
      <alignment horizontal="left" vertical="center"/>
    </xf>
    <xf numFmtId="3" fontId="5" fillId="0" borderId="77" xfId="0" applyNumberFormat="1" applyFont="1" applyFill="1" applyBorder="1" applyAlignment="1">
      <alignment horizontal="center" vertical="center"/>
    </xf>
    <xf numFmtId="3" fontId="5" fillId="0" borderId="78" xfId="0" applyNumberFormat="1" applyFont="1" applyFill="1" applyBorder="1" applyAlignment="1">
      <alignment horizontal="right" vertical="center"/>
    </xf>
    <xf numFmtId="0" fontId="5" fillId="0" borderId="79" xfId="0" applyFont="1" applyFill="1" applyBorder="1" applyAlignment="1">
      <alignment vertical="center"/>
    </xf>
    <xf numFmtId="0" fontId="5" fillId="0" borderId="80" xfId="0" applyFont="1" applyFill="1" applyBorder="1" applyAlignment="1">
      <alignment horizontal="center" vertical="center"/>
    </xf>
    <xf numFmtId="0" fontId="5" fillId="0" borderId="81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right" vertical="center"/>
    </xf>
    <xf numFmtId="0" fontId="3" fillId="0" borderId="72" xfId="0" applyFont="1" applyFill="1" applyBorder="1" applyAlignment="1">
      <alignment horizontal="center" vertical="center"/>
    </xf>
    <xf numFmtId="0" fontId="3" fillId="0" borderId="77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vertical="center"/>
    </xf>
    <xf numFmtId="0" fontId="3" fillId="0" borderId="53" xfId="0" applyFont="1" applyFill="1" applyBorder="1" applyAlignment="1">
      <alignment horizontal="right" vertical="center"/>
    </xf>
    <xf numFmtId="0" fontId="5" fillId="0" borderId="77" xfId="0" applyFont="1" applyFill="1" applyBorder="1" applyAlignment="1">
      <alignment horizontal="right" vertical="center"/>
    </xf>
    <xf numFmtId="0" fontId="5" fillId="0" borderId="82" xfId="0" applyFont="1" applyFill="1" applyBorder="1" applyAlignment="1">
      <alignment horizontal="right" vertical="center"/>
    </xf>
    <xf numFmtId="0" fontId="5" fillId="0" borderId="83" xfId="0" applyFont="1" applyFill="1" applyBorder="1" applyAlignment="1">
      <alignment horizontal="left" vertical="center"/>
    </xf>
    <xf numFmtId="3" fontId="5" fillId="0" borderId="72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indent="2"/>
    </xf>
    <xf numFmtId="0" fontId="5" fillId="0" borderId="84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85" xfId="0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left" vertical="center" wrapText="1"/>
    </xf>
    <xf numFmtId="3" fontId="5" fillId="0" borderId="86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right"/>
    </xf>
    <xf numFmtId="0" fontId="3" fillId="0" borderId="72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3" fillId="0" borderId="6" xfId="0" applyFont="1" applyFill="1" applyBorder="1"/>
    <xf numFmtId="0" fontId="3" fillId="0" borderId="87" xfId="0" applyFont="1" applyFill="1" applyBorder="1" applyAlignment="1">
      <alignment horizontal="right"/>
    </xf>
    <xf numFmtId="3" fontId="5" fillId="0" borderId="71" xfId="0" applyNumberFormat="1" applyFont="1" applyFill="1" applyBorder="1" applyAlignment="1">
      <alignment horizontal="right"/>
    </xf>
    <xf numFmtId="3" fontId="5" fillId="0" borderId="88" xfId="0" applyNumberFormat="1" applyFont="1" applyFill="1" applyBorder="1" applyAlignment="1">
      <alignment horizontal="right" vertical="center"/>
    </xf>
    <xf numFmtId="3" fontId="5" fillId="0" borderId="89" xfId="0" applyNumberFormat="1" applyFont="1" applyFill="1" applyBorder="1" applyAlignment="1">
      <alignment horizontal="right" vertical="center"/>
    </xf>
    <xf numFmtId="3" fontId="3" fillId="0" borderId="71" xfId="0" applyNumberFormat="1" applyFont="1" applyFill="1" applyBorder="1" applyAlignment="1">
      <alignment horizontal="right" vertical="center"/>
    </xf>
    <xf numFmtId="3" fontId="3" fillId="0" borderId="88" xfId="0" applyNumberFormat="1" applyFont="1" applyFill="1" applyBorder="1" applyAlignment="1">
      <alignment horizontal="right" vertical="center"/>
    </xf>
    <xf numFmtId="3" fontId="5" fillId="0" borderId="90" xfId="0" applyNumberFormat="1" applyFont="1" applyFill="1" applyBorder="1" applyAlignment="1">
      <alignment horizontal="right" vertical="center"/>
    </xf>
    <xf numFmtId="3" fontId="5" fillId="0" borderId="71" xfId="0" applyNumberFormat="1" applyFont="1" applyFill="1" applyBorder="1" applyAlignment="1">
      <alignment horizontal="right" vertical="center"/>
    </xf>
    <xf numFmtId="3" fontId="5" fillId="0" borderId="91" xfId="0" applyNumberFormat="1" applyFont="1" applyFill="1" applyBorder="1" applyAlignment="1">
      <alignment horizontal="right" vertical="center"/>
    </xf>
    <xf numFmtId="165" fontId="3" fillId="0" borderId="71" xfId="42" applyNumberFormat="1" applyFont="1" applyFill="1" applyBorder="1" applyAlignment="1">
      <alignment horizontal="right"/>
    </xf>
    <xf numFmtId="165" fontId="3" fillId="0" borderId="92" xfId="42" applyNumberFormat="1" applyFont="1" applyFill="1" applyBorder="1" applyAlignment="1">
      <alignment horizontal="right"/>
    </xf>
    <xf numFmtId="3" fontId="3" fillId="0" borderId="76" xfId="0" applyNumberFormat="1" applyFont="1" applyFill="1" applyBorder="1" applyAlignment="1">
      <alignment horizontal="right" vertical="center" textRotation="180"/>
    </xf>
    <xf numFmtId="3" fontId="5" fillId="0" borderId="93" xfId="0" applyNumberFormat="1" applyFont="1" applyFill="1" applyBorder="1" applyAlignment="1">
      <alignment horizontal="right" vertical="center"/>
    </xf>
    <xf numFmtId="3" fontId="3" fillId="0" borderId="76" xfId="0" applyNumberFormat="1" applyFont="1" applyFill="1" applyBorder="1" applyAlignment="1">
      <alignment horizontal="right" vertical="center"/>
    </xf>
    <xf numFmtId="3" fontId="3" fillId="0" borderId="78" xfId="0" applyNumberFormat="1" applyFont="1" applyFill="1" applyBorder="1" applyAlignment="1">
      <alignment horizontal="right" vertical="center"/>
    </xf>
    <xf numFmtId="3" fontId="3" fillId="0" borderId="94" xfId="0" applyNumberFormat="1" applyFont="1" applyFill="1" applyBorder="1" applyAlignment="1">
      <alignment horizontal="right" vertical="center"/>
    </xf>
    <xf numFmtId="165" fontId="3" fillId="0" borderId="76" xfId="42" applyNumberFormat="1" applyFont="1" applyFill="1" applyBorder="1" applyAlignment="1">
      <alignment horizontal="right"/>
    </xf>
    <xf numFmtId="165" fontId="3" fillId="0" borderId="28" xfId="42" applyNumberFormat="1" applyFont="1" applyFill="1" applyBorder="1" applyAlignment="1">
      <alignment horizontal="right"/>
    </xf>
    <xf numFmtId="3" fontId="11" fillId="0" borderId="95" xfId="0" applyNumberFormat="1" applyFont="1" applyFill="1" applyBorder="1" applyAlignment="1">
      <alignment horizontal="center"/>
    </xf>
    <xf numFmtId="3" fontId="11" fillId="0" borderId="95" xfId="0" applyNumberFormat="1" applyFont="1" applyFill="1" applyBorder="1" applyAlignment="1">
      <alignment horizontal="right"/>
    </xf>
    <xf numFmtId="3" fontId="14" fillId="0" borderId="95" xfId="0" applyNumberFormat="1" applyFont="1" applyFill="1" applyBorder="1" applyAlignment="1">
      <alignment horizontal="right"/>
    </xf>
    <xf numFmtId="3" fontId="23" fillId="0" borderId="0" xfId="0" applyNumberFormat="1" applyFont="1" applyFill="1" applyBorder="1" applyAlignment="1">
      <alignment vertical="center"/>
    </xf>
    <xf numFmtId="14" fontId="3" fillId="0" borderId="21" xfId="36" applyNumberFormat="1" applyFont="1" applyFill="1" applyBorder="1" applyAlignment="1">
      <alignment horizontal="center" vertical="center" wrapText="1"/>
    </xf>
    <xf numFmtId="0" fontId="3" fillId="0" borderId="0" xfId="36" applyFont="1" applyFill="1" applyAlignment="1">
      <alignment horizontal="center" vertical="center"/>
    </xf>
    <xf numFmtId="0" fontId="3" fillId="0" borderId="0" xfId="33" applyFont="1" applyFill="1" applyAlignment="1">
      <alignment horizontal="center"/>
    </xf>
    <xf numFmtId="0" fontId="3" fillId="0" borderId="0" xfId="36" applyFont="1" applyFill="1"/>
    <xf numFmtId="0" fontId="3" fillId="0" borderId="0" xfId="36" applyFont="1" applyFill="1" applyAlignment="1">
      <alignment vertical="center"/>
    </xf>
    <xf numFmtId="0" fontId="3" fillId="0" borderId="0" xfId="33" applyFont="1" applyFill="1" applyAlignment="1">
      <alignment horizontal="center" vertical="center"/>
    </xf>
    <xf numFmtId="0" fontId="3" fillId="0" borderId="0" xfId="34" applyFont="1" applyFill="1" applyAlignment="1">
      <alignment horizontal="center"/>
    </xf>
    <xf numFmtId="0" fontId="3" fillId="0" borderId="0" xfId="36" applyFont="1" applyFill="1" applyAlignment="1">
      <alignment horizontal="center"/>
    </xf>
    <xf numFmtId="0" fontId="3" fillId="0" borderId="23" xfId="36" applyFont="1" applyFill="1" applyBorder="1" applyAlignment="1">
      <alignment horizontal="center" vertical="top"/>
    </xf>
    <xf numFmtId="0" fontId="3" fillId="0" borderId="21" xfId="36" applyFont="1" applyFill="1" applyBorder="1" applyAlignment="1">
      <alignment horizontal="center" vertical="center" wrapText="1"/>
    </xf>
    <xf numFmtId="0" fontId="3" fillId="0" borderId="15" xfId="36" applyFont="1" applyFill="1" applyBorder="1" applyAlignment="1">
      <alignment horizontal="center" vertical="top"/>
    </xf>
    <xf numFmtId="0" fontId="3" fillId="0" borderId="16" xfId="36" applyFont="1" applyFill="1" applyBorder="1" applyAlignment="1">
      <alignment vertical="center" wrapText="1"/>
    </xf>
    <xf numFmtId="14" fontId="3" fillId="0" borderId="16" xfId="36" applyNumberFormat="1" applyFont="1" applyFill="1" applyBorder="1" applyAlignment="1">
      <alignment horizontal="center" vertical="center"/>
    </xf>
    <xf numFmtId="0" fontId="3" fillId="0" borderId="62" xfId="36" applyFont="1" applyFill="1" applyBorder="1" applyAlignment="1">
      <alignment horizontal="center" vertical="top"/>
    </xf>
    <xf numFmtId="0" fontId="3" fillId="0" borderId="42" xfId="36" applyFont="1" applyFill="1" applyBorder="1" applyAlignment="1">
      <alignment vertical="center" wrapText="1"/>
    </xf>
    <xf numFmtId="14" fontId="3" fillId="0" borderId="42" xfId="36" applyNumberFormat="1" applyFont="1" applyFill="1" applyBorder="1" applyAlignment="1">
      <alignment horizontal="center" vertical="center"/>
    </xf>
    <xf numFmtId="0" fontId="3" fillId="0" borderId="97" xfId="36" applyFont="1" applyFill="1" applyBorder="1" applyAlignment="1">
      <alignment vertical="center" wrapText="1"/>
    </xf>
    <xf numFmtId="0" fontId="5" fillId="0" borderId="98" xfId="33" applyFont="1" applyFill="1" applyBorder="1" applyAlignment="1">
      <alignment horizontal="center" vertical="center"/>
    </xf>
    <xf numFmtId="3" fontId="5" fillId="0" borderId="99" xfId="36" applyNumberFormat="1" applyFont="1" applyFill="1" applyBorder="1" applyAlignment="1">
      <alignment vertical="center"/>
    </xf>
    <xf numFmtId="0" fontId="3" fillId="0" borderId="0" xfId="33" applyFont="1" applyFill="1"/>
    <xf numFmtId="3" fontId="3" fillId="0" borderId="0" xfId="44" applyNumberFormat="1" applyFont="1" applyFill="1" applyBorder="1" applyAlignment="1">
      <alignment vertical="center"/>
    </xf>
    <xf numFmtId="0" fontId="3" fillId="0" borderId="0" xfId="29" applyFont="1" applyFill="1" applyAlignment="1">
      <alignment vertical="center"/>
    </xf>
    <xf numFmtId="3" fontId="11" fillId="0" borderId="16" xfId="27" applyNumberFormat="1" applyFont="1" applyFill="1" applyBorder="1" applyAlignment="1">
      <alignment horizontal="center" vertical="top"/>
    </xf>
    <xf numFmtId="0" fontId="3" fillId="0" borderId="100" xfId="0" applyFont="1" applyFill="1" applyBorder="1" applyAlignment="1">
      <alignment horizontal="center" vertical="center"/>
    </xf>
    <xf numFmtId="164" fontId="5" fillId="0" borderId="95" xfId="0" applyNumberFormat="1" applyFont="1" applyFill="1" applyBorder="1" applyAlignment="1">
      <alignment vertical="center" wrapText="1"/>
    </xf>
    <xf numFmtId="4" fontId="5" fillId="0" borderId="95" xfId="0" applyNumberFormat="1" applyFont="1" applyFill="1" applyBorder="1" applyAlignment="1">
      <alignment vertical="center"/>
    </xf>
    <xf numFmtId="4" fontId="12" fillId="0" borderId="101" xfId="0" applyNumberFormat="1" applyFont="1" applyFill="1" applyBorder="1" applyAlignment="1">
      <alignment horizontal="center" vertical="center"/>
    </xf>
    <xf numFmtId="164" fontId="3" fillId="0" borderId="0" xfId="37" applyNumberFormat="1" applyFont="1" applyFill="1" applyBorder="1" applyAlignment="1">
      <alignment wrapText="1"/>
    </xf>
    <xf numFmtId="0" fontId="3" fillId="0" borderId="102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left" vertical="top" wrapText="1"/>
    </xf>
    <xf numFmtId="164" fontId="3" fillId="0" borderId="0" xfId="37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3" fontId="14" fillId="0" borderId="65" xfId="27" applyNumberFormat="1" applyFont="1" applyFill="1" applyBorder="1" applyAlignment="1">
      <alignment horizontal="right"/>
    </xf>
    <xf numFmtId="3" fontId="5" fillId="0" borderId="105" xfId="26" applyNumberFormat="1" applyFont="1" applyFill="1" applyBorder="1" applyAlignment="1">
      <alignment horizontal="right" wrapText="1"/>
    </xf>
    <xf numFmtId="0" fontId="5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left" wrapText="1" indent="1"/>
    </xf>
    <xf numFmtId="3" fontId="5" fillId="0" borderId="0" xfId="27" applyNumberFormat="1" applyFont="1" applyFill="1" applyAlignment="1">
      <alignment horizontal="center" vertical="center"/>
    </xf>
    <xf numFmtId="3" fontId="7" fillId="0" borderId="0" xfId="0" applyNumberFormat="1" applyFont="1" applyFill="1" applyBorder="1" applyAlignment="1">
      <alignment horizontal="center"/>
    </xf>
    <xf numFmtId="3" fontId="14" fillId="0" borderId="15" xfId="27" applyNumberFormat="1" applyFont="1" applyFill="1" applyBorder="1" applyAlignment="1">
      <alignment horizontal="center" vertical="center"/>
    </xf>
    <xf numFmtId="3" fontId="14" fillId="0" borderId="21" xfId="27" applyNumberFormat="1" applyFont="1" applyFill="1" applyBorder="1" applyAlignment="1">
      <alignment wrapText="1"/>
    </xf>
    <xf numFmtId="3" fontId="14" fillId="0" borderId="16" xfId="27" applyNumberFormat="1" applyFont="1" applyFill="1" applyBorder="1" applyAlignment="1">
      <alignment wrapText="1"/>
    </xf>
    <xf numFmtId="3" fontId="14" fillId="0" borderId="15" xfId="27" applyNumberFormat="1" applyFont="1" applyFill="1" applyBorder="1" applyAlignment="1">
      <alignment horizontal="center"/>
    </xf>
    <xf numFmtId="3" fontId="17" fillId="0" borderId="15" xfId="27" applyNumberFormat="1" applyFont="1" applyFill="1" applyBorder="1" applyAlignment="1">
      <alignment horizontal="center" vertical="center"/>
    </xf>
    <xf numFmtId="3" fontId="14" fillId="0" borderId="16" xfId="27" applyNumberFormat="1" applyFont="1" applyFill="1" applyBorder="1" applyAlignment="1">
      <alignment shrinkToFit="1"/>
    </xf>
    <xf numFmtId="3" fontId="14" fillId="0" borderId="16" xfId="27" applyNumberFormat="1" applyFont="1" applyFill="1" applyBorder="1" applyAlignment="1">
      <alignment horizontal="left" wrapText="1"/>
    </xf>
    <xf numFmtId="1" fontId="19" fillId="0" borderId="0" xfId="27" applyNumberFormat="1" applyFont="1" applyFill="1" applyBorder="1" applyAlignment="1">
      <alignment horizontal="center" vertical="center"/>
    </xf>
    <xf numFmtId="1" fontId="19" fillId="0" borderId="0" xfId="27" applyNumberFormat="1" applyFont="1" applyFill="1" applyBorder="1" applyAlignment="1">
      <alignment horizontal="left" vertical="center"/>
    </xf>
    <xf numFmtId="3" fontId="3" fillId="0" borderId="0" xfId="40" applyNumberFormat="1" applyFont="1" applyFill="1" applyBorder="1" applyAlignment="1">
      <alignment vertical="center"/>
    </xf>
    <xf numFmtId="0" fontId="6" fillId="0" borderId="0" xfId="40" applyFont="1" applyFill="1" applyBorder="1" applyAlignment="1">
      <alignment horizontal="right" vertical="center"/>
    </xf>
    <xf numFmtId="0" fontId="3" fillId="0" borderId="6" xfId="40" applyFont="1" applyFill="1" applyBorder="1" applyAlignment="1">
      <alignment horizontal="center" vertical="center"/>
    </xf>
    <xf numFmtId="0" fontId="3" fillId="0" borderId="0" xfId="28" applyFont="1" applyFill="1" applyBorder="1" applyAlignment="1">
      <alignment vertical="center"/>
    </xf>
    <xf numFmtId="0" fontId="3" fillId="0" borderId="0" xfId="39" applyFont="1" applyFill="1" applyBorder="1" applyAlignment="1">
      <alignment vertical="center"/>
    </xf>
    <xf numFmtId="3" fontId="3" fillId="0" borderId="16" xfId="39" applyNumberFormat="1" applyFont="1" applyFill="1" applyBorder="1" applyAlignment="1">
      <alignment vertical="center"/>
    </xf>
    <xf numFmtId="3" fontId="3" fillId="0" borderId="16" xfId="40" applyNumberFormat="1" applyFont="1" applyFill="1" applyBorder="1" applyAlignment="1">
      <alignment vertical="center"/>
    </xf>
    <xf numFmtId="3" fontId="3" fillId="0" borderId="16" xfId="40" applyNumberFormat="1" applyFont="1" applyFill="1" applyBorder="1" applyAlignment="1">
      <alignment horizontal="right" vertical="center" wrapText="1"/>
    </xf>
    <xf numFmtId="0" fontId="3" fillId="0" borderId="0" xfId="40" applyFont="1" applyFill="1" applyBorder="1" applyAlignment="1">
      <alignment vertical="center" wrapText="1"/>
    </xf>
    <xf numFmtId="3" fontId="11" fillId="0" borderId="47" xfId="27" applyNumberFormat="1" applyFont="1" applyFill="1" applyBorder="1" applyAlignment="1">
      <alignment horizontal="center"/>
    </xf>
    <xf numFmtId="3" fontId="13" fillId="0" borderId="47" xfId="27" applyNumberFormat="1" applyFont="1" applyFill="1" applyBorder="1" applyAlignment="1">
      <alignment horizontal="center"/>
    </xf>
    <xf numFmtId="3" fontId="11" fillId="0" borderId="61" xfId="27" applyNumberFormat="1" applyFont="1" applyFill="1" applyBorder="1" applyAlignment="1">
      <alignment horizontal="center"/>
    </xf>
    <xf numFmtId="3" fontId="11" fillId="0" borderId="107" xfId="0" applyNumberFormat="1" applyFont="1" applyFill="1" applyBorder="1" applyAlignment="1">
      <alignment horizontal="center" wrapText="1"/>
    </xf>
    <xf numFmtId="3" fontId="11" fillId="0" borderId="47" xfId="0" applyNumberFormat="1" applyFont="1" applyFill="1" applyBorder="1" applyAlignment="1">
      <alignment horizontal="center" wrapText="1"/>
    </xf>
    <xf numFmtId="0" fontId="3" fillId="0" borderId="0" xfId="32" applyFont="1" applyFill="1" applyBorder="1" applyAlignment="1">
      <alignment horizontal="center" vertical="top"/>
    </xf>
    <xf numFmtId="0" fontId="5" fillId="0" borderId="0" xfId="32" applyFont="1" applyFill="1" applyBorder="1" applyAlignment="1">
      <alignment vertical="top"/>
    </xf>
    <xf numFmtId="0" fontId="3" fillId="0" borderId="0" xfId="32" applyFont="1" applyFill="1" applyBorder="1" applyAlignment="1">
      <alignment vertical="top"/>
    </xf>
    <xf numFmtId="0" fontId="3" fillId="0" borderId="0" xfId="32" applyFont="1" applyFill="1" applyBorder="1" applyAlignment="1"/>
    <xf numFmtId="0" fontId="3" fillId="0" borderId="0" xfId="32" applyFont="1" applyFill="1" applyBorder="1" applyAlignment="1">
      <alignment vertical="center"/>
    </xf>
    <xf numFmtId="0" fontId="3" fillId="0" borderId="0" xfId="32" applyFont="1" applyFill="1" applyBorder="1" applyAlignment="1">
      <alignment horizontal="center" vertical="center"/>
    </xf>
    <xf numFmtId="0" fontId="5" fillId="0" borderId="0" xfId="32" applyFont="1" applyFill="1" applyBorder="1" applyAlignment="1">
      <alignment horizontal="right" vertical="center"/>
    </xf>
    <xf numFmtId="0" fontId="5" fillId="0" borderId="0" xfId="32" applyFont="1" applyFill="1" applyBorder="1" applyAlignment="1">
      <alignment vertical="center"/>
    </xf>
    <xf numFmtId="3" fontId="3" fillId="0" borderId="0" xfId="32" applyNumberFormat="1" applyFont="1" applyFill="1" applyBorder="1" applyAlignment="1">
      <alignment horizontal="center"/>
    </xf>
    <xf numFmtId="3" fontId="0" fillId="0" borderId="0" xfId="0" applyNumberFormat="1" applyFont="1" applyFill="1"/>
    <xf numFmtId="3" fontId="11" fillId="0" borderId="16" xfId="37" applyNumberFormat="1" applyFont="1" applyFill="1" applyBorder="1" applyAlignment="1">
      <alignment horizontal="center" vertical="center" wrapText="1"/>
    </xf>
    <xf numFmtId="3" fontId="13" fillId="0" borderId="0" xfId="27" applyNumberFormat="1" applyFont="1" applyFill="1" applyAlignment="1">
      <alignment horizontal="center" vertical="center"/>
    </xf>
    <xf numFmtId="3" fontId="11" fillId="0" borderId="0" xfId="27" applyNumberFormat="1" applyFont="1" applyFill="1" applyAlignment="1">
      <alignment horizontal="center" vertical="center"/>
    </xf>
    <xf numFmtId="49" fontId="7" fillId="0" borderId="18" xfId="0" applyNumberFormat="1" applyFont="1" applyFill="1" applyBorder="1" applyAlignment="1">
      <alignment horizontal="center" wrapText="1"/>
    </xf>
    <xf numFmtId="0" fontId="3" fillId="0" borderId="15" xfId="40" applyFont="1" applyFill="1" applyBorder="1" applyAlignment="1">
      <alignment horizontal="center"/>
    </xf>
    <xf numFmtId="3" fontId="13" fillId="0" borderId="23" xfId="27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vertical="top"/>
    </xf>
    <xf numFmtId="0" fontId="3" fillId="0" borderId="0" xfId="32" applyFont="1" applyFill="1" applyBorder="1" applyAlignment="1">
      <alignment horizontal="center"/>
    </xf>
    <xf numFmtId="0" fontId="3" fillId="0" borderId="97" xfId="36" applyFont="1" applyFill="1" applyBorder="1" applyAlignment="1">
      <alignment horizontal="center" vertical="center" wrapText="1"/>
    </xf>
    <xf numFmtId="3" fontId="3" fillId="0" borderId="0" xfId="15" applyNumberFormat="1" applyFont="1" applyFill="1" applyBorder="1" applyAlignment="1">
      <alignment horizontal="center" vertical="center"/>
    </xf>
    <xf numFmtId="3" fontId="3" fillId="0" borderId="0" xfId="15" applyNumberFormat="1" applyFont="1" applyFill="1" applyBorder="1" applyAlignment="1">
      <alignment horizontal="right"/>
    </xf>
    <xf numFmtId="0" fontId="3" fillId="0" borderId="0" xfId="15" applyFont="1" applyFill="1" applyBorder="1"/>
    <xf numFmtId="3" fontId="3" fillId="0" borderId="109" xfId="31" applyNumberFormat="1" applyFont="1" applyBorder="1" applyAlignment="1">
      <alignment horizontal="center" vertical="center" wrapText="1"/>
    </xf>
    <xf numFmtId="3" fontId="3" fillId="0" borderId="110" xfId="31" applyNumberFormat="1" applyFont="1" applyBorder="1" applyAlignment="1">
      <alignment horizontal="right" vertical="center" wrapText="1"/>
    </xf>
    <xf numFmtId="3" fontId="3" fillId="0" borderId="40" xfId="39" applyNumberFormat="1" applyFont="1" applyFill="1" applyBorder="1" applyAlignment="1">
      <alignment vertical="center" wrapText="1"/>
    </xf>
    <xf numFmtId="3" fontId="3" fillId="0" borderId="16" xfId="39" applyNumberFormat="1" applyFont="1" applyFill="1" applyBorder="1" applyAlignment="1">
      <alignment vertical="center" wrapText="1"/>
    </xf>
    <xf numFmtId="164" fontId="3" fillId="0" borderId="112" xfId="37" applyNumberFormat="1" applyFont="1" applyFill="1" applyBorder="1" applyAlignment="1">
      <alignment wrapText="1"/>
    </xf>
    <xf numFmtId="4" fontId="3" fillId="0" borderId="112" xfId="0" applyNumberFormat="1" applyFont="1" applyFill="1" applyBorder="1" applyAlignment="1">
      <alignment vertical="center"/>
    </xf>
    <xf numFmtId="4" fontId="7" fillId="0" borderId="113" xfId="0" applyNumberFormat="1" applyFont="1" applyFill="1" applyBorder="1" applyAlignment="1">
      <alignment horizontal="center" vertical="center"/>
    </xf>
    <xf numFmtId="3" fontId="3" fillId="0" borderId="0" xfId="26" applyNumberFormat="1" applyFont="1" applyFill="1" applyBorder="1" applyAlignment="1">
      <alignment horizontal="left" wrapText="1" indent="3"/>
    </xf>
    <xf numFmtId="3" fontId="3" fillId="0" borderId="0" xfId="26" applyNumberFormat="1" applyFont="1" applyFill="1" applyBorder="1" applyAlignment="1">
      <alignment vertical="center"/>
    </xf>
    <xf numFmtId="3" fontId="14" fillId="0" borderId="0" xfId="0" applyNumberFormat="1" applyFont="1" applyFill="1" applyBorder="1" applyAlignment="1">
      <alignment horizontal="right"/>
    </xf>
    <xf numFmtId="3" fontId="3" fillId="0" borderId="114" xfId="39" applyNumberFormat="1" applyFont="1" applyFill="1" applyBorder="1" applyAlignment="1">
      <alignment vertical="center"/>
    </xf>
    <xf numFmtId="3" fontId="3" fillId="0" borderId="103" xfId="39" applyNumberFormat="1" applyFont="1" applyFill="1" applyBorder="1" applyAlignment="1">
      <alignment vertical="center"/>
    </xf>
    <xf numFmtId="3" fontId="3" fillId="0" borderId="103" xfId="40" applyNumberFormat="1" applyFont="1" applyFill="1" applyBorder="1" applyAlignment="1">
      <alignment vertical="center"/>
    </xf>
    <xf numFmtId="3" fontId="3" fillId="0" borderId="103" xfId="40" applyNumberFormat="1" applyFont="1" applyFill="1" applyBorder="1" applyAlignment="1">
      <alignment horizontal="right" vertical="center" wrapText="1"/>
    </xf>
    <xf numFmtId="3" fontId="3" fillId="0" borderId="115" xfId="40" applyNumberFormat="1" applyFont="1" applyFill="1" applyBorder="1" applyAlignment="1">
      <alignment horizontal="right" vertical="center" wrapText="1"/>
    </xf>
    <xf numFmtId="3" fontId="5" fillId="0" borderId="116" xfId="40" applyNumberFormat="1" applyFont="1" applyFill="1" applyBorder="1" applyAlignment="1">
      <alignment horizontal="right" vertical="center" wrapText="1"/>
    </xf>
    <xf numFmtId="3" fontId="3" fillId="0" borderId="41" xfId="39" applyNumberFormat="1" applyFont="1" applyFill="1" applyBorder="1" applyAlignment="1">
      <alignment vertical="center"/>
    </xf>
    <xf numFmtId="3" fontId="3" fillId="0" borderId="17" xfId="39" applyNumberFormat="1" applyFont="1" applyFill="1" applyBorder="1" applyAlignment="1">
      <alignment vertical="center"/>
    </xf>
    <xf numFmtId="3" fontId="3" fillId="0" borderId="17" xfId="40" applyNumberFormat="1" applyFont="1" applyFill="1" applyBorder="1" applyAlignment="1">
      <alignment vertical="center"/>
    </xf>
    <xf numFmtId="3" fontId="3" fillId="0" borderId="17" xfId="40" applyNumberFormat="1" applyFont="1" applyFill="1" applyBorder="1" applyAlignment="1">
      <alignment horizontal="right" vertical="center" wrapText="1"/>
    </xf>
    <xf numFmtId="3" fontId="13" fillId="0" borderId="23" xfId="27" applyNumberFormat="1" applyFont="1" applyFill="1" applyBorder="1" applyAlignment="1">
      <alignment horizontal="center"/>
    </xf>
    <xf numFmtId="3" fontId="6" fillId="0" borderId="0" xfId="27" applyNumberFormat="1" applyFont="1" applyFill="1" applyAlignment="1">
      <alignment horizontal="center"/>
    </xf>
    <xf numFmtId="0" fontId="7" fillId="0" borderId="0" xfId="27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6" fillId="0" borderId="0" xfId="32" applyFont="1" applyFill="1" applyBorder="1" applyAlignment="1">
      <alignment horizontal="right" vertical="center" wrapText="1"/>
    </xf>
    <xf numFmtId="0" fontId="3" fillId="0" borderId="120" xfId="33" applyFont="1" applyFill="1" applyBorder="1" applyAlignment="1">
      <alignment horizontal="center" vertical="center" wrapText="1"/>
    </xf>
    <xf numFmtId="3" fontId="3" fillId="0" borderId="26" xfId="35" applyNumberFormat="1" applyFont="1" applyFill="1" applyBorder="1" applyAlignment="1">
      <alignment horizontal="right" vertical="center"/>
    </xf>
    <xf numFmtId="3" fontId="5" fillId="0" borderId="121" xfId="36" applyNumberFormat="1" applyFont="1" applyFill="1" applyBorder="1" applyAlignment="1">
      <alignment vertical="center"/>
    </xf>
    <xf numFmtId="0" fontId="5" fillId="0" borderId="0" xfId="40" applyFont="1" applyFill="1" applyBorder="1" applyAlignment="1">
      <alignment vertical="center" wrapText="1"/>
    </xf>
    <xf numFmtId="3" fontId="14" fillId="0" borderId="65" xfId="37" applyNumberFormat="1" applyFont="1" applyFill="1" applyBorder="1" applyAlignment="1">
      <alignment horizontal="left"/>
    </xf>
    <xf numFmtId="3" fontId="11" fillId="0" borderId="103" xfId="37" applyNumberFormat="1" applyFont="1" applyFill="1" applyBorder="1" applyAlignment="1"/>
    <xf numFmtId="3" fontId="14" fillId="0" borderId="103" xfId="37" applyNumberFormat="1" applyFont="1" applyFill="1" applyBorder="1" applyAlignment="1"/>
    <xf numFmtId="3" fontId="14" fillId="0" borderId="65" xfId="37" applyNumberFormat="1" applyFont="1" applyFill="1" applyBorder="1" applyAlignment="1"/>
    <xf numFmtId="3" fontId="14" fillId="0" borderId="123" xfId="37" applyNumberFormat="1" applyFont="1" applyFill="1" applyBorder="1" applyAlignment="1">
      <alignment horizontal="left"/>
    </xf>
    <xf numFmtId="3" fontId="14" fillId="0" borderId="114" xfId="37" applyNumberFormat="1" applyFont="1" applyFill="1" applyBorder="1" applyAlignment="1">
      <alignment wrapText="1"/>
    </xf>
    <xf numFmtId="3" fontId="11" fillId="0" borderId="109" xfId="0" applyNumberFormat="1" applyFont="1" applyFill="1" applyBorder="1" applyAlignment="1">
      <alignment horizontal="center" vertical="center"/>
    </xf>
    <xf numFmtId="3" fontId="17" fillId="0" borderId="109" xfId="0" applyNumberFormat="1" applyFont="1" applyFill="1" applyBorder="1" applyAlignment="1">
      <alignment horizontal="center" vertical="center"/>
    </xf>
    <xf numFmtId="3" fontId="11" fillId="0" borderId="109" xfId="0" applyNumberFormat="1" applyFont="1" applyFill="1" applyBorder="1" applyAlignment="1">
      <alignment horizontal="center" vertical="top"/>
    </xf>
    <xf numFmtId="3" fontId="11" fillId="0" borderId="99" xfId="0" applyNumberFormat="1" applyFont="1" applyFill="1" applyBorder="1" applyAlignment="1">
      <alignment horizontal="center" vertical="center"/>
    </xf>
    <xf numFmtId="3" fontId="11" fillId="0" borderId="125" xfId="0" applyNumberFormat="1" applyFont="1" applyFill="1" applyBorder="1" applyAlignment="1">
      <alignment horizontal="center" vertical="center"/>
    </xf>
    <xf numFmtId="3" fontId="11" fillId="0" borderId="4" xfId="0" applyNumberFormat="1" applyFont="1" applyFill="1" applyBorder="1" applyAlignment="1">
      <alignment horizontal="center" vertical="center"/>
    </xf>
    <xf numFmtId="3" fontId="11" fillId="0" borderId="126" xfId="0" applyNumberFormat="1" applyFont="1" applyFill="1" applyBorder="1" applyAlignment="1">
      <alignment vertical="center" wrapText="1"/>
    </xf>
    <xf numFmtId="3" fontId="11" fillId="0" borderId="114" xfId="0" applyNumberFormat="1" applyFont="1" applyFill="1" applyBorder="1" applyAlignment="1">
      <alignment horizontal="center"/>
    </xf>
    <xf numFmtId="3" fontId="11" fillId="0" borderId="103" xfId="0" applyNumberFormat="1" applyFont="1" applyFill="1" applyBorder="1" applyAlignment="1">
      <alignment horizontal="center"/>
    </xf>
    <xf numFmtId="3" fontId="11" fillId="0" borderId="103" xfId="0" applyNumberFormat="1" applyFont="1" applyFill="1" applyBorder="1" applyAlignment="1">
      <alignment horizontal="center" vertical="top"/>
    </xf>
    <xf numFmtId="3" fontId="11" fillId="0" borderId="65" xfId="0" applyNumberFormat="1" applyFont="1" applyFill="1" applyBorder="1" applyAlignment="1">
      <alignment horizontal="center"/>
    </xf>
    <xf numFmtId="3" fontId="14" fillId="0" borderId="61" xfId="0" applyNumberFormat="1" applyFont="1" applyFill="1" applyBorder="1" applyAlignment="1"/>
    <xf numFmtId="3" fontId="11" fillId="0" borderId="103" xfId="37" applyNumberFormat="1" applyFont="1" applyFill="1" applyBorder="1" applyAlignment="1">
      <alignment wrapText="1"/>
    </xf>
    <xf numFmtId="3" fontId="11" fillId="0" borderId="20" xfId="37" applyNumberFormat="1" applyFont="1" applyFill="1" applyBorder="1" applyAlignment="1"/>
    <xf numFmtId="3" fontId="11" fillId="0" borderId="16" xfId="37" applyNumberFormat="1" applyFont="1" applyFill="1" applyBorder="1" applyAlignment="1">
      <alignment vertical="top" wrapText="1"/>
    </xf>
    <xf numFmtId="3" fontId="17" fillId="0" borderId="25" xfId="0" applyNumberFormat="1" applyFont="1" applyFill="1" applyBorder="1" applyAlignment="1">
      <alignment vertical="center"/>
    </xf>
    <xf numFmtId="3" fontId="3" fillId="0" borderId="0" xfId="0" applyNumberFormat="1" applyFont="1" applyFill="1" applyAlignment="1">
      <alignment vertical="center"/>
    </xf>
    <xf numFmtId="3" fontId="6" fillId="0" borderId="0" xfId="0" applyNumberFormat="1" applyFont="1" applyFill="1" applyAlignment="1">
      <alignment vertical="center"/>
    </xf>
    <xf numFmtId="3" fontId="5" fillId="0" borderId="0" xfId="0" applyNumberFormat="1" applyFont="1" applyFill="1" applyAlignment="1">
      <alignment vertical="center"/>
    </xf>
    <xf numFmtId="0" fontId="15" fillId="0" borderId="0" xfId="0" applyFont="1" applyFill="1" applyAlignment="1">
      <alignment horizontal="center" vertical="center"/>
    </xf>
    <xf numFmtId="3" fontId="11" fillId="0" borderId="63" xfId="0" applyNumberFormat="1" applyFont="1" applyFill="1" applyBorder="1" applyAlignment="1">
      <alignment vertical="center"/>
    </xf>
    <xf numFmtId="3" fontId="14" fillId="0" borderId="127" xfId="0" applyNumberFormat="1" applyFont="1" applyFill="1" applyBorder="1" applyAlignment="1">
      <alignment vertical="center"/>
    </xf>
    <xf numFmtId="3" fontId="11" fillId="0" borderId="0" xfId="15" applyNumberFormat="1" applyFont="1" applyFill="1" applyBorder="1" applyAlignment="1">
      <alignment horizontal="center" vertical="center"/>
    </xf>
    <xf numFmtId="3" fontId="11" fillId="0" borderId="0" xfId="15" applyNumberFormat="1" applyFont="1" applyFill="1" applyBorder="1" applyAlignment="1">
      <alignment horizontal="right"/>
    </xf>
    <xf numFmtId="3" fontId="11" fillId="0" borderId="0" xfId="40" applyNumberFormat="1" applyFont="1" applyFill="1" applyBorder="1" applyAlignment="1">
      <alignment horizontal="right"/>
    </xf>
    <xf numFmtId="0" fontId="11" fillId="0" borderId="0" xfId="40" applyFont="1" applyFill="1" applyBorder="1"/>
    <xf numFmtId="0" fontId="11" fillId="0" borderId="0" xfId="40" applyFont="1" applyFill="1" applyBorder="1" applyAlignment="1">
      <alignment horizontal="center" vertical="center"/>
    </xf>
    <xf numFmtId="0" fontId="11" fillId="0" borderId="0" xfId="40" applyFont="1" applyFill="1" applyBorder="1" applyAlignment="1">
      <alignment horizontal="center" vertical="top"/>
    </xf>
    <xf numFmtId="0" fontId="11" fillId="0" borderId="0" xfId="40" applyFont="1" applyFill="1" applyBorder="1" applyAlignment="1">
      <alignment wrapText="1"/>
    </xf>
    <xf numFmtId="3" fontId="11" fillId="0" borderId="0" xfId="40" applyNumberFormat="1" applyFont="1" applyFill="1" applyBorder="1" applyAlignment="1">
      <alignment horizontal="center" vertical="center" wrapText="1"/>
    </xf>
    <xf numFmtId="3" fontId="13" fillId="0" borderId="0" xfId="40" applyNumberFormat="1" applyFont="1" applyFill="1" applyBorder="1" applyAlignment="1">
      <alignment horizontal="right"/>
    </xf>
    <xf numFmtId="3" fontId="11" fillId="0" borderId="21" xfId="40" applyNumberFormat="1" applyFont="1" applyFill="1" applyBorder="1" applyAlignment="1">
      <alignment horizontal="right" vertical="center"/>
    </xf>
    <xf numFmtId="3" fontId="11" fillId="0" borderId="22" xfId="40" applyNumberFormat="1" applyFont="1" applyFill="1" applyBorder="1" applyAlignment="1">
      <alignment horizontal="right" vertical="center"/>
    </xf>
    <xf numFmtId="3" fontId="11" fillId="0" borderId="0" xfId="15" applyNumberFormat="1" applyFont="1" applyFill="1" applyBorder="1" applyAlignment="1">
      <alignment horizontal="left" vertical="top"/>
    </xf>
    <xf numFmtId="3" fontId="11" fillId="0" borderId="0" xfId="41" applyNumberFormat="1" applyFont="1" applyFill="1" applyBorder="1" applyAlignment="1">
      <alignment horizontal="right"/>
    </xf>
    <xf numFmtId="3" fontId="11" fillId="0" borderId="0" xfId="41" applyNumberFormat="1" applyFont="1" applyFill="1" applyBorder="1" applyAlignment="1">
      <alignment horizontal="right" wrapText="1"/>
    </xf>
    <xf numFmtId="3" fontId="11" fillId="0" borderId="0" xfId="40" applyNumberFormat="1" applyFont="1" applyFill="1" applyBorder="1" applyAlignment="1">
      <alignment horizontal="right" vertical="center"/>
    </xf>
    <xf numFmtId="0" fontId="7" fillId="0" borderId="0" xfId="15" applyFont="1" applyFill="1" applyBorder="1" applyAlignment="1">
      <alignment horizontal="center" vertical="center"/>
    </xf>
    <xf numFmtId="0" fontId="7" fillId="0" borderId="0" xfId="40" applyFont="1" applyFill="1" applyBorder="1" applyAlignment="1">
      <alignment horizontal="center" vertical="center"/>
    </xf>
    <xf numFmtId="3" fontId="7" fillId="0" borderId="0" xfId="40" applyNumberFormat="1" applyFont="1" applyFill="1" applyBorder="1" applyAlignment="1">
      <alignment horizontal="center" vertical="center"/>
    </xf>
    <xf numFmtId="0" fontId="11" fillId="0" borderId="0" xfId="40" applyFont="1" applyFill="1" applyBorder="1" applyAlignment="1">
      <alignment vertical="center"/>
    </xf>
    <xf numFmtId="3" fontId="17" fillId="0" borderId="14" xfId="0" applyNumberFormat="1" applyFont="1" applyFill="1" applyBorder="1" applyAlignment="1">
      <alignment vertical="center"/>
    </xf>
    <xf numFmtId="3" fontId="17" fillId="0" borderId="108" xfId="0" applyNumberFormat="1" applyFont="1" applyFill="1" applyBorder="1" applyAlignment="1">
      <alignment vertical="center"/>
    </xf>
    <xf numFmtId="3" fontId="17" fillId="0" borderId="128" xfId="0" applyNumberFormat="1" applyFont="1" applyFill="1" applyBorder="1" applyAlignment="1">
      <alignment vertical="center"/>
    </xf>
    <xf numFmtId="3" fontId="17" fillId="0" borderId="107" xfId="0" applyNumberFormat="1" applyFont="1" applyFill="1" applyBorder="1" applyAlignment="1">
      <alignment vertical="center"/>
    </xf>
    <xf numFmtId="3" fontId="17" fillId="0" borderId="14" xfId="0" applyNumberFormat="1" applyFont="1" applyFill="1" applyBorder="1" applyAlignment="1">
      <alignment horizontal="center" vertical="center"/>
    </xf>
    <xf numFmtId="3" fontId="17" fillId="0" borderId="14" xfId="0" applyNumberFormat="1" applyFont="1" applyFill="1" applyBorder="1" applyAlignment="1">
      <alignment horizontal="right" vertical="center"/>
    </xf>
    <xf numFmtId="3" fontId="17" fillId="0" borderId="108" xfId="0" applyNumberFormat="1" applyFont="1" applyFill="1" applyBorder="1" applyAlignment="1">
      <alignment horizontal="right" vertical="center"/>
    </xf>
    <xf numFmtId="3" fontId="17" fillId="0" borderId="14" xfId="37" applyNumberFormat="1" applyFont="1" applyFill="1" applyBorder="1" applyAlignment="1">
      <alignment horizontal="center" vertical="center"/>
    </xf>
    <xf numFmtId="3" fontId="17" fillId="0" borderId="104" xfId="0" applyNumberFormat="1" applyFont="1" applyFill="1" applyBorder="1" applyAlignment="1">
      <alignment horizontal="right" vertical="center"/>
    </xf>
    <xf numFmtId="3" fontId="11" fillId="0" borderId="123" xfId="31" applyNumberFormat="1" applyFont="1" applyBorder="1" applyAlignment="1">
      <alignment horizontal="left" vertical="center" wrapText="1"/>
    </xf>
    <xf numFmtId="3" fontId="11" fillId="0" borderId="21" xfId="30" applyNumberFormat="1" applyFont="1" applyFill="1" applyBorder="1" applyAlignment="1">
      <alignment horizontal="right" vertical="center"/>
    </xf>
    <xf numFmtId="3" fontId="11" fillId="0" borderId="129" xfId="40" applyNumberFormat="1" applyFont="1" applyFill="1" applyBorder="1" applyAlignment="1">
      <alignment horizontal="right" vertical="center"/>
    </xf>
    <xf numFmtId="0" fontId="11" fillId="0" borderId="15" xfId="40" applyFont="1" applyFill="1" applyBorder="1" applyAlignment="1">
      <alignment horizontal="center" vertical="center"/>
    </xf>
    <xf numFmtId="0" fontId="11" fillId="0" borderId="16" xfId="40" applyFont="1" applyFill="1" applyBorder="1" applyAlignment="1">
      <alignment horizontal="center"/>
    </xf>
    <xf numFmtId="3" fontId="11" fillId="0" borderId="16" xfId="40" applyNumberFormat="1" applyFont="1" applyFill="1" applyBorder="1" applyAlignment="1">
      <alignment horizontal="right" vertical="center"/>
    </xf>
    <xf numFmtId="3" fontId="11" fillId="0" borderId="16" xfId="30" applyNumberFormat="1" applyFont="1" applyFill="1" applyBorder="1" applyAlignment="1">
      <alignment horizontal="right" vertical="center"/>
    </xf>
    <xf numFmtId="3" fontId="11" fillId="0" borderId="20" xfId="40" applyNumberFormat="1" applyFont="1" applyFill="1" applyBorder="1" applyAlignment="1">
      <alignment horizontal="right" vertical="center"/>
    </xf>
    <xf numFmtId="3" fontId="11" fillId="0" borderId="130" xfId="40" applyNumberFormat="1" applyFont="1" applyFill="1" applyBorder="1" applyAlignment="1">
      <alignment horizontal="right" vertical="center"/>
    </xf>
    <xf numFmtId="0" fontId="11" fillId="0" borderId="16" xfId="40" applyFont="1" applyFill="1" applyBorder="1" applyAlignment="1">
      <alignment horizontal="center" vertical="top"/>
    </xf>
    <xf numFmtId="0" fontId="7" fillId="0" borderId="0" xfId="41" applyFont="1" applyFill="1" applyBorder="1" applyAlignment="1">
      <alignment horizontal="center" vertical="center" wrapText="1"/>
    </xf>
    <xf numFmtId="3" fontId="7" fillId="0" borderId="0" xfId="41" applyNumberFormat="1" applyFont="1" applyFill="1" applyBorder="1" applyAlignment="1">
      <alignment horizontal="center" vertical="center"/>
    </xf>
    <xf numFmtId="3" fontId="11" fillId="0" borderId="7" xfId="40" applyNumberFormat="1" applyFont="1" applyFill="1" applyBorder="1" applyAlignment="1">
      <alignment horizontal="center" vertical="center" wrapText="1"/>
    </xf>
    <xf numFmtId="3" fontId="11" fillId="0" borderId="40" xfId="30" applyNumberFormat="1" applyFont="1" applyFill="1" applyBorder="1" applyAlignment="1">
      <alignment horizontal="right" vertical="center" wrapText="1"/>
    </xf>
    <xf numFmtId="3" fontId="11" fillId="0" borderId="131" xfId="30" applyNumberFormat="1" applyFont="1" applyFill="1" applyBorder="1" applyAlignment="1">
      <alignment horizontal="right" vertical="center" wrapText="1"/>
    </xf>
    <xf numFmtId="3" fontId="11" fillId="0" borderId="16" xfId="30" applyNumberFormat="1" applyFont="1" applyFill="1" applyBorder="1" applyAlignment="1">
      <alignment horizontal="right" vertical="center" wrapText="1"/>
    </xf>
    <xf numFmtId="3" fontId="11" fillId="0" borderId="132" xfId="30" applyNumberFormat="1" applyFont="1" applyFill="1" applyBorder="1" applyAlignment="1">
      <alignment horizontal="right" vertical="center" wrapText="1"/>
    </xf>
    <xf numFmtId="3" fontId="11" fillId="0" borderId="132" xfId="40" applyNumberFormat="1" applyFont="1" applyFill="1" applyBorder="1" applyAlignment="1">
      <alignment horizontal="right" vertical="center"/>
    </xf>
    <xf numFmtId="0" fontId="11" fillId="0" borderId="0" xfId="40" applyFont="1" applyFill="1" applyBorder="1" applyAlignment="1">
      <alignment horizontal="center"/>
    </xf>
    <xf numFmtId="3" fontId="3" fillId="0" borderId="0" xfId="15" applyNumberFormat="1" applyFont="1" applyFill="1" applyBorder="1" applyAlignment="1">
      <alignment horizontal="center"/>
    </xf>
    <xf numFmtId="0" fontId="3" fillId="0" borderId="0" xfId="15" applyFont="1" applyFill="1" applyBorder="1" applyAlignment="1"/>
    <xf numFmtId="3" fontId="3" fillId="0" borderId="0" xfId="40" applyNumberFormat="1" applyFont="1" applyFill="1" applyBorder="1" applyAlignment="1">
      <alignment horizontal="center" wrapText="1"/>
    </xf>
    <xf numFmtId="3" fontId="3" fillId="0" borderId="7" xfId="40" applyNumberFormat="1" applyFont="1" applyFill="1" applyBorder="1" applyAlignment="1">
      <alignment horizontal="center" vertical="center" wrapText="1"/>
    </xf>
    <xf numFmtId="3" fontId="3" fillId="0" borderId="5" xfId="40" applyNumberFormat="1" applyFont="1" applyFill="1" applyBorder="1" applyAlignment="1">
      <alignment horizontal="center" vertical="center" wrapText="1"/>
    </xf>
    <xf numFmtId="0" fontId="5" fillId="0" borderId="23" xfId="40" applyFont="1" applyFill="1" applyBorder="1" applyAlignment="1">
      <alignment horizontal="center"/>
    </xf>
    <xf numFmtId="3" fontId="5" fillId="0" borderId="133" xfId="30" applyNumberFormat="1" applyFont="1" applyFill="1" applyBorder="1" applyAlignment="1">
      <alignment horizontal="right" wrapText="1"/>
    </xf>
    <xf numFmtId="0" fontId="5" fillId="0" borderId="0" xfId="40" applyFont="1" applyFill="1" applyBorder="1" applyAlignment="1"/>
    <xf numFmtId="3" fontId="3" fillId="0" borderId="16" xfId="30" applyNumberFormat="1" applyFont="1" applyFill="1" applyBorder="1" applyAlignment="1">
      <alignment horizontal="right" wrapText="1"/>
    </xf>
    <xf numFmtId="3" fontId="3" fillId="0" borderId="129" xfId="40" applyNumberFormat="1" applyFont="1" applyFill="1" applyBorder="1" applyAlignment="1">
      <alignment horizontal="right"/>
    </xf>
    <xf numFmtId="0" fontId="3" fillId="0" borderId="16" xfId="30" applyFont="1" applyFill="1" applyBorder="1" applyAlignment="1">
      <alignment horizontal="left"/>
    </xf>
    <xf numFmtId="3" fontId="3" fillId="0" borderId="16" xfId="30" applyNumberFormat="1" applyFont="1" applyFill="1" applyBorder="1" applyAlignment="1">
      <alignment horizontal="right"/>
    </xf>
    <xf numFmtId="3" fontId="3" fillId="0" borderId="130" xfId="40" applyNumberFormat="1" applyFont="1" applyFill="1" applyBorder="1" applyAlignment="1">
      <alignment horizontal="right"/>
    </xf>
    <xf numFmtId="3" fontId="3" fillId="0" borderId="0" xfId="15" applyNumberFormat="1" applyFont="1" applyFill="1" applyBorder="1" applyAlignment="1">
      <alignment horizontal="left"/>
    </xf>
    <xf numFmtId="3" fontId="33" fillId="0" borderId="0" xfId="15" applyNumberFormat="1" applyFont="1" applyFill="1" applyBorder="1" applyAlignment="1">
      <alignment horizontal="left"/>
    </xf>
    <xf numFmtId="0" fontId="5" fillId="0" borderId="15" xfId="40" applyFont="1" applyFill="1" applyBorder="1" applyAlignment="1">
      <alignment horizontal="center"/>
    </xf>
    <xf numFmtId="3" fontId="5" fillId="0" borderId="132" xfId="30" applyNumberFormat="1" applyFont="1" applyFill="1" applyBorder="1" applyAlignment="1">
      <alignment horizontal="right" wrapText="1"/>
    </xf>
    <xf numFmtId="0" fontId="26" fillId="0" borderId="21" xfId="40" applyFont="1" applyFill="1" applyBorder="1" applyAlignment="1">
      <alignment horizontal="left"/>
    </xf>
    <xf numFmtId="0" fontId="3" fillId="0" borderId="16" xfId="30" applyFont="1" applyFill="1" applyBorder="1" applyAlignment="1"/>
    <xf numFmtId="0" fontId="3" fillId="0" borderId="111" xfId="30" applyFont="1" applyFill="1" applyBorder="1" applyAlignment="1"/>
    <xf numFmtId="3" fontId="5" fillId="0" borderId="132" xfId="40" applyNumberFormat="1" applyFont="1" applyFill="1" applyBorder="1" applyAlignment="1">
      <alignment horizontal="right"/>
    </xf>
    <xf numFmtId="3" fontId="11" fillId="0" borderId="0" xfId="40" applyNumberFormat="1" applyFont="1" applyFill="1" applyBorder="1" applyAlignment="1">
      <alignment horizontal="center" vertical="center"/>
    </xf>
    <xf numFmtId="3" fontId="5" fillId="0" borderId="0" xfId="40" applyNumberFormat="1" applyFont="1" applyFill="1" applyBorder="1" applyAlignment="1">
      <alignment horizontal="right"/>
    </xf>
    <xf numFmtId="3" fontId="5" fillId="0" borderId="0" xfId="41" applyNumberFormat="1" applyFont="1" applyFill="1" applyBorder="1" applyAlignment="1">
      <alignment horizontal="right"/>
    </xf>
    <xf numFmtId="3" fontId="3" fillId="0" borderId="106" xfId="30" applyNumberFormat="1" applyFont="1" applyFill="1" applyBorder="1" applyAlignment="1">
      <alignment horizontal="right" wrapText="1"/>
    </xf>
    <xf numFmtId="3" fontId="3" fillId="0" borderId="111" xfId="31" applyNumberFormat="1" applyFont="1" applyFill="1" applyBorder="1" applyAlignment="1">
      <alignment horizontal="left"/>
    </xf>
    <xf numFmtId="3" fontId="11" fillId="0" borderId="103" xfId="38" applyNumberFormat="1" applyFont="1" applyFill="1" applyBorder="1" applyAlignment="1">
      <alignment horizontal="left" vertical="center" wrapText="1"/>
    </xf>
    <xf numFmtId="3" fontId="11" fillId="0" borderId="115" xfId="38" applyNumberFormat="1" applyFont="1" applyFill="1" applyBorder="1" applyAlignment="1">
      <alignment horizontal="left" vertical="center"/>
    </xf>
    <xf numFmtId="3" fontId="11" fillId="0" borderId="103" xfId="38" applyNumberFormat="1" applyFont="1" applyFill="1" applyBorder="1" applyAlignment="1">
      <alignment horizontal="left" vertical="center"/>
    </xf>
    <xf numFmtId="3" fontId="11" fillId="0" borderId="65" xfId="38" applyNumberFormat="1" applyFont="1" applyFill="1" applyBorder="1" applyAlignment="1">
      <alignment horizontal="left" vertical="center" wrapText="1"/>
    </xf>
    <xf numFmtId="3" fontId="3" fillId="0" borderId="0" xfId="26" applyNumberFormat="1" applyFont="1" applyFill="1" applyBorder="1" applyAlignment="1">
      <alignment wrapText="1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/>
    <xf numFmtId="0" fontId="7" fillId="0" borderId="6" xfId="0" applyFont="1" applyFill="1" applyBorder="1" applyAlignment="1">
      <alignment horizontal="center"/>
    </xf>
    <xf numFmtId="3" fontId="7" fillId="0" borderId="6" xfId="0" applyNumberFormat="1" applyFont="1" applyFill="1" applyBorder="1" applyAlignment="1">
      <alignment horizontal="center"/>
    </xf>
    <xf numFmtId="0" fontId="7" fillId="0" borderId="0" xfId="0" applyFont="1" applyFill="1"/>
    <xf numFmtId="0" fontId="11" fillId="0" borderId="0" xfId="0" applyFont="1" applyAlignment="1">
      <alignment wrapText="1"/>
    </xf>
    <xf numFmtId="3" fontId="11" fillId="0" borderId="0" xfId="0" applyNumberFormat="1" applyFont="1"/>
    <xf numFmtId="3" fontId="13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11" fillId="0" borderId="0" xfId="0" applyFont="1"/>
    <xf numFmtId="3" fontId="14" fillId="0" borderId="14" xfId="0" applyNumberFormat="1" applyFont="1" applyFill="1" applyBorder="1" applyAlignment="1">
      <alignment vertical="center"/>
    </xf>
    <xf numFmtId="3" fontId="14" fillId="0" borderId="108" xfId="0" applyNumberFormat="1" applyFont="1" applyFill="1" applyBorder="1" applyAlignment="1">
      <alignment vertical="center"/>
    </xf>
    <xf numFmtId="3" fontId="34" fillId="0" borderId="15" xfId="0" applyNumberFormat="1" applyFont="1" applyFill="1" applyBorder="1" applyAlignment="1">
      <alignment horizontal="center" vertical="center"/>
    </xf>
    <xf numFmtId="3" fontId="34" fillId="0" borderId="16" xfId="0" applyNumberFormat="1" applyFont="1" applyFill="1" applyBorder="1" applyAlignment="1">
      <alignment horizontal="center"/>
    </xf>
    <xf numFmtId="3" fontId="34" fillId="0" borderId="111" xfId="0" applyNumberFormat="1" applyFont="1" applyFill="1" applyBorder="1" applyAlignment="1">
      <alignment horizontal="center"/>
    </xf>
    <xf numFmtId="3" fontId="34" fillId="0" borderId="103" xfId="37" applyNumberFormat="1" applyFont="1" applyFill="1" applyBorder="1" applyAlignment="1"/>
    <xf numFmtId="3" fontId="34" fillId="0" borderId="16" xfId="0" applyNumberFormat="1" applyFont="1" applyFill="1" applyBorder="1" applyAlignment="1"/>
    <xf numFmtId="3" fontId="35" fillId="0" borderId="16" xfId="0" applyNumberFormat="1" applyFont="1" applyFill="1" applyBorder="1" applyAlignment="1"/>
    <xf numFmtId="3" fontId="34" fillId="0" borderId="17" xfId="0" applyNumberFormat="1" applyFont="1" applyFill="1" applyBorder="1" applyAlignment="1"/>
    <xf numFmtId="3" fontId="34" fillId="0" borderId="0" xfId="0" applyNumberFormat="1" applyFont="1" applyFill="1" applyAlignment="1">
      <alignment vertical="center"/>
    </xf>
    <xf numFmtId="0" fontId="36" fillId="0" borderId="0" xfId="0" applyFont="1" applyFill="1"/>
    <xf numFmtId="3" fontId="34" fillId="0" borderId="0" xfId="0" applyNumberFormat="1" applyFont="1" applyFill="1" applyAlignment="1">
      <alignment vertical="top"/>
    </xf>
    <xf numFmtId="3" fontId="34" fillId="0" borderId="0" xfId="0" applyNumberFormat="1" applyFont="1" applyFill="1" applyAlignment="1"/>
    <xf numFmtId="3" fontId="35" fillId="0" borderId="0" xfId="0" applyNumberFormat="1" applyFont="1" applyFill="1" applyAlignment="1">
      <alignment vertical="top"/>
    </xf>
    <xf numFmtId="3" fontId="34" fillId="0" borderId="15" xfId="0" applyNumberFormat="1" applyFont="1" applyFill="1" applyBorder="1" applyAlignment="1">
      <alignment horizontal="center" vertical="top"/>
    </xf>
    <xf numFmtId="3" fontId="34" fillId="0" borderId="42" xfId="0" applyNumberFormat="1" applyFont="1" applyFill="1" applyBorder="1" applyAlignment="1">
      <alignment horizontal="center"/>
    </xf>
    <xf numFmtId="3" fontId="34" fillId="0" borderId="135" xfId="0" applyNumberFormat="1" applyFont="1" applyFill="1" applyBorder="1" applyAlignment="1">
      <alignment horizontal="center"/>
    </xf>
    <xf numFmtId="3" fontId="34" fillId="0" borderId="42" xfId="0" applyNumberFormat="1" applyFont="1" applyFill="1" applyBorder="1" applyAlignment="1">
      <alignment vertical="top"/>
    </xf>
    <xf numFmtId="3" fontId="35" fillId="0" borderId="42" xfId="0" applyNumberFormat="1" applyFont="1" applyFill="1" applyBorder="1" applyAlignment="1">
      <alignment vertical="top"/>
    </xf>
    <xf numFmtId="3" fontId="34" fillId="0" borderId="43" xfId="0" applyNumberFormat="1" applyFont="1" applyFill="1" applyBorder="1" applyAlignment="1">
      <alignment vertical="top"/>
    </xf>
    <xf numFmtId="3" fontId="34" fillId="0" borderId="97" xfId="0" applyNumberFormat="1" applyFont="1" applyFill="1" applyBorder="1" applyAlignment="1">
      <alignment horizontal="center"/>
    </xf>
    <xf numFmtId="3" fontId="34" fillId="0" borderId="17" xfId="0" applyNumberFormat="1" applyFont="1" applyFill="1" applyBorder="1" applyAlignment="1">
      <alignment vertical="center"/>
    </xf>
    <xf numFmtId="3" fontId="34" fillId="0" borderId="17" xfId="0" applyNumberFormat="1" applyFont="1" applyFill="1" applyBorder="1" applyAlignment="1">
      <alignment vertical="top"/>
    </xf>
    <xf numFmtId="3" fontId="34" fillId="0" borderId="43" xfId="0" applyNumberFormat="1" applyFont="1" applyFill="1" applyBorder="1" applyAlignment="1">
      <alignment vertical="center"/>
    </xf>
    <xf numFmtId="3" fontId="34" fillId="0" borderId="16" xfId="0" applyNumberFormat="1" applyFont="1" applyFill="1" applyBorder="1" applyAlignment="1">
      <alignment vertical="center"/>
    </xf>
    <xf numFmtId="3" fontId="35" fillId="0" borderId="16" xfId="0" applyNumberFormat="1" applyFont="1" applyFill="1" applyBorder="1" applyAlignment="1">
      <alignment vertical="center"/>
    </xf>
    <xf numFmtId="3" fontId="34" fillId="0" borderId="16" xfId="0" applyNumberFormat="1" applyFont="1" applyFill="1" applyBorder="1" applyAlignment="1">
      <alignment vertical="top"/>
    </xf>
    <xf numFmtId="3" fontId="35" fillId="0" borderId="16" xfId="0" applyNumberFormat="1" applyFont="1" applyFill="1" applyBorder="1" applyAlignment="1">
      <alignment vertical="top"/>
    </xf>
    <xf numFmtId="3" fontId="35" fillId="0" borderId="0" xfId="0" applyNumberFormat="1" applyFont="1" applyFill="1" applyAlignment="1">
      <alignment vertical="center"/>
    </xf>
    <xf numFmtId="0" fontId="37" fillId="0" borderId="0" xfId="0" applyFont="1" applyFill="1"/>
    <xf numFmtId="3" fontId="34" fillId="0" borderId="42" xfId="0" applyNumberFormat="1" applyFont="1" applyFill="1" applyBorder="1" applyAlignment="1">
      <alignment vertical="center"/>
    </xf>
    <xf numFmtId="3" fontId="35" fillId="0" borderId="42" xfId="0" applyNumberFormat="1" applyFont="1" applyFill="1" applyBorder="1" applyAlignment="1">
      <alignment vertical="center"/>
    </xf>
    <xf numFmtId="3" fontId="34" fillId="0" borderId="139" xfId="0" applyNumberFormat="1" applyFont="1" applyFill="1" applyBorder="1" applyAlignment="1">
      <alignment horizontal="center" vertical="center"/>
    </xf>
    <xf numFmtId="3" fontId="34" fillId="0" borderId="140" xfId="0" applyNumberFormat="1" applyFont="1" applyFill="1" applyBorder="1" applyAlignment="1">
      <alignment horizontal="center"/>
    </xf>
    <xf numFmtId="3" fontId="34" fillId="0" borderId="141" xfId="0" applyNumberFormat="1" applyFont="1" applyFill="1" applyBorder="1" applyAlignment="1">
      <alignment horizontal="center"/>
    </xf>
    <xf numFmtId="3" fontId="11" fillId="0" borderId="40" xfId="0" applyNumberFormat="1" applyFont="1" applyFill="1" applyBorder="1" applyAlignment="1">
      <alignment vertical="center"/>
    </xf>
    <xf numFmtId="3" fontId="13" fillId="0" borderId="40" xfId="0" applyNumberFormat="1" applyFont="1" applyFill="1" applyBorder="1" applyAlignment="1">
      <alignment vertical="center"/>
    </xf>
    <xf numFmtId="3" fontId="14" fillId="0" borderId="41" xfId="0" applyNumberFormat="1" applyFont="1" applyFill="1" applyBorder="1" applyAlignment="1">
      <alignment vertical="center"/>
    </xf>
    <xf numFmtId="3" fontId="17" fillId="0" borderId="40" xfId="0" applyNumberFormat="1" applyFont="1" applyFill="1" applyBorder="1" applyAlignment="1">
      <alignment vertical="center"/>
    </xf>
    <xf numFmtId="3" fontId="34" fillId="0" borderId="62" xfId="0" applyNumberFormat="1" applyFont="1" applyFill="1" applyBorder="1" applyAlignment="1">
      <alignment horizontal="center" vertical="center"/>
    </xf>
    <xf numFmtId="3" fontId="34" fillId="0" borderId="42" xfId="37" applyNumberFormat="1" applyFont="1" applyFill="1" applyBorder="1" applyAlignment="1"/>
    <xf numFmtId="3" fontId="34" fillId="0" borderId="42" xfId="37" applyNumberFormat="1" applyFont="1" applyFill="1" applyBorder="1" applyAlignment="1">
      <alignment horizontal="left"/>
    </xf>
    <xf numFmtId="3" fontId="11" fillId="0" borderId="20" xfId="38" applyNumberFormat="1" applyFont="1" applyFill="1" applyBorder="1" applyAlignment="1">
      <alignment vertical="center" wrapText="1"/>
    </xf>
    <xf numFmtId="3" fontId="11" fillId="0" borderId="143" xfId="38" applyNumberFormat="1" applyFont="1" applyFill="1" applyBorder="1" applyAlignment="1">
      <alignment vertical="center" wrapText="1"/>
    </xf>
    <xf numFmtId="3" fontId="11" fillId="0" borderId="22" xfId="38" applyNumberFormat="1" applyFont="1" applyFill="1" applyBorder="1" applyAlignment="1">
      <alignment vertical="center" wrapText="1"/>
    </xf>
    <xf numFmtId="3" fontId="17" fillId="0" borderId="117" xfId="0" applyNumberFormat="1" applyFont="1" applyFill="1" applyBorder="1" applyAlignment="1">
      <alignment horizontal="left" vertical="center"/>
    </xf>
    <xf numFmtId="3" fontId="11" fillId="0" borderId="144" xfId="38" applyNumberFormat="1" applyFont="1" applyFill="1" applyBorder="1" applyAlignment="1">
      <alignment vertical="center"/>
    </xf>
    <xf numFmtId="3" fontId="34" fillId="0" borderId="103" xfId="0" applyNumberFormat="1" applyFont="1" applyFill="1" applyBorder="1" applyAlignment="1">
      <alignment horizontal="center" vertical="center"/>
    </xf>
    <xf numFmtId="3" fontId="34" fillId="0" borderId="16" xfId="37" applyNumberFormat="1" applyFont="1" applyFill="1" applyBorder="1" applyAlignment="1"/>
    <xf numFmtId="3" fontId="34" fillId="0" borderId="20" xfId="0" applyNumberFormat="1" applyFont="1" applyFill="1" applyBorder="1" applyAlignment="1">
      <alignment vertical="center"/>
    </xf>
    <xf numFmtId="3" fontId="34" fillId="0" borderId="47" xfId="0" applyNumberFormat="1" applyFont="1" applyFill="1" applyBorder="1" applyAlignment="1"/>
    <xf numFmtId="3" fontId="34" fillId="0" borderId="16" xfId="0" applyNumberFormat="1" applyFont="1" applyFill="1" applyBorder="1" applyAlignment="1">
      <alignment horizontal="right"/>
    </xf>
    <xf numFmtId="3" fontId="34" fillId="0" borderId="17" xfId="0" applyNumberFormat="1" applyFont="1" applyFill="1" applyBorder="1" applyAlignment="1">
      <alignment horizontal="right"/>
    </xf>
    <xf numFmtId="3" fontId="34" fillId="0" borderId="0" xfId="0" applyNumberFormat="1" applyFont="1" applyFill="1" applyBorder="1" applyAlignment="1">
      <alignment horizontal="right" vertical="center"/>
    </xf>
    <xf numFmtId="3" fontId="34" fillId="0" borderId="0" xfId="0" applyNumberFormat="1" applyFont="1" applyFill="1" applyBorder="1" applyAlignment="1">
      <alignment vertical="center"/>
    </xf>
    <xf numFmtId="3" fontId="34" fillId="0" borderId="0" xfId="0" applyNumberFormat="1" applyFont="1" applyFill="1" applyBorder="1" applyAlignment="1">
      <alignment horizontal="right"/>
    </xf>
    <xf numFmtId="3" fontId="34" fillId="0" borderId="0" xfId="0" applyNumberFormat="1" applyFont="1" applyFill="1" applyBorder="1" applyAlignment="1"/>
    <xf numFmtId="3" fontId="34" fillId="0" borderId="115" xfId="0" applyNumberFormat="1" applyFont="1" applyFill="1" applyBorder="1" applyAlignment="1">
      <alignment horizontal="center" vertical="center"/>
    </xf>
    <xf numFmtId="3" fontId="34" fillId="0" borderId="143" xfId="0" applyNumberFormat="1" applyFont="1" applyFill="1" applyBorder="1" applyAlignment="1">
      <alignment vertical="center"/>
    </xf>
    <xf numFmtId="3" fontId="34" fillId="0" borderId="145" xfId="0" applyNumberFormat="1" applyFont="1" applyFill="1" applyBorder="1" applyAlignment="1"/>
    <xf numFmtId="3" fontId="34" fillId="0" borderId="42" xfId="0" applyNumberFormat="1" applyFont="1" applyFill="1" applyBorder="1" applyAlignment="1">
      <alignment horizontal="right"/>
    </xf>
    <xf numFmtId="3" fontId="34" fillId="0" borderId="43" xfId="0" applyNumberFormat="1" applyFont="1" applyFill="1" applyBorder="1" applyAlignment="1">
      <alignment horizontal="right"/>
    </xf>
    <xf numFmtId="3" fontId="34" fillId="0" borderId="0" xfId="0" applyNumberFormat="1" applyFont="1" applyFill="1" applyAlignment="1">
      <alignment horizontal="right"/>
    </xf>
    <xf numFmtId="3" fontId="35" fillId="0" borderId="0" xfId="0" applyNumberFormat="1" applyFont="1" applyFill="1" applyBorder="1" applyAlignment="1">
      <alignment horizontal="right" vertical="center"/>
    </xf>
    <xf numFmtId="3" fontId="35" fillId="0" borderId="0" xfId="0" applyNumberFormat="1" applyFont="1" applyFill="1" applyBorder="1" applyAlignment="1">
      <alignment vertical="center"/>
    </xf>
    <xf numFmtId="3" fontId="17" fillId="0" borderId="146" xfId="0" applyNumberFormat="1" applyFont="1" applyFill="1" applyBorder="1" applyAlignment="1">
      <alignment vertical="center"/>
    </xf>
    <xf numFmtId="3" fontId="14" fillId="0" borderId="48" xfId="0" applyNumberFormat="1" applyFont="1" applyFill="1" applyBorder="1" applyAlignment="1">
      <alignment vertical="center"/>
    </xf>
    <xf numFmtId="3" fontId="14" fillId="0" borderId="14" xfId="37" applyNumberFormat="1" applyFont="1" applyFill="1" applyBorder="1" applyAlignment="1">
      <alignment horizontal="center" vertical="center"/>
    </xf>
    <xf numFmtId="3" fontId="11" fillId="0" borderId="40" xfId="37" applyNumberFormat="1" applyFont="1" applyFill="1" applyBorder="1" applyAlignment="1">
      <alignment horizontal="center" vertical="center"/>
    </xf>
    <xf numFmtId="3" fontId="17" fillId="0" borderId="48" xfId="0" applyNumberFormat="1" applyFont="1" applyFill="1" applyBorder="1" applyAlignment="1">
      <alignment vertical="center"/>
    </xf>
    <xf numFmtId="3" fontId="17" fillId="0" borderId="41" xfId="0" applyNumberFormat="1" applyFont="1" applyFill="1" applyBorder="1" applyAlignment="1">
      <alignment vertical="center"/>
    </xf>
    <xf numFmtId="3" fontId="34" fillId="0" borderId="16" xfId="0" applyNumberFormat="1" applyFont="1" applyFill="1" applyBorder="1" applyAlignment="1">
      <alignment horizontal="right" vertical="center"/>
    </xf>
    <xf numFmtId="3" fontId="34" fillId="0" borderId="17" xfId="0" applyNumberFormat="1" applyFont="1" applyFill="1" applyBorder="1" applyAlignment="1">
      <alignment horizontal="right" vertical="center"/>
    </xf>
    <xf numFmtId="3" fontId="34" fillId="0" borderId="0" xfId="0" applyNumberFormat="1" applyFont="1" applyFill="1" applyAlignment="1">
      <alignment horizontal="right" vertical="center"/>
    </xf>
    <xf numFmtId="3" fontId="35" fillId="0" borderId="15" xfId="0" applyNumberFormat="1" applyFont="1" applyFill="1" applyBorder="1" applyAlignment="1">
      <alignment horizontal="left" vertical="center" wrapText="1"/>
    </xf>
    <xf numFmtId="3" fontId="35" fillId="0" borderId="103" xfId="0" applyNumberFormat="1" applyFont="1" applyFill="1" applyBorder="1" applyAlignment="1">
      <alignment horizontal="left" vertical="center" wrapText="1"/>
    </xf>
    <xf numFmtId="3" fontId="35" fillId="0" borderId="16" xfId="0" applyNumberFormat="1" applyFont="1" applyFill="1" applyBorder="1" applyAlignment="1">
      <alignment horizontal="left" vertical="center" wrapText="1"/>
    </xf>
    <xf numFmtId="3" fontId="35" fillId="0" borderId="16" xfId="0" applyNumberFormat="1" applyFont="1" applyFill="1" applyBorder="1" applyAlignment="1">
      <alignment horizontal="right" vertical="center"/>
    </xf>
    <xf numFmtId="3" fontId="35" fillId="0" borderId="20" xfId="0" applyNumberFormat="1" applyFont="1" applyFill="1" applyBorder="1" applyAlignment="1">
      <alignment horizontal="right" vertical="center"/>
    </xf>
    <xf numFmtId="3" fontId="34" fillId="0" borderId="47" xfId="0" applyNumberFormat="1" applyFont="1" applyFill="1" applyBorder="1" applyAlignment="1">
      <alignment horizontal="right" vertical="center"/>
    </xf>
    <xf numFmtId="3" fontId="34" fillId="0" borderId="0" xfId="0" applyNumberFormat="1" applyFont="1" applyFill="1"/>
    <xf numFmtId="3" fontId="7" fillId="0" borderId="0" xfId="0" applyNumberFormat="1" applyFont="1" applyFill="1" applyAlignment="1">
      <alignment horizontal="center"/>
    </xf>
    <xf numFmtId="3" fontId="11" fillId="0" borderId="95" xfId="0" applyNumberFormat="1" applyFont="1" applyFill="1" applyBorder="1" applyAlignment="1"/>
    <xf numFmtId="3" fontId="13" fillId="0" borderId="0" xfId="0" applyNumberFormat="1" applyFont="1" applyFill="1" applyAlignment="1"/>
    <xf numFmtId="3" fontId="7" fillId="0" borderId="0" xfId="0" applyNumberFormat="1" applyFont="1" applyFill="1" applyBorder="1" applyAlignment="1"/>
    <xf numFmtId="3" fontId="7" fillId="0" borderId="95" xfId="0" applyNumberFormat="1" applyFont="1" applyFill="1" applyBorder="1" applyAlignment="1"/>
    <xf numFmtId="3" fontId="35" fillId="0" borderId="132" xfId="0" applyNumberFormat="1" applyFont="1" applyFill="1" applyBorder="1" applyAlignment="1">
      <alignment horizontal="right" vertical="center"/>
    </xf>
    <xf numFmtId="3" fontId="7" fillId="0" borderId="0" xfId="26" applyNumberFormat="1" applyFont="1" applyFill="1" applyAlignment="1">
      <alignment horizontal="center" vertical="center"/>
    </xf>
    <xf numFmtId="3" fontId="7" fillId="0" borderId="0" xfId="26" applyNumberFormat="1" applyFont="1" applyFill="1" applyAlignment="1">
      <alignment horizontal="center"/>
    </xf>
    <xf numFmtId="3" fontId="12" fillId="0" borderId="0" xfId="26" applyNumberFormat="1" applyFont="1" applyFill="1" applyAlignment="1">
      <alignment horizontal="center" vertical="center"/>
    </xf>
    <xf numFmtId="3" fontId="7" fillId="0" borderId="0" xfId="26" applyNumberFormat="1" applyFont="1" applyFill="1" applyAlignment="1">
      <alignment horizontal="center" vertical="top"/>
    </xf>
    <xf numFmtId="3" fontId="11" fillId="0" borderId="0" xfId="27" applyNumberFormat="1" applyFont="1" applyFill="1" applyAlignment="1">
      <alignment horizontal="right"/>
    </xf>
    <xf numFmtId="3" fontId="3" fillId="0" borderId="0" xfId="40" applyNumberFormat="1" applyFont="1" applyFill="1" applyBorder="1" applyAlignment="1">
      <alignment horizontal="right"/>
    </xf>
    <xf numFmtId="0" fontId="3" fillId="0" borderId="0" xfId="40" applyFont="1" applyFill="1" applyBorder="1" applyAlignment="1">
      <alignment horizontal="center"/>
    </xf>
    <xf numFmtId="3" fontId="3" fillId="0" borderId="0" xfId="40" applyNumberFormat="1" applyFont="1" applyFill="1" applyBorder="1" applyAlignment="1" applyProtection="1">
      <alignment horizontal="right"/>
      <protection locked="0"/>
    </xf>
    <xf numFmtId="0" fontId="3" fillId="0" borderId="0" xfId="40" applyFont="1" applyFill="1" applyBorder="1" applyProtection="1">
      <protection locked="0"/>
    </xf>
    <xf numFmtId="0" fontId="3" fillId="0" borderId="0" xfId="40" applyFont="1" applyFill="1" applyBorder="1" applyAlignment="1" applyProtection="1">
      <alignment horizontal="center" vertical="center"/>
      <protection locked="0"/>
    </xf>
    <xf numFmtId="0" fontId="11" fillId="0" borderId="0" xfId="40" applyFont="1" applyFill="1" applyBorder="1" applyAlignment="1" applyProtection="1">
      <alignment horizontal="center" vertical="center"/>
      <protection locked="0"/>
    </xf>
    <xf numFmtId="0" fontId="11" fillId="0" borderId="0" xfId="40" applyFont="1" applyFill="1" applyBorder="1" applyAlignment="1" applyProtection="1">
      <alignment horizontal="center" vertical="top"/>
      <protection locked="0"/>
    </xf>
    <xf numFmtId="0" fontId="11" fillId="0" borderId="0" xfId="40" applyFont="1" applyFill="1" applyBorder="1" applyAlignment="1" applyProtection="1">
      <alignment wrapText="1"/>
      <protection locked="0"/>
    </xf>
    <xf numFmtId="3" fontId="11" fillId="0" borderId="0" xfId="40" applyNumberFormat="1" applyFont="1" applyFill="1" applyBorder="1" applyAlignment="1" applyProtection="1">
      <alignment horizontal="center" vertical="center" wrapText="1"/>
      <protection locked="0"/>
    </xf>
    <xf numFmtId="3" fontId="11" fillId="0" borderId="0" xfId="40" applyNumberFormat="1" applyFont="1" applyFill="1" applyBorder="1" applyAlignment="1" applyProtection="1">
      <alignment horizontal="right"/>
      <protection locked="0"/>
    </xf>
    <xf numFmtId="3" fontId="13" fillId="0" borderId="0" xfId="40" applyNumberFormat="1" applyFont="1" applyFill="1" applyBorder="1" applyAlignment="1" applyProtection="1">
      <alignment horizontal="right"/>
      <protection locked="0"/>
    </xf>
    <xf numFmtId="0" fontId="11" fillId="0" borderId="0" xfId="40" applyFont="1" applyFill="1" applyBorder="1" applyProtection="1">
      <protection locked="0"/>
    </xf>
    <xf numFmtId="0" fontId="7" fillId="0" borderId="0" xfId="40" applyFont="1" applyFill="1" applyBorder="1" applyAlignment="1" applyProtection="1">
      <alignment horizontal="center"/>
      <protection locked="0"/>
    </xf>
    <xf numFmtId="0" fontId="7" fillId="0" borderId="0" xfId="41" applyFont="1" applyFill="1" applyBorder="1" applyAlignment="1" applyProtection="1">
      <alignment horizontal="center" wrapText="1"/>
      <protection locked="0"/>
    </xf>
    <xf numFmtId="3" fontId="7" fillId="0" borderId="0" xfId="41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Alignment="1" applyProtection="1">
      <protection locked="0"/>
    </xf>
    <xf numFmtId="0" fontId="7" fillId="0" borderId="0" xfId="40" applyFont="1" applyFill="1" applyBorder="1" applyAlignment="1" applyProtection="1">
      <alignment horizontal="center" vertical="center"/>
      <protection locked="0"/>
    </xf>
    <xf numFmtId="0" fontId="14" fillId="0" borderId="0" xfId="40" applyFont="1" applyFill="1" applyBorder="1" applyAlignment="1" applyProtection="1">
      <alignment horizontal="left" vertical="center"/>
      <protection locked="0"/>
    </xf>
    <xf numFmtId="3" fontId="11" fillId="0" borderId="0" xfId="41" applyNumberFormat="1" applyFont="1" applyFill="1" applyBorder="1" applyAlignment="1" applyProtection="1">
      <alignment horizontal="right"/>
      <protection locked="0"/>
    </xf>
    <xf numFmtId="3" fontId="11" fillId="0" borderId="0" xfId="40" applyNumberFormat="1" applyFont="1" applyFill="1" applyBorder="1" applyAlignment="1" applyProtection="1">
      <alignment horizontal="right" vertical="center"/>
      <protection locked="0"/>
    </xf>
    <xf numFmtId="3" fontId="11" fillId="0" borderId="21" xfId="27" applyNumberFormat="1" applyFont="1" applyFill="1" applyBorder="1" applyAlignment="1">
      <alignment horizontal="center"/>
    </xf>
    <xf numFmtId="3" fontId="11" fillId="0" borderId="28" xfId="0" applyNumberFormat="1" applyFont="1" applyFill="1" applyBorder="1" applyAlignment="1">
      <alignment horizontal="center" vertical="center" wrapText="1"/>
    </xf>
    <xf numFmtId="1" fontId="11" fillId="0" borderId="0" xfId="27" applyNumberFormat="1" applyFont="1" applyFill="1" applyBorder="1" applyAlignment="1">
      <alignment horizontal="center" vertical="center"/>
    </xf>
    <xf numFmtId="1" fontId="3" fillId="0" borderId="0" xfId="27" applyNumberFormat="1" applyFont="1" applyFill="1" applyBorder="1" applyAlignment="1">
      <alignment horizontal="center" vertical="center"/>
    </xf>
    <xf numFmtId="3" fontId="3" fillId="0" borderId="0" xfId="27" applyNumberFormat="1" applyFont="1" applyFill="1" applyAlignment="1">
      <alignment horizontal="right"/>
    </xf>
    <xf numFmtId="3" fontId="11" fillId="0" borderId="0" xfId="27" applyNumberFormat="1" applyFont="1" applyFill="1" applyAlignment="1">
      <alignment horizontal="center"/>
    </xf>
    <xf numFmtId="3" fontId="11" fillId="0" borderId="0" xfId="27" applyNumberFormat="1" applyFont="1" applyFill="1" applyAlignment="1">
      <alignment horizontal="center" vertical="top"/>
    </xf>
    <xf numFmtId="0" fontId="14" fillId="0" borderId="0" xfId="27" applyFont="1" applyFill="1" applyBorder="1" applyAlignment="1">
      <alignment vertical="top" wrapText="1"/>
    </xf>
    <xf numFmtId="3" fontId="11" fillId="0" borderId="0" xfId="27" applyNumberFormat="1" applyFont="1" applyFill="1" applyAlignment="1"/>
    <xf numFmtId="0" fontId="11" fillId="0" borderId="0" xfId="27" applyFont="1" applyFill="1" applyBorder="1" applyAlignment="1">
      <alignment horizontal="center"/>
    </xf>
    <xf numFmtId="3" fontId="14" fillId="0" borderId="0" xfId="27" applyNumberFormat="1" applyFont="1" applyFill="1" applyAlignment="1"/>
    <xf numFmtId="1" fontId="7" fillId="0" borderId="0" xfId="27" applyNumberFormat="1" applyFont="1" applyFill="1" applyBorder="1" applyAlignment="1">
      <alignment horizontal="center" vertical="center"/>
    </xf>
    <xf numFmtId="3" fontId="7" fillId="0" borderId="0" xfId="27" applyNumberFormat="1" applyFont="1" applyFill="1" applyBorder="1" applyAlignment="1">
      <alignment horizontal="center" vertical="center"/>
    </xf>
    <xf numFmtId="3" fontId="7" fillId="0" borderId="0" xfId="27" applyNumberFormat="1" applyFont="1" applyFill="1" applyBorder="1" applyAlignment="1">
      <alignment horizontal="center" vertical="center" wrapText="1"/>
    </xf>
    <xf numFmtId="3" fontId="7" fillId="0" borderId="0" xfId="27" applyNumberFormat="1" applyFont="1" applyFill="1" applyBorder="1" applyAlignment="1">
      <alignment horizontal="center"/>
    </xf>
    <xf numFmtId="3" fontId="11" fillId="0" borderId="39" xfId="27" applyNumberFormat="1" applyFont="1" applyFill="1" applyBorder="1" applyAlignment="1">
      <alignment horizontal="center"/>
    </xf>
    <xf numFmtId="3" fontId="25" fillId="0" borderId="40" xfId="27" applyNumberFormat="1" applyFont="1" applyFill="1" applyBorder="1" applyAlignment="1">
      <alignment horizontal="left"/>
    </xf>
    <xf numFmtId="0" fontId="14" fillId="0" borderId="40" xfId="27" applyFont="1" applyFill="1" applyBorder="1" applyAlignment="1">
      <alignment horizontal="center" vertical="center" wrapText="1"/>
    </xf>
    <xf numFmtId="3" fontId="11" fillId="0" borderId="40" xfId="27" applyNumberFormat="1" applyFont="1" applyFill="1" applyBorder="1" applyAlignment="1">
      <alignment horizontal="center" vertical="center" wrapText="1"/>
    </xf>
    <xf numFmtId="3" fontId="14" fillId="0" borderId="40" xfId="27" applyNumberFormat="1" applyFont="1" applyFill="1" applyBorder="1" applyAlignment="1">
      <alignment horizontal="center" vertical="center" wrapText="1"/>
    </xf>
    <xf numFmtId="3" fontId="11" fillId="0" borderId="40" xfId="0" applyNumberFormat="1" applyFont="1" applyFill="1" applyBorder="1" applyAlignment="1">
      <alignment horizontal="center" vertical="center" wrapText="1"/>
    </xf>
    <xf numFmtId="3" fontId="11" fillId="0" borderId="41" xfId="0" applyNumberFormat="1" applyFont="1" applyFill="1" applyBorder="1" applyAlignment="1">
      <alignment horizontal="center" vertical="center" wrapText="1"/>
    </xf>
    <xf numFmtId="0" fontId="11" fillId="0" borderId="114" xfId="0" applyFont="1" applyFill="1" applyBorder="1" applyAlignment="1">
      <alignment horizontal="center" vertical="center" textRotation="90" wrapText="1"/>
    </xf>
    <xf numFmtId="3" fontId="11" fillId="0" borderId="131" xfId="27" applyNumberFormat="1" applyFont="1" applyFill="1" applyBorder="1" applyAlignment="1">
      <alignment horizontal="center" vertical="center" wrapText="1"/>
    </xf>
    <xf numFmtId="0" fontId="11" fillId="0" borderId="23" xfId="40" applyFont="1" applyFill="1" applyBorder="1" applyAlignment="1">
      <alignment horizontal="center"/>
    </xf>
    <xf numFmtId="3" fontId="11" fillId="0" borderId="6" xfId="40" applyNumberFormat="1" applyFont="1" applyFill="1" applyBorder="1" applyAlignment="1">
      <alignment horizontal="center" vertical="center" wrapText="1"/>
    </xf>
    <xf numFmtId="3" fontId="11" fillId="0" borderId="114" xfId="30" applyNumberFormat="1" applyFont="1" applyFill="1" applyBorder="1" applyAlignment="1">
      <alignment horizontal="right" vertical="center" wrapText="1"/>
    </xf>
    <xf numFmtId="3" fontId="11" fillId="0" borderId="103" xfId="30" applyNumberFormat="1" applyFont="1" applyFill="1" applyBorder="1" applyAlignment="1">
      <alignment horizontal="right" vertical="center" wrapText="1"/>
    </xf>
    <xf numFmtId="3" fontId="11" fillId="0" borderId="103" xfId="40" applyNumberFormat="1" applyFont="1" applyFill="1" applyBorder="1" applyAlignment="1">
      <alignment horizontal="right" vertical="center"/>
    </xf>
    <xf numFmtId="3" fontId="14" fillId="0" borderId="60" xfId="30" applyNumberFormat="1" applyFont="1" applyFill="1" applyBorder="1" applyAlignment="1">
      <alignment horizontal="right" vertical="center" wrapText="1"/>
    </xf>
    <xf numFmtId="3" fontId="14" fillId="0" borderId="149" xfId="30" applyNumberFormat="1" applyFont="1" applyFill="1" applyBorder="1" applyAlignment="1">
      <alignment horizontal="right" vertical="center" wrapText="1"/>
    </xf>
    <xf numFmtId="3" fontId="14" fillId="0" borderId="36" xfId="30" applyNumberFormat="1" applyFont="1" applyFill="1" applyBorder="1" applyAlignment="1">
      <alignment horizontal="right" vertical="center" wrapText="1"/>
    </xf>
    <xf numFmtId="3" fontId="14" fillId="0" borderId="134" xfId="30" applyNumberFormat="1" applyFont="1" applyFill="1" applyBorder="1" applyAlignment="1">
      <alignment horizontal="right" vertical="center" wrapText="1"/>
    </xf>
    <xf numFmtId="3" fontId="11" fillId="0" borderId="150" xfId="40" applyNumberFormat="1" applyFont="1" applyFill="1" applyBorder="1" applyAlignment="1">
      <alignment horizontal="center" vertical="center" wrapText="1"/>
    </xf>
    <xf numFmtId="3" fontId="11" fillId="0" borderId="0" xfId="40" applyNumberFormat="1" applyFont="1" applyFill="1" applyBorder="1" applyAlignment="1" applyProtection="1">
      <protection locked="0"/>
    </xf>
    <xf numFmtId="3" fontId="11" fillId="0" borderId="0" xfId="41" applyNumberFormat="1" applyFont="1" applyFill="1" applyBorder="1" applyAlignment="1" applyProtection="1">
      <protection locked="0"/>
    </xf>
    <xf numFmtId="3" fontId="11" fillId="0" borderId="0" xfId="41" applyNumberFormat="1" applyFont="1" applyFill="1" applyBorder="1" applyAlignment="1" applyProtection="1">
      <alignment wrapText="1"/>
      <protection locked="0"/>
    </xf>
    <xf numFmtId="0" fontId="14" fillId="0" borderId="127" xfId="41" applyFont="1" applyFill="1" applyBorder="1" applyAlignment="1" applyProtection="1">
      <alignment horizontal="center" vertical="center"/>
      <protection locked="0"/>
    </xf>
    <xf numFmtId="3" fontId="14" fillId="0" borderId="127" xfId="41" applyNumberFormat="1" applyFont="1" applyFill="1" applyBorder="1" applyAlignment="1" applyProtection="1">
      <alignment vertical="center"/>
      <protection locked="0"/>
    </xf>
    <xf numFmtId="3" fontId="14" fillId="0" borderId="127" xfId="40" applyNumberFormat="1" applyFont="1" applyFill="1" applyBorder="1" applyAlignment="1" applyProtection="1">
      <alignment vertical="center"/>
      <protection locked="0"/>
    </xf>
    <xf numFmtId="3" fontId="14" fillId="0" borderId="151" xfId="40" applyNumberFormat="1" applyFont="1" applyFill="1" applyBorder="1" applyAlignment="1" applyProtection="1">
      <alignment horizontal="right" vertical="center"/>
      <protection locked="0"/>
    </xf>
    <xf numFmtId="0" fontId="14" fillId="0" borderId="60" xfId="41" applyFont="1" applyFill="1" applyBorder="1" applyAlignment="1" applyProtection="1">
      <alignment horizontal="center" vertical="center"/>
      <protection locked="0"/>
    </xf>
    <xf numFmtId="3" fontId="14" fillId="0" borderId="60" xfId="41" applyNumberFormat="1" applyFont="1" applyFill="1" applyBorder="1" applyAlignment="1" applyProtection="1">
      <alignment vertical="center"/>
      <protection locked="0"/>
    </xf>
    <xf numFmtId="3" fontId="14" fillId="0" borderId="60" xfId="40" applyNumberFormat="1" applyFont="1" applyFill="1" applyBorder="1" applyAlignment="1" applyProtection="1">
      <alignment vertical="center"/>
      <protection locked="0"/>
    </xf>
    <xf numFmtId="3" fontId="14" fillId="0" borderId="152" xfId="40" applyNumberFormat="1" applyFont="1" applyFill="1" applyBorder="1" applyAlignment="1" applyProtection="1">
      <alignment horizontal="right" vertical="center"/>
      <protection locked="0"/>
    </xf>
    <xf numFmtId="0" fontId="11" fillId="0" borderId="0" xfId="27" applyNumberFormat="1" applyFont="1" applyFill="1" applyBorder="1" applyAlignment="1">
      <alignment horizontal="center" vertical="center"/>
    </xf>
    <xf numFmtId="0" fontId="3" fillId="0" borderId="0" xfId="27" applyNumberFormat="1" applyFont="1" applyFill="1" applyBorder="1" applyAlignment="1">
      <alignment horizontal="center" vertical="center"/>
    </xf>
    <xf numFmtId="3" fontId="3" fillId="0" borderId="0" xfId="27" applyNumberFormat="1" applyFont="1" applyFill="1" applyAlignment="1">
      <alignment vertical="top"/>
    </xf>
    <xf numFmtId="3" fontId="3" fillId="0" borderId="0" xfId="27" applyNumberFormat="1" applyFont="1" applyFill="1" applyAlignment="1">
      <alignment horizontal="right" vertical="top"/>
    </xf>
    <xf numFmtId="0" fontId="2" fillId="0" borderId="0" xfId="0" applyFont="1" applyFill="1" applyAlignment="1"/>
    <xf numFmtId="0" fontId="11" fillId="0" borderId="0" xfId="40" applyFont="1" applyFill="1" applyBorder="1" applyAlignment="1"/>
    <xf numFmtId="3" fontId="11" fillId="0" borderId="0" xfId="40" applyNumberFormat="1" applyFont="1" applyFill="1" applyBorder="1" applyAlignment="1">
      <alignment horizontal="center" wrapText="1"/>
    </xf>
    <xf numFmtId="3" fontId="14" fillId="0" borderId="0" xfId="40" applyNumberFormat="1" applyFont="1" applyFill="1" applyBorder="1" applyAlignment="1">
      <alignment horizontal="right"/>
    </xf>
    <xf numFmtId="0" fontId="7" fillId="0" borderId="0" xfId="40" applyFont="1" applyFill="1" applyBorder="1" applyAlignment="1">
      <alignment horizontal="center"/>
    </xf>
    <xf numFmtId="0" fontId="7" fillId="0" borderId="0" xfId="41" applyFont="1" applyFill="1" applyBorder="1" applyAlignment="1">
      <alignment horizontal="center" wrapText="1"/>
    </xf>
    <xf numFmtId="3" fontId="7" fillId="0" borderId="0" xfId="41" applyNumberFormat="1" applyFont="1" applyFill="1" applyBorder="1" applyAlignment="1">
      <alignment horizontal="center"/>
    </xf>
    <xf numFmtId="0" fontId="7" fillId="0" borderId="0" xfId="0" applyFont="1" applyFill="1" applyAlignment="1"/>
    <xf numFmtId="0" fontId="11" fillId="0" borderId="61" xfId="40" applyFont="1" applyFill="1" applyBorder="1" applyAlignment="1">
      <alignment horizontal="center" vertical="center" wrapText="1"/>
    </xf>
    <xf numFmtId="0" fontId="11" fillId="0" borderId="47" xfId="40" applyFont="1" applyFill="1" applyBorder="1" applyAlignment="1">
      <alignment horizontal="center" vertical="center" wrapText="1"/>
    </xf>
    <xf numFmtId="0" fontId="3" fillId="0" borderId="111" xfId="30" applyFont="1" applyFill="1" applyBorder="1" applyAlignment="1">
      <alignment vertical="top" wrapText="1"/>
    </xf>
    <xf numFmtId="3" fontId="3" fillId="0" borderId="111" xfId="31" applyNumberFormat="1" applyFont="1" applyFill="1" applyBorder="1" applyAlignment="1">
      <alignment horizontal="left" vertical="top" wrapText="1"/>
    </xf>
    <xf numFmtId="0" fontId="3" fillId="0" borderId="16" xfId="30" applyFont="1" applyFill="1" applyBorder="1" applyAlignment="1">
      <alignment horizontal="left" vertical="top" wrapText="1"/>
    </xf>
    <xf numFmtId="3" fontId="3" fillId="0" borderId="123" xfId="31" applyNumberFormat="1" applyFont="1" applyFill="1" applyBorder="1" applyAlignment="1">
      <alignment horizontal="left"/>
    </xf>
    <xf numFmtId="3" fontId="38" fillId="0" borderId="132" xfId="30" applyNumberFormat="1" applyFont="1" applyFill="1" applyBorder="1" applyAlignment="1">
      <alignment horizontal="right" wrapText="1"/>
    </xf>
    <xf numFmtId="0" fontId="38" fillId="0" borderId="15" xfId="40" applyFont="1" applyFill="1" applyBorder="1" applyAlignment="1">
      <alignment horizontal="center"/>
    </xf>
    <xf numFmtId="0" fontId="38" fillId="0" borderId="16" xfId="40" applyFont="1" applyFill="1" applyBorder="1" applyAlignment="1">
      <alignment horizontal="center"/>
    </xf>
    <xf numFmtId="0" fontId="38" fillId="0" borderId="16" xfId="30" applyFont="1" applyFill="1" applyBorder="1" applyAlignment="1">
      <alignment horizontal="left"/>
    </xf>
    <xf numFmtId="3" fontId="38" fillId="0" borderId="16" xfId="40" applyNumberFormat="1" applyFont="1" applyFill="1" applyBorder="1" applyAlignment="1">
      <alignment horizontal="right"/>
    </xf>
    <xf numFmtId="3" fontId="38" fillId="0" borderId="16" xfId="30" applyNumberFormat="1" applyFont="1" applyFill="1" applyBorder="1" applyAlignment="1">
      <alignment horizontal="right"/>
    </xf>
    <xf numFmtId="3" fontId="38" fillId="0" borderId="20" xfId="40" applyNumberFormat="1" applyFont="1" applyFill="1" applyBorder="1" applyAlignment="1">
      <alignment horizontal="right"/>
    </xf>
    <xf numFmtId="3" fontId="38" fillId="0" borderId="16" xfId="30" applyNumberFormat="1" applyFont="1" applyFill="1" applyBorder="1" applyAlignment="1">
      <alignment horizontal="right" wrapText="1"/>
    </xf>
    <xf numFmtId="3" fontId="38" fillId="0" borderId="130" xfId="40" applyNumberFormat="1" applyFont="1" applyFill="1" applyBorder="1" applyAlignment="1">
      <alignment horizontal="right"/>
    </xf>
    <xf numFmtId="0" fontId="38" fillId="0" borderId="0" xfId="40" applyFont="1" applyFill="1" applyBorder="1" applyAlignment="1"/>
    <xf numFmtId="0" fontId="38" fillId="0" borderId="111" xfId="30" applyFont="1" applyFill="1" applyBorder="1" applyAlignment="1"/>
    <xf numFmtId="3" fontId="3" fillId="0" borderId="19" xfId="40" applyNumberFormat="1" applyFont="1" applyFill="1" applyBorder="1" applyAlignment="1">
      <alignment horizontal="center" vertical="center" wrapText="1"/>
    </xf>
    <xf numFmtId="3" fontId="3" fillId="0" borderId="116" xfId="30" applyNumberFormat="1" applyFont="1" applyFill="1" applyBorder="1" applyAlignment="1">
      <alignment horizontal="right" wrapText="1"/>
    </xf>
    <xf numFmtId="3" fontId="3" fillId="0" borderId="103" xfId="30" applyNumberFormat="1" applyFont="1" applyFill="1" applyBorder="1" applyAlignment="1">
      <alignment horizontal="right" wrapText="1"/>
    </xf>
    <xf numFmtId="3" fontId="38" fillId="0" borderId="103" xfId="30" applyNumberFormat="1" applyFont="1" applyFill="1" applyBorder="1" applyAlignment="1">
      <alignment horizontal="right" wrapText="1"/>
    </xf>
    <xf numFmtId="0" fontId="3" fillId="0" borderId="61" xfId="40" applyFont="1" applyFill="1" applyBorder="1" applyAlignment="1">
      <alignment horizontal="center" wrapText="1"/>
    </xf>
    <xf numFmtId="0" fontId="3" fillId="0" borderId="47" xfId="40" applyFont="1" applyFill="1" applyBorder="1" applyAlignment="1">
      <alignment horizontal="center" wrapText="1"/>
    </xf>
    <xf numFmtId="0" fontId="38" fillId="0" borderId="47" xfId="4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4" fontId="3" fillId="0" borderId="0" xfId="0" applyNumberFormat="1" applyFont="1" applyFill="1" applyAlignment="1">
      <alignment horizontal="center" vertical="center"/>
    </xf>
    <xf numFmtId="3" fontId="11" fillId="0" borderId="0" xfId="31" applyNumberFormat="1" applyFont="1"/>
    <xf numFmtId="3" fontId="11" fillId="0" borderId="0" xfId="31" applyNumberFormat="1" applyFont="1" applyAlignment="1">
      <alignment horizontal="center"/>
    </xf>
    <xf numFmtId="3" fontId="11" fillId="0" borderId="0" xfId="31" applyNumberFormat="1" applyFont="1" applyAlignment="1">
      <alignment horizontal="left" wrapText="1"/>
    </xf>
    <xf numFmtId="14" fontId="11" fillId="0" borderId="0" xfId="31" applyNumberFormat="1" applyFont="1" applyAlignment="1">
      <alignment horizontal="center"/>
    </xf>
    <xf numFmtId="3" fontId="7" fillId="0" borderId="6" xfId="0" applyNumberFormat="1" applyFont="1" applyBorder="1" applyAlignment="1">
      <alignment horizontal="center"/>
    </xf>
    <xf numFmtId="0" fontId="7" fillId="0" borderId="0" xfId="0" applyFont="1" applyAlignment="1"/>
    <xf numFmtId="3" fontId="39" fillId="0" borderId="16" xfId="40" applyNumberFormat="1" applyFont="1" applyFill="1" applyBorder="1" applyAlignment="1">
      <alignment horizontal="right"/>
    </xf>
    <xf numFmtId="3" fontId="39" fillId="0" borderId="16" xfId="30" applyNumberFormat="1" applyFont="1" applyFill="1" applyBorder="1" applyAlignment="1">
      <alignment horizontal="right" wrapText="1"/>
    </xf>
    <xf numFmtId="3" fontId="39" fillId="0" borderId="116" xfId="30" applyNumberFormat="1" applyFont="1" applyFill="1" applyBorder="1" applyAlignment="1">
      <alignment horizontal="right" wrapText="1"/>
    </xf>
    <xf numFmtId="3" fontId="39" fillId="0" borderId="106" xfId="30" applyNumberFormat="1" applyFont="1" applyFill="1" applyBorder="1" applyAlignment="1">
      <alignment horizontal="right" wrapText="1"/>
    </xf>
    <xf numFmtId="3" fontId="38" fillId="0" borderId="133" xfId="30" applyNumberFormat="1" applyFont="1" applyFill="1" applyBorder="1" applyAlignment="1">
      <alignment horizontal="right" wrapText="1"/>
    </xf>
    <xf numFmtId="3" fontId="39" fillId="0" borderId="103" xfId="30" applyNumberFormat="1" applyFont="1" applyFill="1" applyBorder="1" applyAlignment="1">
      <alignment horizontal="right" wrapText="1"/>
    </xf>
    <xf numFmtId="3" fontId="39" fillId="0" borderId="103" xfId="40" applyNumberFormat="1" applyFont="1" applyFill="1" applyBorder="1" applyAlignment="1">
      <alignment horizontal="right"/>
    </xf>
    <xf numFmtId="3" fontId="38" fillId="0" borderId="132" xfId="40" applyNumberFormat="1" applyFont="1" applyFill="1" applyBorder="1" applyAlignment="1">
      <alignment horizontal="right"/>
    </xf>
    <xf numFmtId="0" fontId="3" fillId="0" borderId="111" xfId="30" applyFont="1" applyFill="1" applyBorder="1" applyAlignment="1">
      <alignment horizontal="left" wrapText="1"/>
    </xf>
    <xf numFmtId="2" fontId="3" fillId="0" borderId="16" xfId="30" applyNumberFormat="1" applyFont="1" applyFill="1" applyBorder="1" applyAlignment="1">
      <alignment wrapText="1"/>
    </xf>
    <xf numFmtId="0" fontId="39" fillId="0" borderId="0" xfId="40" applyFont="1" applyFill="1" applyBorder="1" applyAlignment="1"/>
    <xf numFmtId="0" fontId="27" fillId="0" borderId="16" xfId="30" applyFont="1" applyFill="1" applyBorder="1" applyAlignment="1">
      <alignment horizontal="left"/>
    </xf>
    <xf numFmtId="0" fontId="3" fillId="0" borderId="47" xfId="40" applyFont="1" applyFill="1" applyBorder="1" applyAlignment="1">
      <alignment horizontal="center" vertical="top" wrapText="1"/>
    </xf>
    <xf numFmtId="3" fontId="39" fillId="0" borderId="16" xfId="30" applyNumberFormat="1" applyFont="1" applyFill="1" applyBorder="1" applyAlignment="1">
      <alignment horizontal="right"/>
    </xf>
    <xf numFmtId="0" fontId="3" fillId="0" borderId="16" xfId="40" applyFont="1" applyFill="1" applyBorder="1" applyAlignment="1">
      <alignment wrapText="1"/>
    </xf>
    <xf numFmtId="0" fontId="5" fillId="0" borderId="0" xfId="0" applyFont="1" applyFill="1" applyAlignment="1">
      <alignment horizontal="center" vertical="center"/>
    </xf>
    <xf numFmtId="3" fontId="13" fillId="0" borderId="0" xfId="0" applyNumberFormat="1" applyFont="1" applyFill="1" applyAlignment="1">
      <alignment horizontal="right" vertical="center"/>
    </xf>
    <xf numFmtId="0" fontId="3" fillId="0" borderId="0" xfId="0" applyFont="1" applyAlignment="1">
      <alignment horizontal="left" vertical="top"/>
    </xf>
    <xf numFmtId="0" fontId="30" fillId="0" borderId="16" xfId="30" applyFont="1" applyFill="1" applyBorder="1" applyAlignment="1">
      <alignment horizontal="left"/>
    </xf>
    <xf numFmtId="3" fontId="3" fillId="0" borderId="18" xfId="0" applyNumberFormat="1" applyFont="1" applyBorder="1"/>
    <xf numFmtId="3" fontId="6" fillId="0" borderId="18" xfId="0" applyNumberFormat="1" applyFont="1" applyFill="1" applyBorder="1" applyAlignment="1">
      <alignment vertical="center"/>
    </xf>
    <xf numFmtId="3" fontId="13" fillId="0" borderId="0" xfId="0" applyNumberFormat="1" applyFont="1" applyFill="1" applyAlignment="1">
      <alignment horizontal="right"/>
    </xf>
    <xf numFmtId="3" fontId="5" fillId="0" borderId="32" xfId="0" applyNumberFormat="1" applyFont="1" applyFill="1" applyBorder="1" applyAlignment="1">
      <alignment vertical="center"/>
    </xf>
    <xf numFmtId="0" fontId="3" fillId="0" borderId="0" xfId="17" applyFont="1" applyFill="1" applyBorder="1" applyAlignment="1" applyProtection="1">
      <alignment horizontal="center" vertical="center"/>
      <protection locked="0"/>
    </xf>
    <xf numFmtId="3" fontId="3" fillId="0" borderId="0" xfId="17" applyNumberFormat="1" applyFont="1" applyFill="1" applyBorder="1" applyAlignment="1" applyProtection="1">
      <alignment horizontal="center" vertical="center"/>
      <protection locked="0"/>
    </xf>
    <xf numFmtId="3" fontId="3" fillId="0" borderId="0" xfId="17" applyNumberFormat="1" applyFont="1" applyFill="1" applyBorder="1" applyAlignment="1" applyProtection="1">
      <protection locked="0"/>
    </xf>
    <xf numFmtId="3" fontId="3" fillId="0" borderId="0" xfId="17" applyNumberFormat="1" applyFont="1" applyFill="1" applyBorder="1" applyAlignment="1" applyProtection="1">
      <alignment horizontal="right"/>
      <protection locked="0"/>
    </xf>
    <xf numFmtId="0" fontId="3" fillId="0" borderId="0" xfId="17" applyFont="1" applyFill="1" applyBorder="1" applyProtection="1">
      <protection locked="0"/>
    </xf>
    <xf numFmtId="3" fontId="11" fillId="0" borderId="0" xfId="17" applyNumberFormat="1" applyFont="1" applyFill="1" applyBorder="1" applyAlignment="1" applyProtection="1">
      <alignment horizontal="left" vertical="top"/>
      <protection locked="0"/>
    </xf>
    <xf numFmtId="3" fontId="11" fillId="0" borderId="0" xfId="17" applyNumberFormat="1" applyFont="1" applyFill="1" applyBorder="1" applyAlignment="1" applyProtection="1">
      <alignment horizontal="center" vertical="top"/>
      <protection locked="0"/>
    </xf>
    <xf numFmtId="3" fontId="11" fillId="0" borderId="0" xfId="17" applyNumberFormat="1" applyFont="1" applyFill="1" applyBorder="1" applyAlignment="1" applyProtection="1">
      <alignment horizontal="center" vertical="center"/>
      <protection locked="0"/>
    </xf>
    <xf numFmtId="3" fontId="11" fillId="0" borderId="0" xfId="17" applyNumberFormat="1" applyFont="1" applyFill="1" applyBorder="1" applyAlignment="1" applyProtection="1">
      <protection locked="0"/>
    </xf>
    <xf numFmtId="0" fontId="3" fillId="0" borderId="21" xfId="40" applyFont="1" applyFill="1" applyBorder="1" applyAlignment="1">
      <alignment horizontal="center"/>
    </xf>
    <xf numFmtId="3" fontId="39" fillId="0" borderId="21" xfId="40" applyNumberFormat="1" applyFont="1" applyFill="1" applyBorder="1" applyAlignment="1">
      <alignment horizontal="right"/>
    </xf>
    <xf numFmtId="3" fontId="39" fillId="0" borderId="21" xfId="30" applyNumberFormat="1" applyFont="1" applyFill="1" applyBorder="1" applyAlignment="1">
      <alignment horizontal="right"/>
    </xf>
    <xf numFmtId="3" fontId="39" fillId="0" borderId="22" xfId="40" applyNumberFormat="1" applyFont="1" applyFill="1" applyBorder="1" applyAlignment="1">
      <alignment horizontal="right"/>
    </xf>
    <xf numFmtId="3" fontId="38" fillId="0" borderId="65" xfId="30" applyNumberFormat="1" applyFont="1" applyFill="1" applyBorder="1" applyAlignment="1">
      <alignment horizontal="right" wrapText="1"/>
    </xf>
    <xf numFmtId="3" fontId="38" fillId="0" borderId="21" xfId="30" applyNumberFormat="1" applyFont="1" applyFill="1" applyBorder="1" applyAlignment="1">
      <alignment horizontal="right" wrapText="1"/>
    </xf>
    <xf numFmtId="3" fontId="39" fillId="0" borderId="21" xfId="30" applyNumberFormat="1" applyFont="1" applyFill="1" applyBorder="1" applyAlignment="1">
      <alignment horizontal="right" wrapText="1"/>
    </xf>
    <xf numFmtId="3" fontId="38" fillId="0" borderId="153" xfId="30" applyNumberFormat="1" applyFont="1" applyFill="1" applyBorder="1" applyAlignment="1">
      <alignment horizontal="right" wrapText="1"/>
    </xf>
    <xf numFmtId="0" fontId="30" fillId="0" borderId="21" xfId="30" applyFont="1" applyFill="1" applyBorder="1" applyAlignment="1">
      <alignment horizontal="left"/>
    </xf>
    <xf numFmtId="3" fontId="38" fillId="0" borderId="154" xfId="40" applyNumberFormat="1" applyFont="1" applyFill="1" applyBorder="1" applyAlignment="1">
      <alignment horizontal="right"/>
    </xf>
    <xf numFmtId="3" fontId="38" fillId="0" borderId="129" xfId="40" applyNumberFormat="1" applyFont="1" applyFill="1" applyBorder="1" applyAlignment="1">
      <alignment horizontal="right"/>
    </xf>
    <xf numFmtId="3" fontId="3" fillId="0" borderId="154" xfId="40" applyNumberFormat="1" applyFont="1" applyFill="1" applyBorder="1" applyAlignment="1">
      <alignment horizontal="right"/>
    </xf>
    <xf numFmtId="0" fontId="3" fillId="0" borderId="42" xfId="40" applyFont="1" applyFill="1" applyBorder="1" applyAlignment="1">
      <alignment horizontal="center"/>
    </xf>
    <xf numFmtId="0" fontId="38" fillId="0" borderId="42" xfId="30" applyFont="1" applyFill="1" applyBorder="1" applyAlignment="1">
      <alignment horizontal="left"/>
    </xf>
    <xf numFmtId="3" fontId="39" fillId="0" borderId="42" xfId="30" applyNumberFormat="1" applyFont="1" applyFill="1" applyBorder="1" applyAlignment="1">
      <alignment horizontal="right"/>
    </xf>
    <xf numFmtId="0" fontId="38" fillId="0" borderId="145" xfId="40" applyFont="1" applyFill="1" applyBorder="1" applyAlignment="1">
      <alignment horizontal="center" wrapText="1"/>
    </xf>
    <xf numFmtId="3" fontId="38" fillId="0" borderId="115" xfId="30" applyNumberFormat="1" applyFont="1" applyFill="1" applyBorder="1" applyAlignment="1">
      <alignment horizontal="right" wrapText="1"/>
    </xf>
    <xf numFmtId="3" fontId="38" fillId="0" borderId="42" xfId="30" applyNumberFormat="1" applyFont="1" applyFill="1" applyBorder="1" applyAlignment="1">
      <alignment horizontal="right" wrapText="1"/>
    </xf>
    <xf numFmtId="3" fontId="39" fillId="0" borderId="42" xfId="30" applyNumberFormat="1" applyFont="1" applyFill="1" applyBorder="1" applyAlignment="1">
      <alignment horizontal="right" wrapText="1"/>
    </xf>
    <xf numFmtId="3" fontId="38" fillId="0" borderId="155" xfId="30" applyNumberFormat="1" applyFont="1" applyFill="1" applyBorder="1" applyAlignment="1">
      <alignment horizontal="right" wrapText="1"/>
    </xf>
    <xf numFmtId="0" fontId="38" fillId="0" borderId="135" xfId="30" applyFont="1" applyFill="1" applyBorder="1" applyAlignment="1"/>
    <xf numFmtId="3" fontId="3" fillId="0" borderId="42" xfId="40" applyNumberFormat="1" applyFont="1" applyFill="1" applyBorder="1" applyAlignment="1">
      <alignment horizontal="right"/>
    </xf>
    <xf numFmtId="3" fontId="3" fillId="0" borderId="42" xfId="30" applyNumberFormat="1" applyFont="1" applyFill="1" applyBorder="1" applyAlignment="1">
      <alignment horizontal="right"/>
    </xf>
    <xf numFmtId="3" fontId="3" fillId="0" borderId="143" xfId="40" applyNumberFormat="1" applyFont="1" applyFill="1" applyBorder="1" applyAlignment="1">
      <alignment horizontal="right"/>
    </xf>
    <xf numFmtId="0" fontId="3" fillId="0" borderId="145" xfId="40" applyFont="1" applyFill="1" applyBorder="1" applyAlignment="1">
      <alignment horizontal="center" wrapText="1"/>
    </xf>
    <xf numFmtId="3" fontId="3" fillId="0" borderId="115" xfId="30" applyNumberFormat="1" applyFont="1" applyFill="1" applyBorder="1" applyAlignment="1">
      <alignment horizontal="right" wrapText="1"/>
    </xf>
    <xf numFmtId="3" fontId="3" fillId="0" borderId="42" xfId="30" applyNumberFormat="1" applyFont="1" applyFill="1" applyBorder="1" applyAlignment="1">
      <alignment horizontal="right" wrapText="1"/>
    </xf>
    <xf numFmtId="3" fontId="3" fillId="0" borderId="16" xfId="27" applyNumberFormat="1" applyFont="1" applyFill="1" applyBorder="1" applyAlignment="1">
      <alignment horizontal="center" vertical="center"/>
    </xf>
    <xf numFmtId="3" fontId="3" fillId="0" borderId="0" xfId="27" applyNumberFormat="1" applyFont="1" applyFill="1" applyBorder="1" applyAlignment="1">
      <alignment horizontal="center" vertical="center"/>
    </xf>
    <xf numFmtId="0" fontId="33" fillId="0" borderId="0" xfId="39" applyFont="1" applyFill="1" applyBorder="1" applyAlignment="1">
      <alignment vertical="center"/>
    </xf>
    <xf numFmtId="3" fontId="5" fillId="0" borderId="16" xfId="39" applyNumberFormat="1" applyFont="1" applyFill="1" applyBorder="1" applyAlignment="1">
      <alignment vertical="center" wrapText="1"/>
    </xf>
    <xf numFmtId="0" fontId="40" fillId="0" borderId="0" xfId="0" applyFont="1" applyAlignment="1">
      <alignment horizontal="center" vertical="center"/>
    </xf>
    <xf numFmtId="0" fontId="40" fillId="0" borderId="5" xfId="0" applyFont="1" applyBorder="1" applyAlignment="1">
      <alignment horizontal="left" vertical="center" wrapText="1"/>
    </xf>
    <xf numFmtId="0" fontId="40" fillId="0" borderId="4" xfId="0" applyFont="1" applyBorder="1" applyAlignment="1">
      <alignment horizontal="left" vertical="center" wrapText="1"/>
    </xf>
    <xf numFmtId="0" fontId="42" fillId="0" borderId="4" xfId="0" applyFont="1" applyBorder="1" applyAlignment="1">
      <alignment horizontal="left" vertical="center" wrapText="1"/>
    </xf>
    <xf numFmtId="0" fontId="42" fillId="0" borderId="5" xfId="0" applyFont="1" applyBorder="1" applyAlignment="1">
      <alignment horizontal="left" vertical="center" wrapText="1"/>
    </xf>
    <xf numFmtId="3" fontId="11" fillId="0" borderId="0" xfId="31" applyNumberFormat="1" applyFont="1" applyAlignment="1">
      <alignment horizontal="center" wrapText="1"/>
    </xf>
    <xf numFmtId="3" fontId="11" fillId="0" borderId="0" xfId="31" applyNumberFormat="1" applyFont="1" applyBorder="1" applyAlignment="1">
      <alignment horizontal="center"/>
    </xf>
    <xf numFmtId="3" fontId="11" fillId="0" borderId="18" xfId="31" applyNumberFormat="1" applyFont="1" applyBorder="1" applyAlignment="1">
      <alignment horizontal="center" vertical="center" wrapText="1"/>
    </xf>
    <xf numFmtId="3" fontId="3" fillId="0" borderId="159" xfId="31" applyNumberFormat="1" applyFont="1" applyBorder="1" applyAlignment="1">
      <alignment horizontal="center" vertical="center" wrapText="1"/>
    </xf>
    <xf numFmtId="3" fontId="3" fillId="0" borderId="110" xfId="31" applyNumberFormat="1" applyFont="1" applyBorder="1" applyAlignment="1">
      <alignment horizontal="center" vertical="center" wrapText="1"/>
    </xf>
    <xf numFmtId="3" fontId="11" fillId="0" borderId="0" xfId="31" applyNumberFormat="1" applyFont="1" applyBorder="1" applyAlignment="1">
      <alignment horizontal="center" vertical="center" wrapText="1"/>
    </xf>
    <xf numFmtId="3" fontId="3" fillId="0" borderId="4" xfId="31" applyNumberFormat="1" applyFont="1" applyBorder="1" applyAlignment="1">
      <alignment horizontal="center" wrapText="1"/>
    </xf>
    <xf numFmtId="3" fontId="26" fillId="0" borderId="64" xfId="31" applyNumberFormat="1" applyFont="1" applyBorder="1" applyAlignment="1">
      <alignment horizontal="left"/>
    </xf>
    <xf numFmtId="3" fontId="3" fillId="0" borderId="63" xfId="31" applyNumberFormat="1" applyFont="1" applyBorder="1" applyAlignment="1">
      <alignment horizontal="center" wrapText="1"/>
    </xf>
    <xf numFmtId="14" fontId="3" fillId="0" borderId="131" xfId="31" applyNumberFormat="1" applyFont="1" applyBorder="1" applyAlignment="1">
      <alignment horizontal="center" vertical="center" wrapText="1"/>
    </xf>
    <xf numFmtId="3" fontId="3" fillId="0" borderId="0" xfId="31" applyNumberFormat="1" applyFont="1" applyBorder="1" applyAlignment="1">
      <alignment horizontal="center" vertical="center" wrapText="1"/>
    </xf>
    <xf numFmtId="3" fontId="3" fillId="0" borderId="160" xfId="31" applyNumberFormat="1" applyFont="1" applyBorder="1" applyAlignment="1">
      <alignment horizontal="center" vertical="center" wrapText="1"/>
    </xf>
    <xf numFmtId="3" fontId="3" fillId="0" borderId="116" xfId="31" applyNumberFormat="1" applyFont="1" applyBorder="1" applyAlignment="1">
      <alignment horizontal="center" vertical="center" wrapText="1"/>
    </xf>
    <xf numFmtId="0" fontId="3" fillId="0" borderId="106" xfId="31" applyNumberFormat="1" applyFont="1" applyBorder="1" applyAlignment="1">
      <alignment horizontal="center" vertical="center" wrapText="1"/>
    </xf>
    <xf numFmtId="3" fontId="3" fillId="0" borderId="133" xfId="31" applyNumberFormat="1" applyFont="1" applyBorder="1" applyAlignment="1">
      <alignment horizontal="center" vertical="center" wrapText="1"/>
    </xf>
    <xf numFmtId="3" fontId="3" fillId="0" borderId="106" xfId="31" applyNumberFormat="1" applyFont="1" applyBorder="1" applyAlignment="1">
      <alignment horizontal="center" vertical="center" wrapText="1"/>
    </xf>
    <xf numFmtId="3" fontId="3" fillId="0" borderId="161" xfId="31" applyNumberFormat="1" applyFont="1" applyBorder="1" applyAlignment="1">
      <alignment horizontal="center" vertical="center" wrapText="1"/>
    </xf>
    <xf numFmtId="3" fontId="3" fillId="0" borderId="16" xfId="31" applyNumberFormat="1" applyFont="1" applyBorder="1" applyAlignment="1">
      <alignment horizontal="left" vertical="center" wrapText="1"/>
    </xf>
    <xf numFmtId="14" fontId="3" fillId="0" borderId="132" xfId="31" applyNumberFormat="1" applyFont="1" applyBorder="1" applyAlignment="1">
      <alignment horizontal="center" vertical="center" wrapText="1"/>
    </xf>
    <xf numFmtId="3" fontId="3" fillId="0" borderId="47" xfId="31" applyNumberFormat="1" applyFont="1" applyBorder="1" applyAlignment="1">
      <alignment horizontal="right" vertical="center" wrapText="1"/>
    </xf>
    <xf numFmtId="3" fontId="3" fillId="0" borderId="103" xfId="31" applyNumberFormat="1" applyFont="1" applyBorder="1" applyAlignment="1">
      <alignment horizontal="right" vertical="center" wrapText="1"/>
    </xf>
    <xf numFmtId="3" fontId="3" fillId="0" borderId="16" xfId="31" applyNumberFormat="1" applyFont="1" applyBorder="1" applyAlignment="1">
      <alignment horizontal="right" vertical="center" wrapText="1"/>
    </xf>
    <xf numFmtId="3" fontId="3" fillId="0" borderId="132" xfId="31" applyNumberFormat="1" applyFont="1" applyBorder="1" applyAlignment="1">
      <alignment horizontal="right" vertical="center" wrapText="1"/>
    </xf>
    <xf numFmtId="3" fontId="3" fillId="0" borderId="17" xfId="31" applyNumberFormat="1" applyFont="1" applyFill="1" applyBorder="1" applyAlignment="1">
      <alignment horizontal="right" vertical="center" wrapText="1"/>
    </xf>
    <xf numFmtId="3" fontId="3" fillId="0" borderId="16" xfId="31" applyNumberFormat="1" applyFont="1" applyBorder="1" applyAlignment="1">
      <alignment horizontal="center" vertical="top" wrapText="1"/>
    </xf>
    <xf numFmtId="3" fontId="3" fillId="0" borderId="16" xfId="31" applyNumberFormat="1" applyFont="1" applyFill="1" applyBorder="1" applyAlignment="1">
      <alignment horizontal="left" vertical="center" wrapText="1"/>
    </xf>
    <xf numFmtId="3" fontId="3" fillId="0" borderId="61" xfId="31" applyNumberFormat="1" applyFont="1" applyBorder="1" applyAlignment="1">
      <alignment horizontal="right" vertical="center" wrapText="1"/>
    </xf>
    <xf numFmtId="3" fontId="3" fillId="0" borderId="65" xfId="31" applyNumberFormat="1" applyFont="1" applyBorder="1" applyAlignment="1">
      <alignment horizontal="right" vertical="center" wrapText="1"/>
    </xf>
    <xf numFmtId="3" fontId="3" fillId="0" borderId="47" xfId="31" applyNumberFormat="1" applyFont="1" applyFill="1" applyBorder="1" applyAlignment="1">
      <alignment horizontal="right" vertical="center" wrapText="1"/>
    </xf>
    <xf numFmtId="3" fontId="3" fillId="0" borderId="16" xfId="31" applyNumberFormat="1" applyFont="1" applyFill="1" applyBorder="1" applyAlignment="1">
      <alignment horizontal="right" vertical="center" wrapText="1"/>
    </xf>
    <xf numFmtId="3" fontId="3" fillId="0" borderId="16" xfId="31" applyNumberFormat="1" applyFont="1" applyBorder="1" applyAlignment="1">
      <alignment horizontal="center" vertical="center" wrapText="1"/>
    </xf>
    <xf numFmtId="0" fontId="3" fillId="0" borderId="63" xfId="0" applyFont="1" applyFill="1" applyBorder="1" applyAlignment="1">
      <alignment vertical="center" wrapText="1"/>
    </xf>
    <xf numFmtId="3" fontId="3" fillId="0" borderId="61" xfId="31" applyNumberFormat="1" applyFont="1" applyFill="1" applyBorder="1" applyAlignment="1">
      <alignment horizontal="right" vertical="center" wrapText="1"/>
    </xf>
    <xf numFmtId="3" fontId="3" fillId="0" borderId="65" xfId="31" applyNumberFormat="1" applyFont="1" applyFill="1" applyBorder="1" applyAlignment="1">
      <alignment horizontal="right" vertical="center" wrapText="1"/>
    </xf>
    <xf numFmtId="0" fontId="3" fillId="0" borderId="16" xfId="0" applyFont="1" applyFill="1" applyBorder="1" applyAlignment="1">
      <alignment wrapText="1"/>
    </xf>
    <xf numFmtId="3" fontId="3" fillId="0" borderId="64" xfId="31" applyNumberFormat="1" applyFont="1" applyBorder="1" applyAlignment="1">
      <alignment horizontal="center" vertical="center" wrapText="1"/>
    </xf>
    <xf numFmtId="0" fontId="3" fillId="0" borderId="63" xfId="31" applyNumberFormat="1" applyFont="1" applyBorder="1" applyAlignment="1">
      <alignment horizontal="center" vertical="center" wrapText="1"/>
    </xf>
    <xf numFmtId="3" fontId="3" fillId="0" borderId="162" xfId="31" applyNumberFormat="1" applyFont="1" applyBorder="1" applyAlignment="1">
      <alignment horizontal="center" vertical="center" wrapText="1"/>
    </xf>
    <xf numFmtId="3" fontId="3" fillId="0" borderId="163" xfId="31" applyNumberFormat="1" applyFont="1" applyBorder="1" applyAlignment="1">
      <alignment horizontal="center" vertical="center" wrapText="1"/>
    </xf>
    <xf numFmtId="3" fontId="3" fillId="0" borderId="63" xfId="31" applyNumberFormat="1" applyFont="1" applyBorder="1" applyAlignment="1">
      <alignment horizontal="center" vertical="center" wrapText="1"/>
    </xf>
    <xf numFmtId="3" fontId="3" fillId="0" borderId="44" xfId="31" applyNumberFormat="1" applyFont="1" applyFill="1" applyBorder="1" applyAlignment="1">
      <alignment horizontal="center" vertical="center" wrapText="1"/>
    </xf>
    <xf numFmtId="14" fontId="3" fillId="0" borderId="164" xfId="31" applyNumberFormat="1" applyFont="1" applyBorder="1" applyAlignment="1">
      <alignment horizontal="center" vertical="center" wrapText="1"/>
    </xf>
    <xf numFmtId="3" fontId="3" fillId="0" borderId="148" xfId="31" applyNumberFormat="1" applyFont="1" applyBorder="1" applyAlignment="1">
      <alignment horizontal="right" vertical="center" wrapText="1"/>
    </xf>
    <xf numFmtId="3" fontId="3" fillId="0" borderId="142" xfId="31" applyNumberFormat="1" applyFont="1" applyBorder="1" applyAlignment="1">
      <alignment horizontal="right" vertical="center" wrapText="1"/>
    </xf>
    <xf numFmtId="3" fontId="5" fillId="0" borderId="134" xfId="31" applyNumberFormat="1" applyFont="1" applyBorder="1" applyAlignment="1">
      <alignment horizontal="right" vertical="center"/>
    </xf>
    <xf numFmtId="3" fontId="5" fillId="0" borderId="60" xfId="31" applyNumberFormat="1" applyFont="1" applyBorder="1" applyAlignment="1">
      <alignment horizontal="right" vertical="center"/>
    </xf>
    <xf numFmtId="3" fontId="5" fillId="0" borderId="25" xfId="31" applyNumberFormat="1" applyFont="1" applyBorder="1" applyAlignment="1">
      <alignment horizontal="right" vertical="center"/>
    </xf>
    <xf numFmtId="3" fontId="13" fillId="0" borderId="15" xfId="0" applyNumberFormat="1" applyFont="1" applyFill="1" applyBorder="1" applyAlignment="1">
      <alignment horizontal="center"/>
    </xf>
    <xf numFmtId="3" fontId="13" fillId="0" borderId="16" xfId="37" applyNumberFormat="1" applyFont="1" applyFill="1" applyBorder="1" applyAlignment="1">
      <alignment horizontal="center"/>
    </xf>
    <xf numFmtId="3" fontId="13" fillId="0" borderId="20" xfId="0" applyNumberFormat="1" applyFont="1" applyFill="1" applyBorder="1" applyAlignment="1"/>
    <xf numFmtId="3" fontId="13" fillId="0" borderId="17" xfId="0" applyNumberFormat="1" applyFont="1" applyFill="1" applyBorder="1" applyAlignment="1"/>
    <xf numFmtId="3" fontId="17" fillId="0" borderId="0" xfId="0" applyNumberFormat="1" applyFont="1" applyFill="1" applyAlignment="1">
      <alignment horizontal="right"/>
    </xf>
    <xf numFmtId="3" fontId="17" fillId="0" borderId="0" xfId="0" applyNumberFormat="1" applyFont="1" applyFill="1" applyAlignment="1"/>
    <xf numFmtId="3" fontId="35" fillId="0" borderId="0" xfId="0" applyNumberFormat="1" applyFont="1" applyFill="1" applyAlignment="1">
      <alignment horizontal="right"/>
    </xf>
    <xf numFmtId="3" fontId="35" fillId="0" borderId="0" xfId="0" applyNumberFormat="1" applyFont="1" applyFill="1" applyAlignment="1"/>
    <xf numFmtId="3" fontId="34" fillId="0" borderId="103" xfId="27" applyNumberFormat="1" applyFont="1" applyFill="1" applyBorder="1" applyAlignment="1">
      <alignment horizontal="right"/>
    </xf>
    <xf numFmtId="3" fontId="34" fillId="0" borderId="16" xfId="0" applyNumberFormat="1" applyFont="1" applyFill="1" applyBorder="1" applyAlignment="1">
      <alignment horizontal="right" wrapText="1"/>
    </xf>
    <xf numFmtId="3" fontId="34" fillId="0" borderId="17" xfId="0" applyNumberFormat="1" applyFont="1" applyFill="1" applyBorder="1" applyAlignment="1">
      <alignment horizontal="right" wrapText="1"/>
    </xf>
    <xf numFmtId="3" fontId="35" fillId="0" borderId="103" xfId="27" applyNumberFormat="1" applyFont="1" applyFill="1" applyBorder="1" applyAlignment="1">
      <alignment horizontal="right"/>
    </xf>
    <xf numFmtId="3" fontId="34" fillId="0" borderId="16" xfId="0" applyNumberFormat="1" applyFont="1" applyFill="1" applyBorder="1" applyAlignment="1">
      <alignment horizontal="right" vertical="center" wrapText="1"/>
    </xf>
    <xf numFmtId="3" fontId="34" fillId="0" borderId="15" xfId="27" applyNumberFormat="1" applyFont="1" applyFill="1" applyBorder="1" applyAlignment="1">
      <alignment horizontal="center" vertical="center"/>
    </xf>
    <xf numFmtId="3" fontId="34" fillId="0" borderId="16" xfId="27" applyNumberFormat="1" applyFont="1" applyFill="1" applyBorder="1" applyAlignment="1">
      <alignment horizontal="center" vertical="center"/>
    </xf>
    <xf numFmtId="3" fontId="34" fillId="0" borderId="21" xfId="27" applyNumberFormat="1" applyFont="1" applyFill="1" applyBorder="1" applyAlignment="1">
      <alignment wrapText="1"/>
    </xf>
    <xf numFmtId="3" fontId="34" fillId="0" borderId="16" xfId="27" applyNumberFormat="1" applyFont="1" applyFill="1" applyBorder="1" applyAlignment="1">
      <alignment horizontal="right"/>
    </xf>
    <xf numFmtId="3" fontId="34" fillId="0" borderId="20" xfId="27" applyNumberFormat="1" applyFont="1" applyFill="1" applyBorder="1" applyAlignment="1">
      <alignment horizontal="right"/>
    </xf>
    <xf numFmtId="3" fontId="34" fillId="0" borderId="47" xfId="27" applyNumberFormat="1" applyFont="1" applyFill="1" applyBorder="1" applyAlignment="1">
      <alignment horizontal="center"/>
    </xf>
    <xf numFmtId="3" fontId="38" fillId="0" borderId="0" xfId="27" applyNumberFormat="1" applyFont="1" applyFill="1" applyAlignment="1">
      <alignment horizontal="center" vertical="center"/>
    </xf>
    <xf numFmtId="3" fontId="34" fillId="0" borderId="21" xfId="27" applyNumberFormat="1" applyFont="1" applyFill="1" applyBorder="1" applyAlignment="1">
      <alignment horizontal="right"/>
    </xf>
    <xf numFmtId="3" fontId="34" fillId="0" borderId="22" xfId="27" applyNumberFormat="1" applyFont="1" applyFill="1" applyBorder="1" applyAlignment="1">
      <alignment horizontal="right"/>
    </xf>
    <xf numFmtId="3" fontId="34" fillId="0" borderId="61" xfId="27" applyNumberFormat="1" applyFont="1" applyFill="1" applyBorder="1" applyAlignment="1">
      <alignment horizontal="center"/>
    </xf>
    <xf numFmtId="3" fontId="34" fillId="0" borderId="21" xfId="0" applyNumberFormat="1" applyFont="1" applyFill="1" applyBorder="1" applyAlignment="1">
      <alignment horizontal="right" wrapText="1"/>
    </xf>
    <xf numFmtId="3" fontId="34" fillId="0" borderId="26" xfId="0" applyNumberFormat="1" applyFont="1" applyFill="1" applyBorder="1" applyAlignment="1">
      <alignment horizontal="right" wrapText="1"/>
    </xf>
    <xf numFmtId="3" fontId="38" fillId="0" borderId="0" xfId="27" applyNumberFormat="1" applyFont="1" applyFill="1" applyAlignment="1">
      <alignment horizontal="center"/>
    </xf>
    <xf numFmtId="3" fontId="35" fillId="0" borderId="15" xfId="27" applyNumberFormat="1" applyFont="1" applyFill="1" applyBorder="1" applyAlignment="1">
      <alignment horizontal="center" vertical="center"/>
    </xf>
    <xf numFmtId="3" fontId="35" fillId="0" borderId="21" xfId="27" applyNumberFormat="1" applyFont="1" applyFill="1" applyBorder="1" applyAlignment="1">
      <alignment horizontal="left" wrapText="1" indent="4"/>
    </xf>
    <xf numFmtId="3" fontId="35" fillId="0" borderId="16" xfId="27" applyNumberFormat="1" applyFont="1" applyFill="1" applyBorder="1" applyAlignment="1">
      <alignment horizontal="right"/>
    </xf>
    <xf numFmtId="3" fontId="35" fillId="0" borderId="20" xfId="27" applyNumberFormat="1" applyFont="1" applyFill="1" applyBorder="1" applyAlignment="1">
      <alignment horizontal="right"/>
    </xf>
    <xf numFmtId="3" fontId="35" fillId="0" borderId="47" xfId="27" applyNumberFormat="1" applyFont="1" applyFill="1" applyBorder="1" applyAlignment="1">
      <alignment horizontal="center"/>
    </xf>
    <xf numFmtId="3" fontId="35" fillId="0" borderId="16" xfId="0" applyNumberFormat="1" applyFont="1" applyFill="1" applyBorder="1" applyAlignment="1">
      <alignment horizontal="right" wrapText="1"/>
    </xf>
    <xf numFmtId="3" fontId="35" fillId="0" borderId="17" xfId="0" applyNumberFormat="1" applyFont="1" applyFill="1" applyBorder="1" applyAlignment="1">
      <alignment horizontal="right" wrapText="1"/>
    </xf>
    <xf numFmtId="3" fontId="43" fillId="0" borderId="0" xfId="27" applyNumberFormat="1" applyFont="1" applyFill="1" applyAlignment="1">
      <alignment horizontal="center" vertical="center"/>
    </xf>
    <xf numFmtId="3" fontId="43" fillId="0" borderId="0" xfId="27" applyNumberFormat="1" applyFont="1" applyFill="1" applyBorder="1" applyAlignment="1">
      <alignment horizontal="center" vertical="center"/>
    </xf>
    <xf numFmtId="3" fontId="43" fillId="0" borderId="16" xfId="27" applyNumberFormat="1" applyFont="1" applyFill="1" applyBorder="1" applyAlignment="1">
      <alignment horizontal="center" vertical="center"/>
    </xf>
    <xf numFmtId="3" fontId="35" fillId="0" borderId="21" xfId="27" applyNumberFormat="1" applyFont="1" applyFill="1" applyBorder="1" applyAlignment="1">
      <alignment horizontal="left" vertical="top" wrapText="1" indent="4"/>
    </xf>
    <xf numFmtId="3" fontId="34" fillId="0" borderId="23" xfId="27" applyNumberFormat="1" applyFont="1" applyFill="1" applyBorder="1" applyAlignment="1">
      <alignment horizontal="center" vertical="center"/>
    </xf>
    <xf numFmtId="3" fontId="35" fillId="0" borderId="0" xfId="27" applyNumberFormat="1" applyFont="1" applyFill="1" applyAlignment="1">
      <alignment horizontal="center" vertical="center"/>
    </xf>
    <xf numFmtId="3" fontId="34" fillId="0" borderId="0" xfId="27" applyNumberFormat="1" applyFont="1" applyFill="1" applyAlignment="1">
      <alignment horizontal="center" vertical="center"/>
    </xf>
    <xf numFmtId="3" fontId="34" fillId="0" borderId="21" xfId="27" applyNumberFormat="1" applyFont="1" applyFill="1" applyBorder="1" applyAlignment="1">
      <alignment horizontal="left" wrapText="1" indent="2"/>
    </xf>
    <xf numFmtId="3" fontId="35" fillId="0" borderId="23" xfId="27" applyNumberFormat="1" applyFont="1" applyFill="1" applyBorder="1" applyAlignment="1">
      <alignment horizontal="center" vertical="center"/>
    </xf>
    <xf numFmtId="3" fontId="35" fillId="0" borderId="21" xfId="27" applyNumberFormat="1" applyFont="1" applyFill="1" applyBorder="1" applyAlignment="1">
      <alignment horizontal="right"/>
    </xf>
    <xf numFmtId="3" fontId="35" fillId="0" borderId="22" xfId="27" applyNumberFormat="1" applyFont="1" applyFill="1" applyBorder="1" applyAlignment="1">
      <alignment horizontal="right"/>
    </xf>
    <xf numFmtId="3" fontId="35" fillId="0" borderId="21" xfId="0" applyNumberFormat="1" applyFont="1" applyFill="1" applyBorder="1" applyAlignment="1">
      <alignment horizontal="right" wrapText="1"/>
    </xf>
    <xf numFmtId="3" fontId="35" fillId="0" borderId="26" xfId="0" applyNumberFormat="1" applyFont="1" applyFill="1" applyBorder="1" applyAlignment="1">
      <alignment horizontal="right" wrapText="1"/>
    </xf>
    <xf numFmtId="3" fontId="35" fillId="0" borderId="61" xfId="27" applyNumberFormat="1" applyFont="1" applyFill="1" applyBorder="1" applyAlignment="1">
      <alignment horizontal="center"/>
    </xf>
    <xf numFmtId="3" fontId="35" fillId="0" borderId="23" xfId="27" applyNumberFormat="1" applyFont="1" applyFill="1" applyBorder="1" applyAlignment="1">
      <alignment horizontal="center"/>
    </xf>
    <xf numFmtId="3" fontId="34" fillId="0" borderId="16" xfId="27" applyNumberFormat="1" applyFont="1" applyFill="1" applyBorder="1" applyAlignment="1">
      <alignment horizontal="center"/>
    </xf>
    <xf numFmtId="3" fontId="34" fillId="0" borderId="103" xfId="0" applyNumberFormat="1" applyFont="1" applyFill="1" applyBorder="1" applyAlignment="1"/>
    <xf numFmtId="3" fontId="38" fillId="0" borderId="0" xfId="27" applyNumberFormat="1" applyFont="1" applyFill="1" applyAlignment="1"/>
    <xf numFmtId="3" fontId="34" fillId="0" borderId="139" xfId="27" applyNumberFormat="1" applyFont="1" applyFill="1" applyBorder="1" applyAlignment="1">
      <alignment horizontal="center" vertical="center"/>
    </xf>
    <xf numFmtId="3" fontId="34" fillId="0" borderId="140" xfId="27" applyNumberFormat="1" applyFont="1" applyFill="1" applyBorder="1" applyAlignment="1">
      <alignment horizontal="center" vertical="center"/>
    </xf>
    <xf numFmtId="3" fontId="34" fillId="0" borderId="148" xfId="27" applyNumberFormat="1" applyFont="1" applyFill="1" applyBorder="1" applyAlignment="1">
      <alignment horizontal="center"/>
    </xf>
    <xf numFmtId="3" fontId="44" fillId="0" borderId="0" xfId="27" applyNumberFormat="1" applyFont="1" applyFill="1" applyAlignment="1">
      <alignment horizontal="center" vertical="center"/>
    </xf>
    <xf numFmtId="3" fontId="44" fillId="0" borderId="0" xfId="27" applyNumberFormat="1" applyFont="1" applyFill="1" applyBorder="1"/>
    <xf numFmtId="14" fontId="3" fillId="0" borderId="132" xfId="31" applyNumberFormat="1" applyFont="1" applyFill="1" applyBorder="1" applyAlignment="1">
      <alignment horizontal="center" vertical="center" wrapText="1"/>
    </xf>
    <xf numFmtId="3" fontId="13" fillId="0" borderId="15" xfId="0" applyNumberFormat="1" applyFont="1" applyFill="1" applyBorder="1" applyAlignment="1">
      <alignment horizontal="center" vertical="top"/>
    </xf>
    <xf numFmtId="3" fontId="13" fillId="0" borderId="103" xfId="0" applyNumberFormat="1" applyFont="1" applyFill="1" applyBorder="1" applyAlignment="1">
      <alignment horizontal="center"/>
    </xf>
    <xf numFmtId="3" fontId="13" fillId="0" borderId="16" xfId="37" applyNumberFormat="1" applyFont="1" applyFill="1" applyBorder="1" applyAlignment="1">
      <alignment horizontal="center" vertical="top" wrapText="1"/>
    </xf>
    <xf numFmtId="3" fontId="13" fillId="0" borderId="20" xfId="0" applyNumberFormat="1" applyFont="1" applyFill="1" applyBorder="1" applyAlignment="1">
      <alignment vertical="top"/>
    </xf>
    <xf numFmtId="0" fontId="5" fillId="0" borderId="0" xfId="40" applyFont="1" applyFill="1" applyBorder="1" applyAlignment="1">
      <alignment horizontal="center" vertical="center"/>
    </xf>
    <xf numFmtId="0" fontId="6" fillId="0" borderId="0" xfId="40" applyFont="1" applyFill="1" applyBorder="1" applyAlignment="1">
      <alignment horizontal="center" vertical="center"/>
    </xf>
    <xf numFmtId="0" fontId="3" fillId="0" borderId="0" xfId="22" applyFont="1" applyFill="1" applyBorder="1" applyAlignment="1">
      <alignment horizontal="center"/>
    </xf>
    <xf numFmtId="0" fontId="3" fillId="0" borderId="0" xfId="22" applyFont="1" applyFill="1" applyBorder="1" applyAlignment="1"/>
    <xf numFmtId="0" fontId="3" fillId="0" borderId="16" xfId="30" applyFont="1" applyFill="1" applyBorder="1" applyAlignment="1">
      <alignment horizontal="left" shrinkToFit="1"/>
    </xf>
    <xf numFmtId="0" fontId="3" fillId="0" borderId="111" xfId="30" applyFont="1" applyFill="1" applyBorder="1" applyAlignment="1">
      <alignment shrinkToFit="1"/>
    </xf>
    <xf numFmtId="0" fontId="3" fillId="0" borderId="16" xfId="40" applyFont="1" applyFill="1" applyBorder="1" applyAlignment="1">
      <alignment horizontal="center" vertical="center"/>
    </xf>
    <xf numFmtId="3" fontId="5" fillId="0" borderId="17" xfId="39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wrapText="1"/>
    </xf>
    <xf numFmtId="0" fontId="33" fillId="0" borderId="4" xfId="0" applyFont="1" applyFill="1" applyBorder="1" applyAlignment="1">
      <alignment horizontal="center" vertical="top"/>
    </xf>
    <xf numFmtId="3" fontId="11" fillId="0" borderId="0" xfId="40" applyNumberFormat="1" applyFont="1" applyAlignment="1" applyProtection="1">
      <alignment horizontal="center" vertical="center"/>
      <protection locked="0"/>
    </xf>
    <xf numFmtId="0" fontId="11" fillId="0" borderId="23" xfId="41" applyFont="1" applyBorder="1" applyAlignment="1" applyProtection="1">
      <alignment horizontal="center"/>
      <protection locked="0"/>
    </xf>
    <xf numFmtId="3" fontId="25" fillId="0" borderId="21" xfId="37" applyNumberFormat="1" applyFont="1" applyBorder="1" applyAlignment="1" applyProtection="1">
      <alignment horizontal="left"/>
      <protection locked="0"/>
    </xf>
    <xf numFmtId="0" fontId="25" fillId="0" borderId="21" xfId="40" applyFont="1" applyBorder="1" applyAlignment="1" applyProtection="1">
      <alignment horizontal="left" wrapText="1"/>
      <protection locked="0"/>
    </xf>
    <xf numFmtId="0" fontId="11" fillId="0" borderId="21" xfId="41" applyFont="1" applyBorder="1" applyAlignment="1" applyProtection="1">
      <alignment horizontal="center"/>
      <protection locked="0"/>
    </xf>
    <xf numFmtId="3" fontId="11" fillId="0" borderId="21" xfId="41" applyNumberFormat="1" applyFont="1" applyBorder="1" applyProtection="1">
      <protection locked="0"/>
    </xf>
    <xf numFmtId="3" fontId="11" fillId="0" borderId="21" xfId="40" applyNumberFormat="1" applyFont="1" applyBorder="1" applyProtection="1">
      <protection locked="0"/>
    </xf>
    <xf numFmtId="3" fontId="11" fillId="0" borderId="22" xfId="40" applyNumberFormat="1" applyFont="1" applyBorder="1" applyAlignment="1" applyProtection="1">
      <alignment horizontal="right"/>
      <protection locked="0"/>
    </xf>
    <xf numFmtId="0" fontId="11" fillId="0" borderId="0" xfId="40" applyFont="1" applyAlignment="1" applyProtection="1">
      <alignment horizontal="left"/>
      <protection locked="0"/>
    </xf>
    <xf numFmtId="0" fontId="11" fillId="0" borderId="0" xfId="40" applyFont="1" applyAlignment="1" applyProtection="1">
      <alignment horizontal="center" vertical="center"/>
      <protection locked="0"/>
    </xf>
    <xf numFmtId="3" fontId="11" fillId="0" borderId="16" xfId="37" applyNumberFormat="1" applyFont="1" applyBorder="1" applyAlignment="1" applyProtection="1">
      <alignment horizontal="center" vertical="top"/>
      <protection locked="0"/>
    </xf>
    <xf numFmtId="0" fontId="11" fillId="0" borderId="16" xfId="40" applyFont="1" applyBorder="1" applyAlignment="1" applyProtection="1">
      <alignment horizontal="left" wrapText="1"/>
      <protection locked="0"/>
    </xf>
    <xf numFmtId="3" fontId="11" fillId="0" borderId="21" xfId="41" applyNumberFormat="1" applyFont="1" applyBorder="1" applyAlignment="1" applyProtection="1">
      <alignment vertical="center"/>
      <protection locked="0"/>
    </xf>
    <xf numFmtId="3" fontId="11" fillId="0" borderId="21" xfId="40" applyNumberFormat="1" applyFont="1" applyBorder="1" applyAlignment="1" applyProtection="1">
      <alignment vertical="center"/>
      <protection locked="0"/>
    </xf>
    <xf numFmtId="3" fontId="11" fillId="0" borderId="22" xfId="40" applyNumberFormat="1" applyFont="1" applyBorder="1" applyAlignment="1" applyProtection="1">
      <alignment horizontal="right" vertical="center"/>
      <protection locked="0"/>
    </xf>
    <xf numFmtId="0" fontId="11" fillId="0" borderId="0" xfId="40" applyFont="1" applyProtection="1">
      <protection locked="0"/>
    </xf>
    <xf numFmtId="3" fontId="11" fillId="0" borderId="16" xfId="37" applyNumberFormat="1" applyFont="1" applyBorder="1" applyAlignment="1" applyProtection="1">
      <alignment horizontal="center"/>
      <protection locked="0"/>
    </xf>
    <xf numFmtId="0" fontId="11" fillId="0" borderId="21" xfId="40" applyFont="1" applyBorder="1" applyAlignment="1" applyProtection="1">
      <alignment horizontal="left" wrapText="1"/>
      <protection locked="0"/>
    </xf>
    <xf numFmtId="0" fontId="17" fillId="0" borderId="16" xfId="40" applyFont="1" applyBorder="1" applyProtection="1">
      <protection locked="0"/>
    </xf>
    <xf numFmtId="0" fontId="17" fillId="0" borderId="21" xfId="41" applyFont="1" applyBorder="1" applyAlignment="1" applyProtection="1">
      <alignment horizontal="left"/>
      <protection locked="0"/>
    </xf>
    <xf numFmtId="3" fontId="25" fillId="0" borderId="16" xfId="37" applyNumberFormat="1" applyFont="1" applyBorder="1" applyAlignment="1" applyProtection="1">
      <alignment horizontal="left"/>
      <protection locked="0"/>
    </xf>
    <xf numFmtId="0" fontId="17" fillId="0" borderId="16" xfId="40" applyFont="1" applyBorder="1" applyAlignment="1" applyProtection="1">
      <alignment horizontal="left"/>
      <protection locked="0"/>
    </xf>
    <xf numFmtId="3" fontId="14" fillId="0" borderId="21" xfId="41" applyNumberFormat="1" applyFont="1" applyBorder="1" applyProtection="1">
      <protection locked="0"/>
    </xf>
    <xf numFmtId="3" fontId="11" fillId="0" borderId="22" xfId="40" applyNumberFormat="1" applyFont="1" applyBorder="1" applyAlignment="1" applyProtection="1">
      <alignment horizontal="left"/>
      <protection locked="0"/>
    </xf>
    <xf numFmtId="0" fontId="14" fillId="0" borderId="16" xfId="40" applyFont="1" applyBorder="1" applyAlignment="1" applyProtection="1">
      <alignment wrapText="1"/>
      <protection locked="0"/>
    </xf>
    <xf numFmtId="0" fontId="31" fillId="0" borderId="16" xfId="40" applyFont="1" applyBorder="1" applyAlignment="1" applyProtection="1">
      <alignment horizontal="left"/>
      <protection locked="0"/>
    </xf>
    <xf numFmtId="0" fontId="11" fillId="0" borderId="23" xfId="41" applyFont="1" applyBorder="1" applyAlignment="1" applyProtection="1">
      <alignment horizontal="center" vertical="top"/>
      <protection locked="0"/>
    </xf>
    <xf numFmtId="0" fontId="11" fillId="0" borderId="16" xfId="40" applyFont="1" applyBorder="1" applyAlignment="1" applyProtection="1">
      <alignment horizontal="left" vertical="top" wrapText="1"/>
      <protection locked="0"/>
    </xf>
    <xf numFmtId="0" fontId="11" fillId="0" borderId="21" xfId="41" applyFont="1" applyBorder="1" applyAlignment="1" applyProtection="1">
      <alignment horizontal="center" vertical="top"/>
      <protection locked="0"/>
    </xf>
    <xf numFmtId="3" fontId="11" fillId="0" borderId="21" xfId="41" applyNumberFormat="1" applyFont="1" applyBorder="1" applyAlignment="1" applyProtection="1">
      <alignment horizontal="center" vertical="top"/>
      <protection locked="0"/>
    </xf>
    <xf numFmtId="3" fontId="11" fillId="0" borderId="21" xfId="40" applyNumberFormat="1" applyFont="1" applyBorder="1" applyAlignment="1" applyProtection="1">
      <alignment horizontal="right"/>
      <protection locked="0"/>
    </xf>
    <xf numFmtId="0" fontId="11" fillId="0" borderId="0" xfId="40" applyFont="1" applyAlignment="1" applyProtection="1">
      <alignment vertical="top"/>
      <protection locked="0"/>
    </xf>
    <xf numFmtId="0" fontId="11" fillId="0" borderId="21" xfId="40" applyFont="1" applyBorder="1" applyAlignment="1" applyProtection="1">
      <alignment horizontal="left" vertical="top" wrapText="1"/>
      <protection locked="0"/>
    </xf>
    <xf numFmtId="3" fontId="11" fillId="0" borderId="21" xfId="41" applyNumberFormat="1" applyFont="1" applyBorder="1" applyAlignment="1" applyProtection="1">
      <alignment horizontal="right"/>
      <protection locked="0"/>
    </xf>
    <xf numFmtId="3" fontId="25" fillId="0" borderId="21" xfId="0" applyNumberFormat="1" applyFont="1" applyBorder="1" applyAlignment="1" applyProtection="1">
      <alignment horizontal="left"/>
      <protection locked="0"/>
    </xf>
    <xf numFmtId="0" fontId="11" fillId="0" borderId="15" xfId="41" applyFont="1" applyBorder="1" applyAlignment="1" applyProtection="1">
      <alignment horizontal="center"/>
      <protection locked="0"/>
    </xf>
    <xf numFmtId="0" fontId="11" fillId="0" borderId="16" xfId="41" applyFont="1" applyBorder="1" applyAlignment="1" applyProtection="1">
      <alignment horizontal="center"/>
      <protection locked="0"/>
    </xf>
    <xf numFmtId="3" fontId="11" fillId="0" borderId="16" xfId="41" applyNumberFormat="1" applyFont="1" applyBorder="1" applyAlignment="1" applyProtection="1">
      <alignment vertical="center"/>
      <protection locked="0"/>
    </xf>
    <xf numFmtId="3" fontId="11" fillId="0" borderId="16" xfId="40" applyNumberFormat="1" applyFont="1" applyBorder="1" applyAlignment="1" applyProtection="1">
      <alignment vertical="center"/>
      <protection locked="0"/>
    </xf>
    <xf numFmtId="3" fontId="11" fillId="0" borderId="20" xfId="40" applyNumberFormat="1" applyFont="1" applyBorder="1" applyAlignment="1" applyProtection="1">
      <alignment horizontal="right" vertical="center"/>
      <protection locked="0"/>
    </xf>
    <xf numFmtId="3" fontId="25" fillId="0" borderId="22" xfId="0" applyNumberFormat="1" applyFont="1" applyBorder="1" applyAlignment="1" applyProtection="1">
      <alignment horizontal="left"/>
      <protection locked="0"/>
    </xf>
    <xf numFmtId="3" fontId="11" fillId="0" borderId="21" xfId="37" applyNumberFormat="1" applyFont="1" applyBorder="1" applyAlignment="1" applyProtection="1">
      <alignment horizontal="center"/>
      <protection locked="0"/>
    </xf>
    <xf numFmtId="3" fontId="3" fillId="0" borderId="0" xfId="31" applyNumberFormat="1" applyFont="1" applyAlignment="1">
      <alignment horizontal="left" wrapText="1"/>
    </xf>
    <xf numFmtId="3" fontId="5" fillId="0" borderId="0" xfId="27" applyNumberFormat="1" applyFont="1" applyFill="1" applyAlignment="1">
      <alignment horizontal="center"/>
    </xf>
    <xf numFmtId="3" fontId="5" fillId="0" borderId="0" xfId="27" applyNumberFormat="1" applyFont="1" applyFill="1" applyAlignment="1">
      <alignment horizontal="center" vertical="center"/>
    </xf>
    <xf numFmtId="3" fontId="38" fillId="0" borderId="42" xfId="30" applyNumberFormat="1" applyFont="1" applyFill="1" applyBorder="1" applyAlignment="1">
      <alignment horizontal="right"/>
    </xf>
    <xf numFmtId="3" fontId="38" fillId="0" borderId="143" xfId="40" applyNumberFormat="1" applyFont="1" applyFill="1" applyBorder="1" applyAlignment="1">
      <alignment horizontal="right"/>
    </xf>
    <xf numFmtId="3" fontId="3" fillId="0" borderId="65" xfId="30" applyNumberFormat="1" applyFont="1" applyFill="1" applyBorder="1" applyAlignment="1">
      <alignment horizontal="right" wrapText="1"/>
    </xf>
    <xf numFmtId="3" fontId="3" fillId="0" borderId="21" xfId="30" applyNumberFormat="1" applyFont="1" applyFill="1" applyBorder="1" applyAlignment="1">
      <alignment horizontal="right" wrapText="1"/>
    </xf>
    <xf numFmtId="3" fontId="5" fillId="0" borderId="153" xfId="30" applyNumberFormat="1" applyFont="1" applyFill="1" applyBorder="1" applyAlignment="1">
      <alignment horizontal="right" wrapText="1"/>
    </xf>
    <xf numFmtId="3" fontId="3" fillId="0" borderId="115" xfId="40" applyNumberFormat="1" applyFont="1" applyFill="1" applyBorder="1" applyAlignment="1">
      <alignment horizontal="right"/>
    </xf>
    <xf numFmtId="3" fontId="3" fillId="0" borderId="65" xfId="40" applyNumberFormat="1" applyFont="1" applyFill="1" applyBorder="1" applyAlignment="1">
      <alignment horizontal="right"/>
    </xf>
    <xf numFmtId="3" fontId="5" fillId="0" borderId="153" xfId="40" applyNumberFormat="1" applyFont="1" applyFill="1" applyBorder="1" applyAlignment="1">
      <alignment horizontal="right"/>
    </xf>
    <xf numFmtId="3" fontId="3" fillId="0" borderId="0" xfId="31" applyNumberFormat="1" applyFont="1" applyAlignment="1">
      <alignment horizontal="center" vertical="center"/>
    </xf>
    <xf numFmtId="3" fontId="33" fillId="0" borderId="16" xfId="31" applyNumberFormat="1" applyFont="1" applyBorder="1" applyAlignment="1">
      <alignment horizontal="right" vertical="center" wrapText="1"/>
    </xf>
    <xf numFmtId="3" fontId="3" fillId="0" borderId="109" xfId="31" applyNumberFormat="1" applyFont="1" applyFill="1" applyBorder="1" applyAlignment="1">
      <alignment horizontal="center" vertical="center" wrapText="1"/>
    </xf>
    <xf numFmtId="3" fontId="3" fillId="0" borderId="16" xfId="31" applyNumberFormat="1" applyFont="1" applyFill="1" applyBorder="1" applyAlignment="1">
      <alignment horizontal="center" vertical="center" wrapText="1"/>
    </xf>
    <xf numFmtId="3" fontId="3" fillId="0" borderId="35" xfId="31" applyNumberFormat="1" applyFont="1" applyFill="1" applyBorder="1" applyAlignment="1">
      <alignment horizontal="right" vertical="center" wrapText="1"/>
    </xf>
    <xf numFmtId="3" fontId="3" fillId="0" borderId="132" xfId="31" applyNumberFormat="1" applyFont="1" applyFill="1" applyBorder="1" applyAlignment="1">
      <alignment horizontal="right" vertical="center" wrapText="1"/>
    </xf>
    <xf numFmtId="3" fontId="33" fillId="0" borderId="16" xfId="31" applyNumberFormat="1" applyFont="1" applyFill="1" applyBorder="1" applyAlignment="1">
      <alignment horizontal="right" vertical="center" wrapText="1"/>
    </xf>
    <xf numFmtId="3" fontId="3" fillId="0" borderId="0" xfId="31" applyNumberFormat="1" applyFont="1" applyFill="1"/>
    <xf numFmtId="3" fontId="3" fillId="0" borderId="16" xfId="31" applyNumberFormat="1" applyFont="1" applyFill="1" applyBorder="1" applyAlignment="1">
      <alignment horizontal="center" vertical="top" wrapText="1"/>
    </xf>
    <xf numFmtId="3" fontId="3" fillId="0" borderId="15" xfId="31" applyNumberFormat="1" applyFont="1" applyFill="1" applyBorder="1" applyAlignment="1">
      <alignment horizontal="center" vertical="center" wrapText="1"/>
    </xf>
    <xf numFmtId="0" fontId="3" fillId="0" borderId="16" xfId="30" applyFont="1" applyFill="1" applyBorder="1" applyAlignment="1">
      <alignment vertical="center"/>
    </xf>
    <xf numFmtId="3" fontId="3" fillId="0" borderId="0" xfId="31" applyNumberFormat="1" applyFont="1" applyBorder="1" applyAlignment="1">
      <alignment horizontal="right" vertical="center" wrapText="1"/>
    </xf>
    <xf numFmtId="3" fontId="3" fillId="0" borderId="65" xfId="31" applyNumberFormat="1" applyFont="1" applyFill="1" applyBorder="1" applyAlignment="1">
      <alignment horizontal="center" vertical="center" wrapText="1"/>
    </xf>
    <xf numFmtId="3" fontId="3" fillId="0" borderId="123" xfId="31" applyNumberFormat="1" applyFont="1" applyBorder="1" applyAlignment="1">
      <alignment horizontal="right" vertical="center" wrapText="1"/>
    </xf>
    <xf numFmtId="3" fontId="3" fillId="0" borderId="21" xfId="31" applyNumberFormat="1" applyFont="1" applyBorder="1" applyAlignment="1">
      <alignment horizontal="right" vertical="center" wrapText="1"/>
    </xf>
    <xf numFmtId="14" fontId="3" fillId="0" borderId="153" xfId="31" applyNumberFormat="1" applyFont="1" applyBorder="1" applyAlignment="1">
      <alignment horizontal="center" vertical="center" wrapText="1"/>
    </xf>
    <xf numFmtId="3" fontId="3" fillId="0" borderId="225" xfId="31" applyNumberFormat="1" applyFont="1" applyBorder="1" applyAlignment="1">
      <alignment horizontal="center" vertical="center" wrapText="1"/>
    </xf>
    <xf numFmtId="14" fontId="3" fillId="0" borderId="155" xfId="31" applyNumberFormat="1" applyFont="1" applyBorder="1" applyAlignment="1">
      <alignment horizontal="center" vertical="center" wrapText="1"/>
    </xf>
    <xf numFmtId="3" fontId="3" fillId="0" borderId="226" xfId="31" applyNumberFormat="1" applyFont="1" applyBorder="1" applyAlignment="1">
      <alignment horizontal="right" vertical="center" wrapText="1"/>
    </xf>
    <xf numFmtId="3" fontId="3" fillId="0" borderId="145" xfId="31" applyNumberFormat="1" applyFont="1" applyBorder="1" applyAlignment="1">
      <alignment horizontal="right" vertical="center" wrapText="1"/>
    </xf>
    <xf numFmtId="3" fontId="3" fillId="0" borderId="115" xfId="31" applyNumberFormat="1" applyFont="1" applyBorder="1" applyAlignment="1">
      <alignment horizontal="right" vertical="center" wrapText="1"/>
    </xf>
    <xf numFmtId="3" fontId="3" fillId="0" borderId="42" xfId="31" applyNumberFormat="1" applyFont="1" applyBorder="1" applyAlignment="1">
      <alignment horizontal="right" vertical="center" wrapText="1"/>
    </xf>
    <xf numFmtId="3" fontId="3" fillId="0" borderId="155" xfId="31" applyNumberFormat="1" applyFont="1" applyBorder="1" applyAlignment="1">
      <alignment horizontal="right" vertical="center" wrapText="1"/>
    </xf>
    <xf numFmtId="3" fontId="3" fillId="0" borderId="43" xfId="31" applyNumberFormat="1" applyFont="1" applyBorder="1" applyAlignment="1">
      <alignment horizontal="right" vertical="center" wrapText="1"/>
    </xf>
    <xf numFmtId="3" fontId="3" fillId="0" borderId="63" xfId="31" applyNumberFormat="1" applyFont="1" applyBorder="1" applyAlignment="1">
      <alignment horizontal="left" vertical="center" wrapText="1"/>
    </xf>
    <xf numFmtId="3" fontId="3" fillId="0" borderId="62" xfId="31" applyNumberFormat="1" applyFont="1" applyBorder="1" applyAlignment="1">
      <alignment horizontal="center" vertical="center" wrapText="1"/>
    </xf>
    <xf numFmtId="3" fontId="3" fillId="0" borderId="139" xfId="31" applyNumberFormat="1" applyFont="1" applyBorder="1" applyAlignment="1">
      <alignment horizontal="center" vertical="center" wrapText="1"/>
    </xf>
    <xf numFmtId="3" fontId="3" fillId="0" borderId="140" xfId="31" applyNumberFormat="1" applyFont="1" applyBorder="1" applyAlignment="1">
      <alignment horizontal="center" vertical="center" wrapText="1"/>
    </xf>
    <xf numFmtId="3" fontId="3" fillId="0" borderId="42" xfId="31" applyNumberFormat="1" applyFont="1" applyBorder="1" applyAlignment="1">
      <alignment horizontal="left" vertical="center" wrapText="1"/>
    </xf>
    <xf numFmtId="3" fontId="3" fillId="0" borderId="227" xfId="31" applyNumberFormat="1" applyFont="1" applyBorder="1" applyAlignment="1">
      <alignment horizontal="right" vertical="center" wrapText="1"/>
    </xf>
    <xf numFmtId="3" fontId="3" fillId="0" borderId="140" xfId="31" applyNumberFormat="1" applyFont="1" applyBorder="1" applyAlignment="1">
      <alignment horizontal="right" vertical="center" wrapText="1"/>
    </xf>
    <xf numFmtId="0" fontId="3" fillId="0" borderId="0" xfId="0" applyFont="1" applyFill="1" applyBorder="1" applyAlignment="1"/>
    <xf numFmtId="0" fontId="3" fillId="0" borderId="16" xfId="30" applyFont="1" applyFill="1" applyBorder="1" applyAlignment="1">
      <alignment vertical="center" wrapText="1"/>
    </xf>
    <xf numFmtId="0" fontId="3" fillId="0" borderId="16" xfId="30" applyFont="1" applyFill="1" applyBorder="1" applyAlignment="1">
      <alignment vertical="center" shrinkToFit="1"/>
    </xf>
    <xf numFmtId="0" fontId="3" fillId="0" borderId="63" xfId="40" applyFont="1" applyFill="1" applyBorder="1" applyAlignment="1">
      <alignment horizontal="center"/>
    </xf>
    <xf numFmtId="3" fontId="5" fillId="0" borderId="63" xfId="40" applyNumberFormat="1" applyFont="1" applyFill="1" applyBorder="1" applyAlignment="1">
      <alignment horizontal="right"/>
    </xf>
    <xf numFmtId="3" fontId="5" fillId="0" borderId="64" xfId="40" applyNumberFormat="1" applyFont="1" applyFill="1" applyBorder="1" applyAlignment="1">
      <alignment horizontal="right"/>
    </xf>
    <xf numFmtId="0" fontId="5" fillId="0" borderId="62" xfId="40" applyFont="1" applyFill="1" applyBorder="1" applyAlignment="1">
      <alignment horizontal="center"/>
    </xf>
    <xf numFmtId="3" fontId="5" fillId="0" borderId="16" xfId="40" applyNumberFormat="1" applyFont="1" applyFill="1" applyBorder="1" applyAlignment="1">
      <alignment horizontal="right"/>
    </xf>
    <xf numFmtId="3" fontId="3" fillId="0" borderId="228" xfId="40" applyNumberFormat="1" applyFont="1" applyFill="1" applyBorder="1" applyAlignment="1">
      <alignment horizontal="right"/>
    </xf>
    <xf numFmtId="3" fontId="5" fillId="0" borderId="103" xfId="40" applyNumberFormat="1" applyFont="1" applyFill="1" applyBorder="1" applyAlignment="1">
      <alignment horizontal="right"/>
    </xf>
    <xf numFmtId="3" fontId="5" fillId="0" borderId="42" xfId="40" applyNumberFormat="1" applyFont="1" applyFill="1" applyBorder="1" applyAlignment="1">
      <alignment horizontal="right"/>
    </xf>
    <xf numFmtId="3" fontId="5" fillId="0" borderId="155" xfId="40" applyNumberFormat="1" applyFont="1" applyFill="1" applyBorder="1" applyAlignment="1">
      <alignment horizontal="right"/>
    </xf>
    <xf numFmtId="3" fontId="5" fillId="0" borderId="115" xfId="40" applyNumberFormat="1" applyFont="1" applyFill="1" applyBorder="1" applyAlignment="1">
      <alignment horizontal="right"/>
    </xf>
    <xf numFmtId="3" fontId="3" fillId="0" borderId="229" xfId="40" applyNumberFormat="1" applyFont="1" applyFill="1" applyBorder="1" applyAlignment="1">
      <alignment horizontal="right"/>
    </xf>
    <xf numFmtId="3" fontId="3" fillId="0" borderId="153" xfId="40" applyNumberFormat="1" applyFont="1" applyFill="1" applyBorder="1" applyAlignment="1">
      <alignment horizontal="right"/>
    </xf>
    <xf numFmtId="0" fontId="3" fillId="0" borderId="65" xfId="40" applyFont="1" applyFill="1" applyBorder="1" applyAlignment="1">
      <alignment horizontal="center" wrapText="1"/>
    </xf>
    <xf numFmtId="3" fontId="3" fillId="0" borderId="158" xfId="40" applyNumberFormat="1" applyFont="1" applyFill="1" applyBorder="1" applyAlignment="1">
      <alignment horizontal="right"/>
    </xf>
    <xf numFmtId="3" fontId="5" fillId="0" borderId="21" xfId="40" applyNumberFormat="1" applyFont="1" applyFill="1" applyBorder="1" applyAlignment="1">
      <alignment horizontal="right"/>
    </xf>
    <xf numFmtId="3" fontId="5" fillId="0" borderId="162" xfId="40" applyNumberFormat="1" applyFont="1" applyFill="1" applyBorder="1" applyAlignment="1">
      <alignment horizontal="right"/>
    </xf>
    <xf numFmtId="3" fontId="3" fillId="0" borderId="18" xfId="40" applyNumberFormat="1" applyFont="1" applyFill="1" applyBorder="1" applyAlignment="1">
      <alignment horizontal="right"/>
    </xf>
    <xf numFmtId="3" fontId="3" fillId="0" borderId="0" xfId="29" applyNumberFormat="1" applyFont="1" applyAlignment="1">
      <alignment horizontal="right" vertical="center"/>
    </xf>
    <xf numFmtId="3" fontId="3" fillId="0" borderId="15" xfId="27" applyNumberFormat="1" applyFont="1" applyFill="1" applyBorder="1" applyAlignment="1">
      <alignment horizontal="center"/>
    </xf>
    <xf numFmtId="3" fontId="3" fillId="0" borderId="16" xfId="27" applyNumberFormat="1" applyFont="1" applyFill="1" applyBorder="1"/>
    <xf numFmtId="3" fontId="3" fillId="0" borderId="47" xfId="27" applyNumberFormat="1" applyFont="1" applyFill="1" applyBorder="1" applyAlignment="1">
      <alignment horizontal="center"/>
    </xf>
    <xf numFmtId="0" fontId="26" fillId="0" borderId="16" xfId="30" applyFont="1" applyFill="1" applyBorder="1" applyAlignment="1">
      <alignment vertical="center" wrapText="1"/>
    </xf>
    <xf numFmtId="3" fontId="11" fillId="0" borderId="228" xfId="40" applyNumberFormat="1" applyFont="1" applyFill="1" applyBorder="1" applyAlignment="1">
      <alignment horizontal="right" vertical="center"/>
    </xf>
    <xf numFmtId="3" fontId="46" fillId="0" borderId="16" xfId="0" applyNumberFormat="1" applyFont="1" applyFill="1" applyBorder="1" applyAlignment="1">
      <alignment horizontal="right" wrapText="1"/>
    </xf>
    <xf numFmtId="3" fontId="46" fillId="0" borderId="17" xfId="0" applyNumberFormat="1" applyFont="1" applyFill="1" applyBorder="1" applyAlignment="1">
      <alignment horizontal="right" wrapText="1"/>
    </xf>
    <xf numFmtId="3" fontId="34" fillId="0" borderId="65" xfId="27" applyNumberFormat="1" applyFont="1" applyFill="1" applyBorder="1" applyAlignment="1">
      <alignment horizontal="right"/>
    </xf>
    <xf numFmtId="3" fontId="46" fillId="0" borderId="21" xfId="0" applyNumberFormat="1" applyFont="1" applyFill="1" applyBorder="1" applyAlignment="1">
      <alignment horizontal="right" wrapText="1"/>
    </xf>
    <xf numFmtId="3" fontId="46" fillId="0" borderId="26" xfId="0" applyNumberFormat="1" applyFont="1" applyFill="1" applyBorder="1" applyAlignment="1">
      <alignment horizontal="right" wrapText="1"/>
    </xf>
    <xf numFmtId="3" fontId="34" fillId="0" borderId="103" xfId="27" applyNumberFormat="1" applyFont="1" applyFill="1" applyBorder="1" applyAlignment="1">
      <alignment horizontal="right" vertical="center"/>
    </xf>
    <xf numFmtId="3" fontId="46" fillId="0" borderId="16" xfId="0" applyNumberFormat="1" applyFont="1" applyFill="1" applyBorder="1" applyAlignment="1">
      <alignment horizontal="right" vertical="center" wrapText="1"/>
    </xf>
    <xf numFmtId="3" fontId="46" fillId="0" borderId="17" xfId="0" applyNumberFormat="1" applyFont="1" applyFill="1" applyBorder="1" applyAlignment="1">
      <alignment horizontal="right" vertical="center" wrapText="1"/>
    </xf>
    <xf numFmtId="3" fontId="47" fillId="0" borderId="16" xfId="0" applyNumberFormat="1" applyFont="1" applyFill="1" applyBorder="1" applyAlignment="1">
      <alignment horizontal="right" wrapText="1"/>
    </xf>
    <xf numFmtId="3" fontId="47" fillId="0" borderId="17" xfId="0" applyNumberFormat="1" applyFont="1" applyFill="1" applyBorder="1" applyAlignment="1">
      <alignment horizontal="right" wrapText="1"/>
    </xf>
    <xf numFmtId="3" fontId="35" fillId="0" borderId="103" xfId="27" applyNumberFormat="1" applyFont="1" applyFill="1" applyBorder="1" applyAlignment="1">
      <alignment horizontal="right" vertical="center"/>
    </xf>
    <xf numFmtId="3" fontId="47" fillId="0" borderId="16" xfId="0" applyNumberFormat="1" applyFont="1" applyFill="1" applyBorder="1" applyAlignment="1">
      <alignment horizontal="right" vertical="center" wrapText="1"/>
    </xf>
    <xf numFmtId="3" fontId="47" fillId="0" borderId="17" xfId="0" applyNumberFormat="1" applyFont="1" applyFill="1" applyBorder="1" applyAlignment="1">
      <alignment horizontal="right" vertical="center" wrapText="1"/>
    </xf>
    <xf numFmtId="3" fontId="47" fillId="0" borderId="21" xfId="0" applyNumberFormat="1" applyFont="1" applyFill="1" applyBorder="1" applyAlignment="1">
      <alignment horizontal="right" wrapText="1"/>
    </xf>
    <xf numFmtId="3" fontId="47" fillId="0" borderId="26" xfId="0" applyNumberFormat="1" applyFont="1" applyFill="1" applyBorder="1" applyAlignment="1">
      <alignment horizontal="right" wrapText="1"/>
    </xf>
    <xf numFmtId="3" fontId="38" fillId="0" borderId="16" xfId="27" applyNumberFormat="1" applyFont="1" applyFill="1" applyBorder="1"/>
    <xf numFmtId="3" fontId="39" fillId="0" borderId="16" xfId="27" applyNumberFormat="1" applyFont="1" applyFill="1" applyBorder="1"/>
    <xf numFmtId="3" fontId="39" fillId="0" borderId="17" xfId="27" applyNumberFormat="1" applyFont="1" applyFill="1" applyBorder="1"/>
    <xf numFmtId="3" fontId="46" fillId="0" borderId="14" xfId="0" applyNumberFormat="1" applyFont="1" applyFill="1" applyBorder="1" applyAlignment="1">
      <alignment horizontal="right" wrapText="1"/>
    </xf>
    <xf numFmtId="3" fontId="34" fillId="0" borderId="65" xfId="0" applyNumberFormat="1" applyFont="1" applyFill="1" applyBorder="1" applyAlignment="1">
      <alignment horizontal="right"/>
    </xf>
    <xf numFmtId="3" fontId="38" fillId="0" borderId="103" xfId="40" applyNumberFormat="1" applyFont="1" applyFill="1" applyBorder="1" applyAlignment="1">
      <alignment horizontal="right"/>
    </xf>
    <xf numFmtId="3" fontId="14" fillId="0" borderId="103" xfId="0" applyNumberFormat="1" applyFont="1" applyFill="1" applyBorder="1" applyAlignment="1">
      <alignment horizontal="center" vertical="center"/>
    </xf>
    <xf numFmtId="3" fontId="14" fillId="0" borderId="16" xfId="0" applyNumberFormat="1" applyFont="1" applyFill="1" applyBorder="1" applyAlignment="1">
      <alignment vertical="center"/>
    </xf>
    <xf numFmtId="3" fontId="14" fillId="0" borderId="115" xfId="0" applyNumberFormat="1" applyFont="1" applyFill="1" applyBorder="1" applyAlignment="1">
      <alignment horizontal="center" vertical="center"/>
    </xf>
    <xf numFmtId="3" fontId="14" fillId="0" borderId="42" xfId="0" applyNumberFormat="1" applyFont="1" applyFill="1" applyBorder="1" applyAlignment="1">
      <alignment vertical="center"/>
    </xf>
    <xf numFmtId="3" fontId="14" fillId="0" borderId="97" xfId="0" applyNumberFormat="1" applyFont="1" applyFill="1" applyBorder="1" applyAlignment="1">
      <alignment horizontal="center" vertical="center"/>
    </xf>
    <xf numFmtId="3" fontId="14" fillId="0" borderId="97" xfId="0" applyNumberFormat="1" applyFont="1" applyFill="1" applyBorder="1" applyAlignment="1">
      <alignment vertical="center"/>
    </xf>
    <xf numFmtId="3" fontId="14" fillId="0" borderId="16" xfId="37" applyNumberFormat="1" applyFont="1" applyFill="1" applyBorder="1" applyAlignment="1">
      <alignment horizontal="center" vertical="center"/>
    </xf>
    <xf numFmtId="3" fontId="14" fillId="0" borderId="140" xfId="0" applyNumberFormat="1" applyFont="1" applyFill="1" applyBorder="1" applyAlignment="1">
      <alignment vertical="center"/>
    </xf>
    <xf numFmtId="3" fontId="14" fillId="0" borderId="16" xfId="0" applyNumberFormat="1" applyFont="1" applyFill="1" applyBorder="1" applyAlignment="1">
      <alignment horizontal="center"/>
    </xf>
    <xf numFmtId="3" fontId="14" fillId="0" borderId="16" xfId="0" applyNumberFormat="1" applyFont="1" applyFill="1" applyBorder="1" applyAlignment="1"/>
    <xf numFmtId="3" fontId="14" fillId="0" borderId="16" xfId="37" applyNumberFormat="1" applyFont="1" applyFill="1" applyBorder="1" applyAlignment="1">
      <alignment horizontal="center"/>
    </xf>
    <xf numFmtId="0" fontId="48" fillId="0" borderId="4" xfId="0" applyFont="1" applyBorder="1" applyAlignment="1">
      <alignment horizontal="left" wrapText="1"/>
    </xf>
    <xf numFmtId="3" fontId="48" fillId="0" borderId="0" xfId="0" applyNumberFormat="1" applyFont="1" applyBorder="1" applyAlignment="1">
      <alignment horizontal="right"/>
    </xf>
    <xf numFmtId="10" fontId="48" fillId="0" borderId="18" xfId="44" applyNumberFormat="1" applyFont="1" applyBorder="1" applyAlignment="1"/>
    <xf numFmtId="3" fontId="5" fillId="0" borderId="0" xfId="44" applyNumberFormat="1" applyFont="1" applyBorder="1" applyAlignment="1"/>
    <xf numFmtId="3" fontId="5" fillId="0" borderId="0" xfId="0" applyNumberFormat="1" applyFont="1" applyAlignment="1"/>
    <xf numFmtId="0" fontId="5" fillId="0" borderId="0" xfId="0" applyFont="1" applyAlignment="1"/>
    <xf numFmtId="0" fontId="49" fillId="0" borderId="4" xfId="29" applyFont="1" applyBorder="1" applyAlignment="1">
      <alignment horizontal="left" vertical="center" wrapText="1" indent="2"/>
    </xf>
    <xf numFmtId="3" fontId="49" fillId="0" borderId="0" xfId="29" applyNumberFormat="1" applyFont="1" applyBorder="1" applyAlignment="1">
      <alignment vertical="center"/>
    </xf>
    <xf numFmtId="10" fontId="49" fillId="0" borderId="18" xfId="44" applyNumberFormat="1" applyFont="1" applyBorder="1" applyAlignment="1">
      <alignment vertical="center"/>
    </xf>
    <xf numFmtId="0" fontId="48" fillId="0" borderId="4" xfId="29" applyFont="1" applyBorder="1" applyAlignment="1">
      <alignment wrapText="1"/>
    </xf>
    <xf numFmtId="3" fontId="48" fillId="0" borderId="0" xfId="29" applyNumberFormat="1" applyFont="1" applyBorder="1" applyAlignment="1"/>
    <xf numFmtId="0" fontId="48" fillId="0" borderId="4" xfId="29" applyFont="1" applyFill="1" applyBorder="1" applyAlignment="1">
      <alignment wrapText="1"/>
    </xf>
    <xf numFmtId="3" fontId="48" fillId="0" borderId="0" xfId="29" applyNumberFormat="1" applyFont="1" applyFill="1" applyBorder="1" applyAlignment="1"/>
    <xf numFmtId="10" fontId="48" fillId="0" borderId="18" xfId="44" applyNumberFormat="1" applyFont="1" applyFill="1" applyBorder="1" applyAlignment="1"/>
    <xf numFmtId="3" fontId="5" fillId="0" borderId="0" xfId="44" applyNumberFormat="1" applyFont="1" applyFill="1" applyBorder="1" applyAlignment="1"/>
    <xf numFmtId="0" fontId="5" fillId="0" borderId="0" xfId="29" applyFont="1" applyFill="1" applyAlignment="1"/>
    <xf numFmtId="0" fontId="49" fillId="0" borderId="4" xfId="29" applyFont="1" applyFill="1" applyBorder="1" applyAlignment="1">
      <alignment horizontal="left" vertical="center" wrapText="1" indent="2"/>
    </xf>
    <xf numFmtId="3" fontId="49" fillId="0" borderId="0" xfId="29" applyNumberFormat="1" applyFont="1" applyFill="1" applyBorder="1" applyAlignment="1">
      <alignment vertical="center"/>
    </xf>
    <xf numFmtId="10" fontId="49" fillId="0" borderId="18" xfId="44" applyNumberFormat="1" applyFont="1" applyFill="1" applyBorder="1" applyAlignment="1">
      <alignment vertical="center"/>
    </xf>
    <xf numFmtId="3" fontId="3" fillId="0" borderId="65" xfId="40" applyNumberFormat="1" applyFont="1" applyFill="1" applyBorder="1" applyAlignment="1">
      <alignment horizontal="center"/>
    </xf>
    <xf numFmtId="3" fontId="3" fillId="2" borderId="0" xfId="27" applyNumberFormat="1" applyFont="1" applyFill="1" applyAlignment="1">
      <alignment horizontal="center" vertical="center"/>
    </xf>
    <xf numFmtId="3" fontId="3" fillId="2" borderId="0" xfId="27" applyNumberFormat="1" applyFont="1" applyFill="1" applyAlignment="1">
      <alignment horizont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7" applyFont="1" applyFill="1" applyBorder="1" applyAlignment="1">
      <alignment horizontal="left" vertical="center"/>
    </xf>
    <xf numFmtId="0" fontId="5" fillId="0" borderId="0" xfId="32" applyFont="1" applyFill="1" applyBorder="1" applyAlignment="1">
      <alignment horizontal="center" vertical="center"/>
    </xf>
    <xf numFmtId="0" fontId="3" fillId="0" borderId="0" xfId="32" applyFont="1" applyFill="1" applyBorder="1" applyAlignment="1">
      <alignment horizontal="center" vertical="center" wrapText="1"/>
    </xf>
    <xf numFmtId="3" fontId="47" fillId="0" borderId="21" xfId="27" applyNumberFormat="1" applyFont="1" applyFill="1" applyBorder="1" applyAlignment="1">
      <alignment horizontal="left" vertical="top" wrapText="1" indent="4"/>
    </xf>
    <xf numFmtId="3" fontId="3" fillId="0" borderId="16" xfId="3" applyNumberFormat="1" applyFont="1" applyFill="1" applyBorder="1" applyAlignment="1">
      <alignment horizontal="right" vertical="center"/>
    </xf>
    <xf numFmtId="3" fontId="3" fillId="0" borderId="17" xfId="3" applyNumberFormat="1" applyFont="1" applyFill="1" applyBorder="1" applyAlignment="1">
      <alignment horizontal="right" vertical="center"/>
    </xf>
    <xf numFmtId="3" fontId="3" fillId="0" borderId="42" xfId="3" applyNumberFormat="1" applyFont="1" applyFill="1" applyBorder="1" applyAlignment="1">
      <alignment horizontal="right" vertical="center"/>
    </xf>
    <xf numFmtId="3" fontId="3" fillId="0" borderId="43" xfId="3" applyNumberFormat="1" applyFont="1" applyFill="1" applyBorder="1" applyAlignment="1">
      <alignment horizontal="right" vertical="center"/>
    </xf>
    <xf numFmtId="0" fontId="3" fillId="0" borderId="230" xfId="36" applyFont="1" applyFill="1" applyBorder="1" applyAlignment="1">
      <alignment horizontal="center" vertical="top"/>
    </xf>
    <xf numFmtId="14" fontId="3" fillId="3" borderId="42" xfId="36" applyNumberFormat="1" applyFont="1" applyFill="1" applyBorder="1" applyAlignment="1">
      <alignment horizontal="center" vertical="center"/>
    </xf>
    <xf numFmtId="0" fontId="3" fillId="0" borderId="231" xfId="36" applyFont="1" applyFill="1" applyBorder="1" applyAlignment="1">
      <alignment horizontal="center" vertical="top"/>
    </xf>
    <xf numFmtId="14" fontId="3" fillId="3" borderId="97" xfId="36" applyNumberFormat="1" applyFont="1" applyFill="1" applyBorder="1" applyAlignment="1">
      <alignment horizontal="center" vertical="center"/>
    </xf>
    <xf numFmtId="3" fontId="3" fillId="0" borderId="97" xfId="3" applyNumberFormat="1" applyFont="1" applyFill="1" applyBorder="1" applyAlignment="1">
      <alignment horizontal="right" vertical="center"/>
    </xf>
    <xf numFmtId="3" fontId="3" fillId="0" borderId="136" xfId="3" applyNumberFormat="1" applyFont="1" applyFill="1" applyBorder="1" applyAlignment="1">
      <alignment horizontal="right" vertical="center"/>
    </xf>
    <xf numFmtId="0" fontId="41" fillId="0" borderId="29" xfId="0" applyFont="1" applyFill="1" applyBorder="1" applyAlignment="1">
      <alignment horizontal="center" vertical="center" wrapText="1"/>
    </xf>
    <xf numFmtId="0" fontId="40" fillId="0" borderId="19" xfId="0" applyFont="1" applyFill="1" applyBorder="1" applyAlignment="1">
      <alignment horizontal="left" vertical="center" wrapText="1"/>
    </xf>
    <xf numFmtId="0" fontId="40" fillId="0" borderId="18" xfId="0" applyFont="1" applyFill="1" applyBorder="1" applyAlignment="1">
      <alignment horizontal="left" vertical="center" wrapText="1"/>
    </xf>
    <xf numFmtId="0" fontId="42" fillId="0" borderId="18" xfId="0" applyFont="1" applyFill="1" applyBorder="1" applyAlignment="1">
      <alignment horizontal="left" vertical="center" wrapText="1"/>
    </xf>
    <xf numFmtId="0" fontId="42" fillId="0" borderId="19" xfId="0" applyFont="1" applyFill="1" applyBorder="1" applyAlignment="1">
      <alignment horizontal="left" vertical="center" wrapText="1"/>
    </xf>
    <xf numFmtId="3" fontId="41" fillId="0" borderId="19" xfId="0" applyNumberFormat="1" applyFont="1" applyFill="1" applyBorder="1" applyAlignment="1">
      <alignment horizontal="right" vertical="center"/>
    </xf>
    <xf numFmtId="0" fontId="5" fillId="0" borderId="29" xfId="0" applyFont="1" applyBorder="1" applyAlignment="1">
      <alignment horizontal="center" vertical="center" wrapText="1"/>
    </xf>
    <xf numFmtId="0" fontId="3" fillId="0" borderId="9" xfId="32" applyFont="1" applyFill="1" applyBorder="1" applyAlignment="1">
      <alignment horizontal="left" vertical="center"/>
    </xf>
    <xf numFmtId="0" fontId="3" fillId="0" borderId="232" xfId="30" applyFont="1" applyFill="1" applyBorder="1" applyAlignment="1">
      <alignment horizontal="left" vertical="center" wrapText="1"/>
    </xf>
    <xf numFmtId="0" fontId="40" fillId="0" borderId="232" xfId="32" applyFont="1" applyFill="1" applyBorder="1" applyAlignment="1">
      <alignment horizontal="left" vertical="center" wrapText="1"/>
    </xf>
    <xf numFmtId="0" fontId="3" fillId="0" borderId="232" xfId="40" applyFont="1" applyFill="1" applyBorder="1" applyAlignment="1">
      <alignment horizontal="left" vertical="center" wrapText="1"/>
    </xf>
    <xf numFmtId="0" fontId="3" fillId="0" borderId="232" xfId="30" applyFont="1" applyFill="1" applyBorder="1" applyAlignment="1">
      <alignment horizontal="left"/>
    </xf>
    <xf numFmtId="3" fontId="5" fillId="0" borderId="218" xfId="32" applyNumberFormat="1" applyFont="1" applyFill="1" applyBorder="1" applyAlignment="1">
      <alignment horizontal="right" vertical="center"/>
    </xf>
    <xf numFmtId="0" fontId="3" fillId="0" borderId="199" xfId="30" applyFont="1" applyFill="1" applyBorder="1" applyAlignment="1">
      <alignment vertical="center" wrapText="1"/>
    </xf>
    <xf numFmtId="3" fontId="3" fillId="0" borderId="70" xfId="0" applyNumberFormat="1" applyFont="1" applyBorder="1" applyAlignment="1">
      <alignment horizontal="right" vertical="center" wrapText="1"/>
    </xf>
    <xf numFmtId="0" fontId="40" fillId="0" borderId="200" xfId="32" applyFont="1" applyFill="1" applyBorder="1" applyAlignment="1">
      <alignment horizontal="left" vertical="center" wrapText="1"/>
    </xf>
    <xf numFmtId="3" fontId="3" fillId="0" borderId="75" xfId="0" applyNumberFormat="1" applyFont="1" applyBorder="1" applyAlignment="1">
      <alignment horizontal="right" vertical="center" wrapText="1"/>
    </xf>
    <xf numFmtId="0" fontId="3" fillId="0" borderId="200" xfId="40" applyFont="1" applyFill="1" applyBorder="1" applyAlignment="1">
      <alignment vertical="center" wrapText="1"/>
    </xf>
    <xf numFmtId="0" fontId="3" fillId="0" borderId="201" xfId="32" applyFont="1" applyFill="1" applyBorder="1" applyAlignment="1">
      <alignment vertical="center" wrapText="1"/>
    </xf>
    <xf numFmtId="3" fontId="3" fillId="0" borderId="218" xfId="0" applyNumberFormat="1" applyFont="1" applyBorder="1" applyAlignment="1">
      <alignment horizontal="right" vertical="center" wrapText="1"/>
    </xf>
    <xf numFmtId="0" fontId="5" fillId="0" borderId="56" xfId="32" applyFont="1" applyFill="1" applyBorder="1" applyAlignment="1">
      <alignment horizontal="center" vertical="center" wrapText="1"/>
    </xf>
    <xf numFmtId="3" fontId="5" fillId="0" borderId="30" xfId="32" applyNumberFormat="1" applyFont="1" applyFill="1" applyBorder="1" applyAlignment="1">
      <alignment horizontal="right" vertical="center"/>
    </xf>
    <xf numFmtId="3" fontId="34" fillId="0" borderId="16" xfId="37" applyNumberFormat="1" applyFont="1" applyFill="1" applyBorder="1" applyAlignment="1">
      <alignment horizontal="left"/>
    </xf>
    <xf numFmtId="3" fontId="34" fillId="0" borderId="20" xfId="37" applyNumberFormat="1" applyFont="1" applyFill="1" applyBorder="1" applyAlignment="1"/>
    <xf numFmtId="3" fontId="34" fillId="0" borderId="17" xfId="0" applyNumberFormat="1" applyFont="1" applyFill="1" applyBorder="1" applyAlignment="1">
      <alignment horizontal="right" vertical="center" wrapText="1"/>
    </xf>
    <xf numFmtId="3" fontId="46" fillId="0" borderId="108" xfId="0" applyNumberFormat="1" applyFont="1" applyFill="1" applyBorder="1" applyAlignment="1">
      <alignment horizontal="right" wrapText="1"/>
    </xf>
    <xf numFmtId="0" fontId="3" fillId="0" borderId="16" xfId="40" applyFont="1" applyBorder="1" applyAlignment="1">
      <alignment vertical="center" wrapText="1"/>
    </xf>
    <xf numFmtId="0" fontId="3" fillId="0" borderId="39" xfId="40" applyFont="1" applyFill="1" applyBorder="1" applyAlignment="1">
      <alignment horizontal="center" vertical="center"/>
    </xf>
    <xf numFmtId="0" fontId="11" fillId="0" borderId="40" xfId="40" applyFont="1" applyBorder="1" applyAlignment="1">
      <alignment horizontal="left" vertical="center" wrapText="1"/>
    </xf>
    <xf numFmtId="3" fontId="3" fillId="0" borderId="40" xfId="39" applyNumberFormat="1" applyFont="1" applyFill="1" applyBorder="1" applyAlignment="1">
      <alignment vertical="center"/>
    </xf>
    <xf numFmtId="0" fontId="11" fillId="0" borderId="16" xfId="40" applyFont="1" applyBorder="1" applyAlignment="1">
      <alignment horizontal="left" vertical="center" wrapText="1"/>
    </xf>
    <xf numFmtId="0" fontId="11" fillId="0" borderId="16" xfId="40" applyFont="1" applyBorder="1" applyAlignment="1">
      <alignment vertical="center" wrapText="1"/>
    </xf>
    <xf numFmtId="0" fontId="25" fillId="0" borderId="16" xfId="40" applyFont="1" applyBorder="1" applyAlignment="1">
      <alignment vertical="center" wrapText="1"/>
    </xf>
    <xf numFmtId="0" fontId="13" fillId="0" borderId="16" xfId="40" applyFont="1" applyBorder="1" applyAlignment="1">
      <alignment horizontal="left" vertical="center" wrapText="1"/>
    </xf>
    <xf numFmtId="3" fontId="25" fillId="0" borderId="16" xfId="27" applyNumberFormat="1" applyFont="1" applyBorder="1" applyAlignment="1">
      <alignment vertical="center" wrapText="1"/>
    </xf>
    <xf numFmtId="0" fontId="13" fillId="0" borderId="16" xfId="40" applyFont="1" applyBorder="1" applyAlignment="1">
      <alignment vertical="center" wrapText="1"/>
    </xf>
    <xf numFmtId="0" fontId="11" fillId="0" borderId="16" xfId="40" applyFont="1" applyBorder="1" applyAlignment="1">
      <alignment horizontal="left" vertical="top" wrapText="1"/>
    </xf>
    <xf numFmtId="0" fontId="50" fillId="0" borderId="16" xfId="40" applyFont="1" applyBorder="1" applyAlignment="1">
      <alignment horizontal="left" vertical="center" wrapText="1"/>
    </xf>
    <xf numFmtId="0" fontId="50" fillId="0" borderId="16" xfId="40" applyFont="1" applyBorder="1" applyAlignment="1">
      <alignment vertical="center" wrapText="1"/>
    </xf>
    <xf numFmtId="0" fontId="3" fillId="0" borderId="16" xfId="40" applyFont="1" applyBorder="1" applyAlignment="1">
      <alignment horizontal="left" vertical="center" wrapText="1"/>
    </xf>
    <xf numFmtId="3" fontId="5" fillId="0" borderId="60" xfId="40" applyNumberFormat="1" applyFont="1" applyFill="1" applyBorder="1" applyAlignment="1">
      <alignment horizontal="right" vertical="center" wrapText="1"/>
    </xf>
    <xf numFmtId="3" fontId="5" fillId="0" borderId="25" xfId="40" applyNumberFormat="1" applyFont="1" applyFill="1" applyBorder="1" applyAlignment="1">
      <alignment horizontal="right" vertical="center" wrapText="1"/>
    </xf>
    <xf numFmtId="3" fontId="3" fillId="0" borderId="42" xfId="31" applyNumberFormat="1" applyFont="1" applyFill="1" applyBorder="1" applyAlignment="1">
      <alignment horizontal="right" vertical="center" wrapText="1"/>
    </xf>
    <xf numFmtId="3" fontId="3" fillId="0" borderId="16" xfId="27" applyNumberFormat="1" applyFont="1" applyFill="1" applyBorder="1" applyAlignment="1">
      <alignment shrinkToFit="1"/>
    </xf>
    <xf numFmtId="0" fontId="6" fillId="0" borderId="0" xfId="0" applyFont="1" applyBorder="1" applyAlignment="1">
      <alignment horizontal="center" vertical="center"/>
    </xf>
    <xf numFmtId="3" fontId="6" fillId="0" borderId="18" xfId="0" applyNumberFormat="1" applyFont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3" fontId="11" fillId="0" borderId="7" xfId="0" applyNumberFormat="1" applyFont="1" applyFill="1" applyBorder="1" applyAlignment="1">
      <alignment horizontal="center" vertical="center" wrapText="1"/>
    </xf>
    <xf numFmtId="3" fontId="11" fillId="0" borderId="157" xfId="0" applyNumberFormat="1" applyFont="1" applyFill="1" applyBorder="1" applyAlignment="1">
      <alignment horizontal="center" vertical="center" wrapText="1"/>
    </xf>
    <xf numFmtId="3" fontId="3" fillId="0" borderId="0" xfId="40" applyNumberFormat="1" applyFont="1" applyFill="1" applyBorder="1" applyAlignment="1">
      <alignment horizontal="right"/>
    </xf>
    <xf numFmtId="0" fontId="3" fillId="0" borderId="0" xfId="41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center"/>
    </xf>
    <xf numFmtId="3" fontId="5" fillId="0" borderId="236" xfId="26" applyNumberFormat="1" applyFont="1" applyFill="1" applyBorder="1" applyAlignment="1">
      <alignment horizontal="center" vertical="center" wrapText="1"/>
    </xf>
    <xf numFmtId="3" fontId="6" fillId="0" borderId="38" xfId="26" applyNumberFormat="1" applyFont="1" applyFill="1" applyBorder="1" applyAlignment="1">
      <alignment horizontal="center" vertical="center"/>
    </xf>
    <xf numFmtId="3" fontId="5" fillId="0" borderId="30" xfId="26" applyNumberFormat="1" applyFont="1" applyFill="1" applyBorder="1" applyAlignment="1">
      <alignment horizontal="center" vertical="center" wrapText="1"/>
    </xf>
    <xf numFmtId="3" fontId="5" fillId="0" borderId="69" xfId="26" applyNumberFormat="1" applyFont="1" applyFill="1" applyBorder="1" applyAlignment="1">
      <alignment horizontal="right" wrapText="1"/>
    </xf>
    <xf numFmtId="3" fontId="18" fillId="0" borderId="10" xfId="26" applyNumberFormat="1" applyFont="1" applyFill="1" applyBorder="1" applyAlignment="1">
      <alignment horizontal="right" wrapText="1"/>
    </xf>
    <xf numFmtId="3" fontId="5" fillId="0" borderId="196" xfId="26" applyNumberFormat="1" applyFont="1" applyFill="1" applyBorder="1" applyAlignment="1">
      <alignment horizontal="right" wrapText="1"/>
    </xf>
    <xf numFmtId="3" fontId="5" fillId="0" borderId="72" xfId="26" applyNumberFormat="1" applyFont="1" applyFill="1" applyBorder="1" applyAlignment="1">
      <alignment horizontal="right" wrapText="1"/>
    </xf>
    <xf numFmtId="3" fontId="18" fillId="0" borderId="0" xfId="26" applyNumberFormat="1" applyFont="1" applyFill="1" applyBorder="1" applyAlignment="1">
      <alignment horizontal="right" wrapText="1"/>
    </xf>
    <xf numFmtId="3" fontId="5" fillId="0" borderId="18" xfId="26" applyNumberFormat="1" applyFont="1" applyFill="1" applyBorder="1" applyAlignment="1">
      <alignment horizontal="right" wrapText="1"/>
    </xf>
    <xf numFmtId="3" fontId="5" fillId="0" borderId="72" xfId="0" applyNumberFormat="1" applyFont="1" applyFill="1" applyBorder="1" applyAlignment="1">
      <alignment horizontal="right"/>
    </xf>
    <xf numFmtId="3" fontId="18" fillId="0" borderId="0" xfId="0" applyNumberFormat="1" applyFont="1" applyFill="1" applyBorder="1" applyAlignment="1">
      <alignment horizontal="right"/>
    </xf>
    <xf numFmtId="3" fontId="5" fillId="0" borderId="18" xfId="0" applyNumberFormat="1" applyFont="1" applyFill="1" applyBorder="1" applyAlignment="1">
      <alignment horizontal="right"/>
    </xf>
    <xf numFmtId="3" fontId="3" fillId="0" borderId="72" xfId="0" applyNumberFormat="1" applyFont="1" applyFill="1" applyBorder="1" applyAlignment="1">
      <alignment horizontal="right"/>
    </xf>
    <xf numFmtId="3" fontId="6" fillId="0" borderId="0" xfId="0" applyNumberFormat="1" applyFont="1" applyFill="1" applyBorder="1"/>
    <xf numFmtId="3" fontId="3" fillId="0" borderId="18" xfId="0" applyNumberFormat="1" applyFont="1" applyFill="1" applyBorder="1"/>
    <xf numFmtId="3" fontId="5" fillId="0" borderId="18" xfId="0" applyNumberFormat="1" applyFont="1" applyFill="1" applyBorder="1"/>
    <xf numFmtId="0" fontId="6" fillId="0" borderId="0" xfId="0" applyFont="1" applyFill="1" applyBorder="1"/>
    <xf numFmtId="0" fontId="18" fillId="0" borderId="0" xfId="0" applyFont="1" applyFill="1" applyBorder="1"/>
    <xf numFmtId="0" fontId="6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center"/>
    </xf>
    <xf numFmtId="3" fontId="18" fillId="0" borderId="0" xfId="0" applyNumberFormat="1" applyFont="1" applyFill="1" applyBorder="1" applyAlignment="1"/>
    <xf numFmtId="3" fontId="5" fillId="0" borderId="86" xfId="0" applyNumberFormat="1" applyFont="1" applyFill="1" applyBorder="1" applyAlignment="1">
      <alignment horizontal="right"/>
    </xf>
    <xf numFmtId="3" fontId="18" fillId="0" borderId="8" xfId="26" applyNumberFormat="1" applyFont="1" applyFill="1" applyBorder="1" applyAlignment="1">
      <alignment horizontal="right" wrapText="1"/>
    </xf>
    <xf numFmtId="3" fontId="5" fillId="0" borderId="197" xfId="26" applyNumberFormat="1" applyFont="1" applyFill="1" applyBorder="1" applyAlignment="1">
      <alignment horizontal="right" wrapText="1"/>
    </xf>
    <xf numFmtId="0" fontId="3" fillId="0" borderId="18" xfId="0" applyFont="1" applyFill="1" applyBorder="1"/>
    <xf numFmtId="3" fontId="6" fillId="0" borderId="0" xfId="0" applyNumberFormat="1" applyFont="1" applyFill="1" applyBorder="1" applyAlignment="1"/>
    <xf numFmtId="0" fontId="18" fillId="0" borderId="0" xfId="0" applyFont="1" applyFill="1" applyBorder="1" applyAlignment="1"/>
    <xf numFmtId="3" fontId="5" fillId="0" borderId="74" xfId="0" applyNumberFormat="1" applyFont="1" applyFill="1" applyBorder="1" applyAlignment="1">
      <alignment horizontal="right" vertical="center"/>
    </xf>
    <xf numFmtId="3" fontId="18" fillId="0" borderId="8" xfId="0" applyNumberFormat="1" applyFont="1" applyFill="1" applyBorder="1" applyAlignment="1">
      <alignment horizontal="right" vertical="center"/>
    </xf>
    <xf numFmtId="3" fontId="5" fillId="0" borderId="197" xfId="0" applyNumberFormat="1" applyFont="1" applyFill="1" applyBorder="1" applyAlignment="1">
      <alignment horizontal="right" vertical="center"/>
    </xf>
    <xf numFmtId="3" fontId="3" fillId="0" borderId="86" xfId="0" applyNumberFormat="1" applyFont="1" applyFill="1" applyBorder="1" applyAlignment="1">
      <alignment horizontal="right"/>
    </xf>
    <xf numFmtId="3" fontId="5" fillId="0" borderId="77" xfId="0" applyNumberFormat="1" applyFont="1" applyFill="1" applyBorder="1" applyAlignment="1">
      <alignment horizontal="right" vertical="center"/>
    </xf>
    <xf numFmtId="3" fontId="18" fillId="0" borderId="31" xfId="0" applyNumberFormat="1" applyFont="1" applyFill="1" applyBorder="1" applyAlignment="1">
      <alignment horizontal="right" vertical="center"/>
    </xf>
    <xf numFmtId="3" fontId="5" fillId="0" borderId="237" xfId="0" applyNumberFormat="1" applyFont="1" applyFill="1" applyBorder="1" applyAlignment="1">
      <alignment horizontal="right" vertical="center"/>
    </xf>
    <xf numFmtId="3" fontId="5" fillId="0" borderId="238" xfId="0" applyNumberFormat="1" applyFont="1" applyFill="1" applyBorder="1" applyAlignment="1">
      <alignment horizontal="right" vertical="center"/>
    </xf>
    <xf numFmtId="3" fontId="18" fillId="0" borderId="32" xfId="0" applyNumberFormat="1" applyFont="1" applyFill="1" applyBorder="1" applyAlignment="1">
      <alignment horizontal="right" vertical="center"/>
    </xf>
    <xf numFmtId="3" fontId="5" fillId="0" borderId="239" xfId="0" applyNumberFormat="1" applyFont="1" applyFill="1" applyBorder="1" applyAlignment="1">
      <alignment horizontal="right" vertical="center"/>
    </xf>
    <xf numFmtId="3" fontId="5" fillId="0" borderId="72" xfId="0" applyNumberFormat="1" applyFont="1" applyFill="1" applyBorder="1" applyAlignment="1">
      <alignment horizontal="right" vertical="center"/>
    </xf>
    <xf numFmtId="3" fontId="18" fillId="0" borderId="0" xfId="0" applyNumberFormat="1" applyFont="1" applyFill="1" applyBorder="1" applyAlignment="1">
      <alignment horizontal="right" vertical="center"/>
    </xf>
    <xf numFmtId="3" fontId="5" fillId="0" borderId="18" xfId="0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vertical="center"/>
    </xf>
    <xf numFmtId="3" fontId="3" fillId="0" borderId="18" xfId="0" applyNumberFormat="1" applyFont="1" applyFill="1" applyBorder="1" applyAlignment="1">
      <alignment vertical="center"/>
    </xf>
    <xf numFmtId="0" fontId="5" fillId="0" borderId="18" xfId="0" applyFont="1" applyFill="1" applyBorder="1" applyAlignment="1"/>
    <xf numFmtId="3" fontId="5" fillId="0" borderId="240" xfId="0" applyNumberFormat="1" applyFont="1" applyFill="1" applyBorder="1" applyAlignment="1">
      <alignment horizontal="right" vertical="center"/>
    </xf>
    <xf numFmtId="3" fontId="18" fillId="0" borderId="33" xfId="0" applyNumberFormat="1" applyFont="1" applyFill="1" applyBorder="1" applyAlignment="1">
      <alignment horizontal="right" vertical="center"/>
    </xf>
    <xf numFmtId="3" fontId="5" fillId="0" borderId="198" xfId="0" applyNumberFormat="1" applyFont="1" applyFill="1" applyBorder="1" applyAlignment="1">
      <alignment horizontal="right" vertical="center"/>
    </xf>
    <xf numFmtId="0" fontId="3" fillId="0" borderId="0" xfId="41" applyFont="1" applyFill="1" applyBorder="1" applyAlignment="1"/>
    <xf numFmtId="3" fontId="5" fillId="0" borderId="69" xfId="26" applyNumberFormat="1" applyFont="1" applyFill="1" applyBorder="1"/>
    <xf numFmtId="3" fontId="3" fillId="0" borderId="72" xfId="26" applyNumberFormat="1" applyFont="1" applyFill="1" applyBorder="1"/>
    <xf numFmtId="3" fontId="5" fillId="0" borderId="74" xfId="26" applyNumberFormat="1" applyFont="1" applyFill="1" applyBorder="1"/>
    <xf numFmtId="3" fontId="5" fillId="0" borderId="72" xfId="26" applyNumberFormat="1" applyFont="1" applyFill="1" applyBorder="1"/>
    <xf numFmtId="3" fontId="6" fillId="0" borderId="72" xfId="26" applyNumberFormat="1" applyFont="1" applyFill="1" applyBorder="1"/>
    <xf numFmtId="3" fontId="3" fillId="0" borderId="72" xfId="26" applyNumberFormat="1" applyFont="1" applyFill="1" applyBorder="1" applyAlignment="1">
      <alignment vertical="center"/>
    </xf>
    <xf numFmtId="3" fontId="5" fillId="0" borderId="72" xfId="26" applyNumberFormat="1" applyFont="1" applyFill="1" applyBorder="1" applyAlignment="1">
      <alignment vertical="center"/>
    </xf>
    <xf numFmtId="3" fontId="3" fillId="0" borderId="72" xfId="26" applyNumberFormat="1" applyFont="1" applyFill="1" applyBorder="1" applyAlignment="1"/>
    <xf numFmtId="3" fontId="5" fillId="0" borderId="236" xfId="26" applyNumberFormat="1" applyFont="1" applyFill="1" applyBorder="1" applyAlignment="1">
      <alignment vertical="center"/>
    </xf>
    <xf numFmtId="3" fontId="3" fillId="0" borderId="72" xfId="26" applyNumberFormat="1" applyFont="1" applyFill="1" applyBorder="1" applyAlignment="1">
      <alignment vertical="top"/>
    </xf>
    <xf numFmtId="3" fontId="18" fillId="0" borderId="10" xfId="26" applyNumberFormat="1" applyFont="1" applyFill="1" applyBorder="1"/>
    <xf numFmtId="3" fontId="18" fillId="0" borderId="8" xfId="26" applyNumberFormat="1" applyFont="1" applyFill="1" applyBorder="1"/>
    <xf numFmtId="3" fontId="18" fillId="0" borderId="0" xfId="26" applyNumberFormat="1" applyFont="1" applyFill="1" applyBorder="1"/>
    <xf numFmtId="3" fontId="6" fillId="0" borderId="0" xfId="26" applyNumberFormat="1" applyFont="1" applyFill="1" applyBorder="1" applyAlignment="1">
      <alignment vertical="center"/>
    </xf>
    <xf numFmtId="3" fontId="6" fillId="0" borderId="0" xfId="26" applyNumberFormat="1" applyFont="1" applyFill="1" applyBorder="1" applyAlignment="1"/>
    <xf numFmtId="3" fontId="18" fillId="0" borderId="12" xfId="26" applyNumberFormat="1" applyFont="1" applyFill="1" applyBorder="1" applyAlignment="1">
      <alignment vertical="center"/>
    </xf>
    <xf numFmtId="3" fontId="6" fillId="0" borderId="0" xfId="26" applyNumberFormat="1" applyFont="1" applyFill="1" applyBorder="1" applyAlignment="1">
      <alignment vertical="top"/>
    </xf>
    <xf numFmtId="3" fontId="5" fillId="0" borderId="196" xfId="26" applyNumberFormat="1" applyFont="1" applyFill="1" applyBorder="1"/>
    <xf numFmtId="3" fontId="3" fillId="0" borderId="18" xfId="26" applyNumberFormat="1" applyFont="1" applyFill="1" applyBorder="1"/>
    <xf numFmtId="3" fontId="5" fillId="0" borderId="197" xfId="26" applyNumberFormat="1" applyFont="1" applyFill="1" applyBorder="1"/>
    <xf numFmtId="3" fontId="5" fillId="0" borderId="18" xfId="26" applyNumberFormat="1" applyFont="1" applyFill="1" applyBorder="1"/>
    <xf numFmtId="3" fontId="6" fillId="0" borderId="18" xfId="26" applyNumberFormat="1" applyFont="1" applyFill="1" applyBorder="1"/>
    <xf numFmtId="3" fontId="5" fillId="0" borderId="18" xfId="26" applyNumberFormat="1" applyFont="1" applyFill="1" applyBorder="1" applyAlignment="1">
      <alignment vertical="center"/>
    </xf>
    <xf numFmtId="3" fontId="3" fillId="0" borderId="18" xfId="26" applyNumberFormat="1" applyFont="1" applyFill="1" applyBorder="1" applyAlignment="1"/>
    <xf numFmtId="3" fontId="5" fillId="0" borderId="29" xfId="26" applyNumberFormat="1" applyFont="1" applyFill="1" applyBorder="1" applyAlignment="1">
      <alignment vertical="center"/>
    </xf>
    <xf numFmtId="3" fontId="3" fillId="0" borderId="18" xfId="26" applyNumberFormat="1" applyFont="1" applyFill="1" applyBorder="1" applyAlignment="1">
      <alignment vertical="top"/>
    </xf>
    <xf numFmtId="3" fontId="13" fillId="0" borderId="16" xfId="37" applyNumberFormat="1" applyFont="1" applyFill="1" applyBorder="1" applyAlignment="1"/>
    <xf numFmtId="3" fontId="47" fillId="0" borderId="16" xfId="0" applyNumberFormat="1" applyFont="1" applyFill="1" applyBorder="1" applyAlignment="1"/>
    <xf numFmtId="3" fontId="34" fillId="0" borderId="20" xfId="0" applyNumberFormat="1" applyFont="1" applyFill="1" applyBorder="1" applyAlignment="1">
      <alignment horizontal="center"/>
    </xf>
    <xf numFmtId="3" fontId="34" fillId="0" borderId="21" xfId="0" applyNumberFormat="1" applyFont="1" applyFill="1" applyBorder="1" applyAlignment="1"/>
    <xf numFmtId="3" fontId="35" fillId="0" borderId="21" xfId="0" applyNumberFormat="1" applyFont="1" applyFill="1" applyBorder="1" applyAlignment="1"/>
    <xf numFmtId="3" fontId="34" fillId="0" borderId="241" xfId="0" applyNumberFormat="1" applyFont="1" applyFill="1" applyBorder="1" applyAlignment="1">
      <alignment horizontal="center"/>
    </xf>
    <xf numFmtId="3" fontId="34" fillId="0" borderId="242" xfId="0" applyNumberFormat="1" applyFont="1" applyFill="1" applyBorder="1" applyAlignment="1">
      <alignment horizontal="center"/>
    </xf>
    <xf numFmtId="3" fontId="14" fillId="0" borderId="97" xfId="37" applyNumberFormat="1" applyFont="1" applyFill="1" applyBorder="1" applyAlignment="1"/>
    <xf numFmtId="3" fontId="14" fillId="0" borderId="21" xfId="0" applyNumberFormat="1" applyFont="1" applyFill="1" applyBorder="1" applyAlignment="1"/>
    <xf numFmtId="3" fontId="34" fillId="0" borderId="23" xfId="0" applyNumberFormat="1" applyFont="1" applyFill="1" applyBorder="1" applyAlignment="1">
      <alignment horizontal="center" vertical="top"/>
    </xf>
    <xf numFmtId="3" fontId="13" fillId="0" borderId="17" xfId="0" applyNumberFormat="1" applyFont="1" applyFill="1" applyBorder="1" applyAlignment="1">
      <alignment vertical="center"/>
    </xf>
    <xf numFmtId="3" fontId="34" fillId="0" borderId="112" xfId="0" applyNumberFormat="1" applyFont="1" applyFill="1" applyBorder="1" applyAlignment="1">
      <alignment horizontal="center"/>
    </xf>
    <xf numFmtId="3" fontId="14" fillId="0" borderId="241" xfId="37" applyNumberFormat="1" applyFont="1" applyFill="1" applyBorder="1" applyAlignment="1"/>
    <xf numFmtId="3" fontId="14" fillId="0" borderId="241" xfId="0" applyNumberFormat="1" applyFont="1" applyFill="1" applyBorder="1" applyAlignment="1">
      <alignment vertical="top"/>
    </xf>
    <xf numFmtId="3" fontId="14" fillId="0" borderId="136" xfId="0" applyNumberFormat="1" applyFont="1" applyFill="1" applyBorder="1" applyAlignment="1"/>
    <xf numFmtId="3" fontId="14" fillId="0" borderId="20" xfId="0" applyNumberFormat="1" applyFont="1" applyFill="1" applyBorder="1" applyAlignment="1">
      <alignment vertical="center"/>
    </xf>
    <xf numFmtId="3" fontId="34" fillId="0" borderId="243" xfId="0" applyNumberFormat="1" applyFont="1" applyFill="1" applyBorder="1" applyAlignment="1">
      <alignment horizontal="center"/>
    </xf>
    <xf numFmtId="3" fontId="13" fillId="0" borderId="63" xfId="37" applyNumberFormat="1" applyFont="1" applyFill="1" applyBorder="1" applyAlignment="1"/>
    <xf numFmtId="3" fontId="34" fillId="0" borderId="63" xfId="0" applyNumberFormat="1" applyFont="1" applyFill="1" applyBorder="1" applyAlignment="1">
      <alignment vertical="center"/>
    </xf>
    <xf numFmtId="3" fontId="13" fillId="0" borderId="63" xfId="0" applyNumberFormat="1" applyFont="1" applyFill="1" applyBorder="1" applyAlignment="1">
      <alignment vertical="center"/>
    </xf>
    <xf numFmtId="3" fontId="35" fillId="0" borderId="63" xfId="0" applyNumberFormat="1" applyFont="1" applyFill="1" applyBorder="1" applyAlignment="1">
      <alignment vertical="center"/>
    </xf>
    <xf numFmtId="3" fontId="34" fillId="0" borderId="122" xfId="0" applyNumberFormat="1" applyFont="1" applyFill="1" applyBorder="1" applyAlignment="1">
      <alignment horizontal="center"/>
    </xf>
    <xf numFmtId="3" fontId="34" fillId="0" borderId="23" xfId="0" applyNumberFormat="1" applyFont="1" applyFill="1" applyBorder="1" applyAlignment="1">
      <alignment horizontal="center" vertical="center"/>
    </xf>
    <xf numFmtId="3" fontId="14" fillId="0" borderId="241" xfId="0" applyNumberFormat="1" applyFont="1" applyFill="1" applyBorder="1" applyAlignment="1">
      <alignment vertical="center"/>
    </xf>
    <xf numFmtId="3" fontId="47" fillId="0" borderId="16" xfId="0" applyNumberFormat="1" applyFont="1" applyFill="1" applyBorder="1" applyAlignment="1">
      <alignment vertical="center"/>
    </xf>
    <xf numFmtId="3" fontId="14" fillId="0" borderId="42" xfId="0" applyNumberFormat="1" applyFont="1" applyFill="1" applyBorder="1" applyAlignment="1">
      <alignment vertical="top"/>
    </xf>
    <xf numFmtId="3" fontId="14" fillId="0" borderId="16" xfId="0" applyNumberFormat="1" applyFont="1" applyFill="1" applyBorder="1" applyAlignment="1">
      <alignment vertical="top"/>
    </xf>
    <xf numFmtId="3" fontId="13" fillId="0" borderId="16" xfId="37" applyNumberFormat="1" applyFont="1" applyFill="1" applyBorder="1" applyAlignment="1">
      <alignment wrapText="1"/>
    </xf>
    <xf numFmtId="3" fontId="14" fillId="0" borderId="63" xfId="0" applyNumberFormat="1" applyFont="1" applyFill="1" applyBorder="1" applyAlignment="1">
      <alignment vertical="center"/>
    </xf>
    <xf numFmtId="3" fontId="14" fillId="0" borderId="244" xfId="37" applyNumberFormat="1" applyFont="1" applyFill="1" applyBorder="1" applyAlignment="1"/>
    <xf numFmtId="3" fontId="34" fillId="0" borderId="245" xfId="0" applyNumberFormat="1" applyFont="1" applyFill="1" applyBorder="1" applyAlignment="1">
      <alignment horizontal="center" vertical="center"/>
    </xf>
    <xf numFmtId="3" fontId="14" fillId="0" borderId="140" xfId="37" applyNumberFormat="1" applyFont="1" applyFill="1" applyBorder="1" applyAlignment="1"/>
    <xf numFmtId="3" fontId="14" fillId="0" borderId="99" xfId="0" applyNumberFormat="1" applyFont="1" applyFill="1" applyBorder="1" applyAlignment="1">
      <alignment vertical="center"/>
    </xf>
    <xf numFmtId="3" fontId="34" fillId="0" borderId="98" xfId="0" applyNumberFormat="1" applyFont="1" applyFill="1" applyBorder="1" applyAlignment="1">
      <alignment horizontal="center" vertical="center"/>
    </xf>
    <xf numFmtId="3" fontId="34" fillId="0" borderId="99" xfId="0" applyNumberFormat="1" applyFont="1" applyFill="1" applyBorder="1" applyAlignment="1">
      <alignment horizontal="center"/>
    </xf>
    <xf numFmtId="3" fontId="34" fillId="0" borderId="6" xfId="0" applyNumberFormat="1" applyFont="1" applyFill="1" applyBorder="1" applyAlignment="1">
      <alignment horizontal="center"/>
    </xf>
    <xf numFmtId="3" fontId="14" fillId="0" borderId="99" xfId="37" applyNumberFormat="1" applyFont="1" applyFill="1" applyBorder="1" applyAlignment="1"/>
    <xf numFmtId="3" fontId="14" fillId="0" borderId="6" xfId="0" applyNumberFormat="1" applyFont="1" applyFill="1" applyBorder="1" applyAlignment="1">
      <alignment vertical="center"/>
    </xf>
    <xf numFmtId="3" fontId="14" fillId="0" borderId="66" xfId="37" applyNumberFormat="1" applyFont="1" applyFill="1" applyBorder="1" applyAlignment="1">
      <alignment horizontal="left"/>
    </xf>
    <xf numFmtId="3" fontId="14" fillId="0" borderId="124" xfId="37" applyNumberFormat="1" applyFont="1" applyFill="1" applyBorder="1" applyAlignment="1">
      <alignment horizontal="left"/>
    </xf>
    <xf numFmtId="3" fontId="14" fillId="0" borderId="124" xfId="37" applyNumberFormat="1" applyFont="1" applyFill="1" applyBorder="1" applyAlignment="1">
      <alignment horizontal="left" wrapText="1"/>
    </xf>
    <xf numFmtId="3" fontId="34" fillId="0" borderId="143" xfId="0" applyNumberFormat="1" applyFont="1" applyFill="1" applyBorder="1" applyAlignment="1">
      <alignment horizontal="center"/>
    </xf>
    <xf numFmtId="3" fontId="13" fillId="0" borderId="42" xfId="0" applyNumberFormat="1" applyFont="1" applyFill="1" applyBorder="1" applyAlignment="1">
      <alignment vertical="center"/>
    </xf>
    <xf numFmtId="3" fontId="34" fillId="0" borderId="4" xfId="0" applyNumberFormat="1" applyFont="1" applyFill="1" applyBorder="1" applyAlignment="1">
      <alignment horizontal="center" vertical="center"/>
    </xf>
    <xf numFmtId="3" fontId="34" fillId="0" borderId="0" xfId="0" applyNumberFormat="1" applyFont="1" applyFill="1" applyBorder="1" applyAlignment="1">
      <alignment horizontal="center"/>
    </xf>
    <xf numFmtId="3" fontId="13" fillId="0" borderId="42" xfId="37" applyNumberFormat="1" applyFont="1" applyFill="1" applyBorder="1" applyAlignment="1"/>
    <xf numFmtId="3" fontId="34" fillId="0" borderId="63" xfId="0" applyNumberFormat="1" applyFont="1" applyFill="1" applyBorder="1" applyAlignment="1">
      <alignment horizontal="center"/>
    </xf>
    <xf numFmtId="3" fontId="13" fillId="0" borderId="43" xfId="0" applyNumberFormat="1" applyFont="1" applyFill="1" applyBorder="1" applyAlignment="1"/>
    <xf numFmtId="3" fontId="14" fillId="0" borderId="138" xfId="0" applyNumberFormat="1" applyFont="1" applyFill="1" applyBorder="1" applyAlignment="1"/>
    <xf numFmtId="3" fontId="34" fillId="0" borderId="147" xfId="0" applyNumberFormat="1" applyFont="1" applyFill="1" applyBorder="1" applyAlignment="1">
      <alignment horizontal="center"/>
    </xf>
    <xf numFmtId="3" fontId="13" fillId="0" borderId="103" xfId="37" applyNumberFormat="1" applyFont="1" applyFill="1" applyBorder="1" applyAlignment="1"/>
    <xf numFmtId="3" fontId="13" fillId="0" borderId="47" xfId="0" applyNumberFormat="1" applyFont="1" applyFill="1" applyBorder="1" applyAlignment="1"/>
    <xf numFmtId="3" fontId="47" fillId="0" borderId="16" xfId="0" applyNumberFormat="1" applyFont="1" applyFill="1" applyBorder="1" applyAlignment="1">
      <alignment horizontal="right"/>
    </xf>
    <xf numFmtId="3" fontId="47" fillId="0" borderId="17" xfId="0" applyNumberFormat="1" applyFont="1" applyFill="1" applyBorder="1" applyAlignment="1">
      <alignment horizontal="right"/>
    </xf>
    <xf numFmtId="3" fontId="14" fillId="0" borderId="16" xfId="0" applyNumberFormat="1" applyFont="1" applyFill="1" applyBorder="1" applyAlignment="1">
      <alignment horizontal="right"/>
    </xf>
    <xf numFmtId="3" fontId="14" fillId="0" borderId="17" xfId="0" applyNumberFormat="1" applyFont="1" applyFill="1" applyBorder="1" applyAlignment="1">
      <alignment horizontal="right"/>
    </xf>
    <xf numFmtId="3" fontId="34" fillId="0" borderId="111" xfId="0" applyNumberFormat="1" applyFont="1" applyFill="1" applyBorder="1" applyAlignment="1">
      <alignment horizontal="center" vertical="center"/>
    </xf>
    <xf numFmtId="3" fontId="34" fillId="0" borderId="42" xfId="0" applyNumberFormat="1" applyFont="1" applyFill="1" applyBorder="1" applyAlignment="1">
      <alignment horizontal="center" vertical="center"/>
    </xf>
    <xf numFmtId="3" fontId="34" fillId="0" borderId="241" xfId="0" applyNumberFormat="1" applyFont="1" applyFill="1" applyBorder="1" applyAlignment="1">
      <alignment horizontal="center" vertical="center"/>
    </xf>
    <xf numFmtId="3" fontId="34" fillId="0" borderId="244" xfId="0" applyNumberFormat="1" applyFont="1" applyFill="1" applyBorder="1" applyAlignment="1">
      <alignment horizontal="center" vertical="center"/>
    </xf>
    <xf numFmtId="3" fontId="34" fillId="0" borderId="241" xfId="0" applyNumberFormat="1" applyFont="1" applyFill="1" applyBorder="1" applyAlignment="1">
      <alignment vertical="center"/>
    </xf>
    <xf numFmtId="3" fontId="34" fillId="0" borderId="242" xfId="0" applyNumberFormat="1" applyFont="1" applyFill="1" applyBorder="1" applyAlignment="1">
      <alignment vertical="center"/>
    </xf>
    <xf numFmtId="3" fontId="14" fillId="0" borderId="118" xfId="0" applyNumberFormat="1" applyFont="1" applyFill="1" applyBorder="1" applyAlignment="1"/>
    <xf numFmtId="3" fontId="14" fillId="0" borderId="241" xfId="0" applyNumberFormat="1" applyFont="1" applyFill="1" applyBorder="1" applyAlignment="1">
      <alignment horizontal="right"/>
    </xf>
    <xf numFmtId="3" fontId="14" fillId="0" borderId="191" xfId="0" applyNumberFormat="1" applyFont="1" applyFill="1" applyBorder="1" applyAlignment="1">
      <alignment horizontal="right"/>
    </xf>
    <xf numFmtId="3" fontId="13" fillId="0" borderId="42" xfId="0" applyNumberFormat="1" applyFont="1" applyFill="1" applyBorder="1" applyAlignment="1">
      <alignment horizontal="right"/>
    </xf>
    <xf numFmtId="3" fontId="14" fillId="0" borderId="42" xfId="0" applyNumberFormat="1" applyFont="1" applyFill="1" applyBorder="1" applyAlignment="1">
      <alignment horizontal="right"/>
    </xf>
    <xf numFmtId="3" fontId="14" fillId="0" borderId="42" xfId="0" applyNumberFormat="1" applyFont="1" applyFill="1" applyBorder="1" applyAlignment="1">
      <alignment horizontal="center" vertical="center"/>
    </xf>
    <xf numFmtId="3" fontId="14" fillId="0" borderId="23" xfId="0" applyNumberFormat="1" applyFont="1" applyFill="1" applyBorder="1" applyAlignment="1">
      <alignment horizontal="center" vertical="center"/>
    </xf>
    <xf numFmtId="3" fontId="14" fillId="0" borderId="16" xfId="0" applyNumberFormat="1" applyFont="1" applyFill="1" applyBorder="1" applyAlignment="1">
      <alignment horizontal="center" vertical="center"/>
    </xf>
    <xf numFmtId="3" fontId="14" fillId="0" borderId="241" xfId="0" applyNumberFormat="1" applyFont="1" applyFill="1" applyBorder="1" applyAlignment="1">
      <alignment horizontal="center" vertical="center"/>
    </xf>
    <xf numFmtId="3" fontId="14" fillId="0" borderId="244" xfId="0" applyNumberFormat="1" applyFont="1" applyFill="1" applyBorder="1" applyAlignment="1">
      <alignment horizontal="center" vertical="center"/>
    </xf>
    <xf numFmtId="3" fontId="34" fillId="0" borderId="241" xfId="37" applyNumberFormat="1" applyFont="1" applyFill="1" applyBorder="1" applyAlignment="1"/>
    <xf numFmtId="3" fontId="14" fillId="0" borderId="111" xfId="0" applyNumberFormat="1" applyFont="1" applyFill="1" applyBorder="1" applyAlignment="1">
      <alignment horizontal="center" vertical="center"/>
    </xf>
    <xf numFmtId="3" fontId="14" fillId="0" borderId="103" xfId="37" applyNumberFormat="1" applyFont="1" applyFill="1" applyBorder="1" applyAlignment="1">
      <alignment horizontal="center" vertical="center"/>
    </xf>
    <xf numFmtId="3" fontId="14" fillId="0" borderId="0" xfId="0" applyNumberFormat="1" applyFont="1" applyFill="1" applyBorder="1" applyAlignment="1">
      <alignment horizontal="center" vertical="center"/>
    </xf>
    <xf numFmtId="3" fontId="34" fillId="0" borderId="243" xfId="0" applyNumberFormat="1" applyFont="1" applyFill="1" applyBorder="1" applyAlignment="1">
      <alignment vertical="center"/>
    </xf>
    <xf numFmtId="3" fontId="14" fillId="0" borderId="63" xfId="0" applyNumberFormat="1" applyFont="1" applyFill="1" applyBorder="1" applyAlignment="1">
      <alignment horizontal="right"/>
    </xf>
    <xf numFmtId="3" fontId="34" fillId="0" borderId="63" xfId="0" applyNumberFormat="1" applyFont="1" applyFill="1" applyBorder="1" applyAlignment="1">
      <alignment horizontal="right"/>
    </xf>
    <xf numFmtId="3" fontId="34" fillId="0" borderId="44" xfId="0" applyNumberFormat="1" applyFont="1" applyFill="1" applyBorder="1" applyAlignment="1">
      <alignment horizontal="right"/>
    </xf>
    <xf numFmtId="3" fontId="14" fillId="0" borderId="62" xfId="0" applyNumberFormat="1" applyFont="1" applyFill="1" applyBorder="1" applyAlignment="1">
      <alignment horizontal="center" vertical="center"/>
    </xf>
    <xf numFmtId="3" fontId="14" fillId="0" borderId="109" xfId="0" applyNumberFormat="1" applyFont="1" applyFill="1" applyBorder="1" applyAlignment="1">
      <alignment horizontal="center" vertical="center"/>
    </xf>
    <xf numFmtId="3" fontId="14" fillId="0" borderId="4" xfId="0" applyNumberFormat="1" applyFont="1" applyFill="1" applyBorder="1" applyAlignment="1">
      <alignment horizontal="center" vertical="center"/>
    </xf>
    <xf numFmtId="3" fontId="14" fillId="0" borderId="99" xfId="0" applyNumberFormat="1" applyFont="1" applyFill="1" applyBorder="1" applyAlignment="1">
      <alignment horizontal="center" vertical="center"/>
    </xf>
    <xf numFmtId="3" fontId="14" fillId="0" borderId="45" xfId="0" applyNumberFormat="1" applyFont="1" applyFill="1" applyBorder="1" applyAlignment="1">
      <alignment horizontal="center" vertical="center"/>
    </xf>
    <xf numFmtId="3" fontId="14" fillId="0" borderId="64" xfId="0" applyNumberFormat="1" applyFont="1" applyFill="1" applyBorder="1" applyAlignment="1">
      <alignment horizontal="center" vertical="center"/>
    </xf>
    <xf numFmtId="3" fontId="14" fillId="0" borderId="44" xfId="0" applyNumberFormat="1" applyFont="1" applyFill="1" applyBorder="1" applyAlignment="1">
      <alignment horizontal="right"/>
    </xf>
    <xf numFmtId="3" fontId="14" fillId="0" borderId="103" xfId="37" applyNumberFormat="1" applyFont="1" applyFill="1" applyBorder="1" applyAlignment="1">
      <alignment horizontal="center"/>
    </xf>
    <xf numFmtId="3" fontId="13" fillId="0" borderId="16" xfId="0" applyNumberFormat="1" applyFont="1" applyFill="1" applyBorder="1" applyAlignment="1">
      <alignment horizontal="right" vertical="center"/>
    </xf>
    <xf numFmtId="3" fontId="34" fillId="0" borderId="143" xfId="37" applyNumberFormat="1" applyFont="1" applyFill="1" applyBorder="1" applyAlignment="1"/>
    <xf numFmtId="3" fontId="34" fillId="0" borderId="42" xfId="37" applyNumberFormat="1" applyFont="1" applyFill="1" applyBorder="1" applyAlignment="1">
      <alignment horizontal="center"/>
    </xf>
    <xf numFmtId="3" fontId="34" fillId="0" borderId="42" xfId="0" applyNumberFormat="1" applyFont="1" applyFill="1" applyBorder="1" applyAlignment="1">
      <alignment horizontal="right" vertical="center"/>
    </xf>
    <xf numFmtId="3" fontId="34" fillId="0" borderId="43" xfId="0" applyNumberFormat="1" applyFont="1" applyFill="1" applyBorder="1" applyAlignment="1">
      <alignment horizontal="right" vertical="center"/>
    </xf>
    <xf numFmtId="3" fontId="34" fillId="0" borderId="109" xfId="0" applyNumberFormat="1" applyFont="1" applyFill="1" applyBorder="1" applyAlignment="1">
      <alignment horizontal="center" vertical="center"/>
    </xf>
    <xf numFmtId="3" fontId="34" fillId="0" borderId="16" xfId="37" applyNumberFormat="1" applyFont="1" applyFill="1" applyBorder="1" applyAlignment="1">
      <alignment horizontal="center"/>
    </xf>
    <xf numFmtId="3" fontId="13" fillId="0" borderId="17" xfId="0" applyNumberFormat="1" applyFont="1" applyFill="1" applyBorder="1" applyAlignment="1">
      <alignment horizontal="right" vertical="center"/>
    </xf>
    <xf numFmtId="3" fontId="34" fillId="0" borderId="125" xfId="0" applyNumberFormat="1" applyFont="1" applyFill="1" applyBorder="1" applyAlignment="1">
      <alignment horizontal="center" vertical="center"/>
    </xf>
    <xf numFmtId="3" fontId="34" fillId="0" borderId="0" xfId="0" applyNumberFormat="1" applyFont="1" applyFill="1" applyBorder="1" applyAlignment="1">
      <alignment horizontal="center" vertical="center"/>
    </xf>
    <xf numFmtId="3" fontId="34" fillId="0" borderId="63" xfId="37" applyNumberFormat="1" applyFont="1" applyFill="1" applyBorder="1" applyAlignment="1">
      <alignment horizontal="center"/>
    </xf>
    <xf numFmtId="3" fontId="14" fillId="0" borderId="63" xfId="0" applyNumberFormat="1" applyFont="1" applyFill="1" applyBorder="1" applyAlignment="1">
      <alignment horizontal="right" vertical="center"/>
    </xf>
    <xf numFmtId="3" fontId="14" fillId="0" borderId="44" xfId="0" applyNumberFormat="1" applyFont="1" applyFill="1" applyBorder="1" applyAlignment="1">
      <alignment horizontal="right" vertical="center"/>
    </xf>
    <xf numFmtId="3" fontId="34" fillId="0" borderId="103" xfId="0" applyNumberFormat="1" applyFont="1" applyFill="1" applyBorder="1" applyAlignment="1">
      <alignment horizontal="center"/>
    </xf>
    <xf numFmtId="3" fontId="34" fillId="0" borderId="45" xfId="0" applyNumberFormat="1" applyFont="1" applyFill="1" applyBorder="1" applyAlignment="1">
      <alignment horizontal="center" vertical="center"/>
    </xf>
    <xf numFmtId="3" fontId="34" fillId="0" borderId="64" xfId="0" applyNumberFormat="1" applyFont="1" applyFill="1" applyBorder="1" applyAlignment="1">
      <alignment horizontal="center"/>
    </xf>
    <xf numFmtId="3" fontId="34" fillId="0" borderId="64" xfId="0" applyNumberFormat="1" applyFont="1" applyFill="1" applyBorder="1" applyAlignment="1">
      <alignment horizontal="center" vertical="center"/>
    </xf>
    <xf numFmtId="3" fontId="35" fillId="0" borderId="62" xfId="0" applyNumberFormat="1" applyFont="1" applyFill="1" applyBorder="1" applyAlignment="1">
      <alignment horizontal="left" vertical="center" wrapText="1"/>
    </xf>
    <xf numFmtId="3" fontId="35" fillId="0" borderId="115" xfId="0" applyNumberFormat="1" applyFont="1" applyFill="1" applyBorder="1" applyAlignment="1">
      <alignment horizontal="left" vertical="center" wrapText="1"/>
    </xf>
    <xf numFmtId="3" fontId="35" fillId="0" borderId="42" xfId="0" applyNumberFormat="1" applyFont="1" applyFill="1" applyBorder="1" applyAlignment="1">
      <alignment horizontal="left" vertical="center" wrapText="1"/>
    </xf>
    <xf numFmtId="3" fontId="35" fillId="0" borderId="42" xfId="0" applyNumberFormat="1" applyFont="1" applyFill="1" applyBorder="1" applyAlignment="1">
      <alignment horizontal="right" vertical="center"/>
    </xf>
    <xf numFmtId="3" fontId="35" fillId="0" borderId="143" xfId="0" applyNumberFormat="1" applyFont="1" applyFill="1" applyBorder="1" applyAlignment="1">
      <alignment horizontal="right" vertical="center"/>
    </xf>
    <xf numFmtId="3" fontId="34" fillId="0" borderId="145" xfId="0" applyNumberFormat="1" applyFont="1" applyFill="1" applyBorder="1" applyAlignment="1">
      <alignment horizontal="right" vertical="center"/>
    </xf>
    <xf numFmtId="3" fontId="35" fillId="0" borderId="5" xfId="0" applyNumberFormat="1" applyFont="1" applyFill="1" applyBorder="1" applyAlignment="1">
      <alignment horizontal="left" vertical="center" wrapText="1"/>
    </xf>
    <xf numFmtId="3" fontId="35" fillId="0" borderId="6" xfId="0" applyNumberFormat="1" applyFont="1" applyFill="1" applyBorder="1" applyAlignment="1">
      <alignment horizontal="left" vertical="center" wrapText="1"/>
    </xf>
    <xf numFmtId="3" fontId="14" fillId="0" borderId="142" xfId="37" applyNumberFormat="1" applyFont="1" applyFill="1" applyBorder="1" applyAlignment="1"/>
    <xf numFmtId="3" fontId="35" fillId="0" borderId="6" xfId="0" applyNumberFormat="1" applyFont="1" applyFill="1" applyBorder="1" applyAlignment="1">
      <alignment horizontal="right" vertical="center"/>
    </xf>
    <xf numFmtId="3" fontId="14" fillId="0" borderId="148" xfId="0" applyNumberFormat="1" applyFont="1" applyFill="1" applyBorder="1" applyAlignment="1"/>
    <xf numFmtId="3" fontId="34" fillId="0" borderId="6" xfId="0" applyNumberFormat="1" applyFont="1" applyFill="1" applyBorder="1" applyAlignment="1">
      <alignment horizontal="right" vertical="center"/>
    </xf>
    <xf numFmtId="3" fontId="34" fillId="0" borderId="19" xfId="0" applyNumberFormat="1" applyFont="1" applyFill="1" applyBorder="1" applyAlignment="1">
      <alignment horizontal="right" vertical="center"/>
    </xf>
    <xf numFmtId="3" fontId="11" fillId="0" borderId="61" xfId="40" applyNumberFormat="1" applyFont="1" applyBorder="1" applyAlignment="1" applyProtection="1">
      <alignment horizontal="left"/>
      <protection locked="0"/>
    </xf>
    <xf numFmtId="3" fontId="13" fillId="0" borderId="63" xfId="40" applyNumberFormat="1" applyFont="1" applyBorder="1" applyAlignment="1" applyProtection="1">
      <alignment horizontal="left"/>
      <protection locked="0"/>
    </xf>
    <xf numFmtId="0" fontId="11" fillId="0" borderId="18" xfId="40" applyFont="1" applyBorder="1" applyAlignment="1" applyProtection="1">
      <alignment horizontal="left"/>
      <protection locked="0"/>
    </xf>
    <xf numFmtId="0" fontId="11" fillId="0" borderId="16" xfId="40" applyFont="1" applyBorder="1" applyAlignment="1" applyProtection="1">
      <alignment horizontal="left" shrinkToFit="1"/>
      <protection locked="0"/>
    </xf>
    <xf numFmtId="3" fontId="11" fillId="0" borderId="61" xfId="40" applyNumberFormat="1" applyFont="1" applyBorder="1" applyAlignment="1" applyProtection="1">
      <alignment horizontal="right"/>
      <protection locked="0"/>
    </xf>
    <xf numFmtId="3" fontId="13" fillId="0" borderId="16" xfId="40" applyNumberFormat="1" applyFont="1" applyBorder="1" applyProtection="1">
      <protection locked="0"/>
    </xf>
    <xf numFmtId="3" fontId="11" fillId="0" borderId="228" xfId="40" applyNumberFormat="1" applyFont="1" applyBorder="1" applyProtection="1">
      <protection locked="0"/>
    </xf>
    <xf numFmtId="3" fontId="13" fillId="0" borderId="16" xfId="40" applyNumberFormat="1" applyFont="1" applyBorder="1" applyAlignment="1" applyProtection="1">
      <alignment horizontal="left"/>
      <protection locked="0"/>
    </xf>
    <xf numFmtId="0" fontId="11" fillId="0" borderId="0" xfId="40" applyFont="1" applyBorder="1" applyAlignment="1" applyProtection="1">
      <alignment horizontal="left" wrapText="1"/>
      <protection locked="0"/>
    </xf>
    <xf numFmtId="3" fontId="11" fillId="0" borderId="61" xfId="40" applyNumberFormat="1" applyFont="1" applyBorder="1" applyAlignment="1" applyProtection="1">
      <alignment horizontal="right" vertical="top"/>
      <protection locked="0"/>
    </xf>
    <xf numFmtId="3" fontId="13" fillId="0" borderId="16" xfId="40" applyNumberFormat="1" applyFont="1" applyBorder="1" applyAlignment="1" applyProtection="1">
      <alignment vertical="top"/>
      <protection locked="0"/>
    </xf>
    <xf numFmtId="3" fontId="11" fillId="0" borderId="228" xfId="40" applyNumberFormat="1" applyFont="1" applyBorder="1" applyAlignment="1" applyProtection="1">
      <alignment vertical="top"/>
      <protection locked="0"/>
    </xf>
    <xf numFmtId="3" fontId="11" fillId="0" borderId="22" xfId="40" applyNumberFormat="1" applyFont="1" applyFill="1" applyBorder="1" applyAlignment="1" applyProtection="1">
      <alignment horizontal="right" vertical="center"/>
      <protection locked="0"/>
    </xf>
    <xf numFmtId="0" fontId="11" fillId="0" borderId="0" xfId="40" applyFont="1" applyAlignment="1" applyProtection="1">
      <alignment horizontal="center"/>
      <protection locked="0"/>
    </xf>
    <xf numFmtId="3" fontId="6" fillId="0" borderId="16" xfId="0" applyNumberFormat="1" applyFont="1" applyBorder="1"/>
    <xf numFmtId="3" fontId="6" fillId="0" borderId="0" xfId="0" applyNumberFormat="1" applyFont="1"/>
    <xf numFmtId="3" fontId="11" fillId="0" borderId="47" xfId="40" applyNumberFormat="1" applyFont="1" applyBorder="1" applyAlignment="1" applyProtection="1">
      <alignment horizontal="right"/>
      <protection locked="0"/>
    </xf>
    <xf numFmtId="3" fontId="11" fillId="0" borderId="18" xfId="40" applyNumberFormat="1" applyFont="1" applyBorder="1" applyProtection="1">
      <protection locked="0"/>
    </xf>
    <xf numFmtId="0" fontId="11" fillId="0" borderId="45" xfId="41" applyFont="1" applyBorder="1" applyAlignment="1" applyProtection="1">
      <alignment horizontal="center"/>
      <protection locked="0"/>
    </xf>
    <xf numFmtId="3" fontId="11" fillId="0" borderId="63" xfId="37" applyNumberFormat="1" applyFont="1" applyBorder="1" applyAlignment="1" applyProtection="1">
      <alignment horizontal="center" vertical="top"/>
      <protection locked="0"/>
    </xf>
    <xf numFmtId="0" fontId="11" fillId="0" borderId="63" xfId="40" applyFont="1" applyBorder="1" applyAlignment="1" applyProtection="1">
      <alignment horizontal="left" wrapText="1"/>
      <protection locked="0"/>
    </xf>
    <xf numFmtId="0" fontId="11" fillId="0" borderId="63" xfId="41" applyFont="1" applyBorder="1" applyAlignment="1" applyProtection="1">
      <alignment horizontal="center"/>
      <protection locked="0"/>
    </xf>
    <xf numFmtId="3" fontId="11" fillId="0" borderId="63" xfId="41" applyNumberFormat="1" applyFont="1" applyBorder="1" applyAlignment="1" applyProtection="1">
      <alignment vertical="center"/>
      <protection locked="0"/>
    </xf>
    <xf numFmtId="3" fontId="11" fillId="0" borderId="63" xfId="40" applyNumberFormat="1" applyFont="1" applyBorder="1" applyAlignment="1" applyProtection="1">
      <alignment vertical="center"/>
      <protection locked="0"/>
    </xf>
    <xf numFmtId="3" fontId="11" fillId="0" borderId="243" xfId="40" applyNumberFormat="1" applyFont="1" applyBorder="1" applyAlignment="1" applyProtection="1">
      <alignment horizontal="right" vertical="center"/>
      <protection locked="0"/>
    </xf>
    <xf numFmtId="3" fontId="11" fillId="0" borderId="163" xfId="40" applyNumberFormat="1" applyFont="1" applyBorder="1" applyAlignment="1" applyProtection="1">
      <alignment horizontal="right"/>
      <protection locked="0"/>
    </xf>
    <xf numFmtId="0" fontId="11" fillId="0" borderId="62" xfId="41" applyFont="1" applyBorder="1" applyAlignment="1" applyProtection="1">
      <alignment horizontal="center"/>
      <protection locked="0"/>
    </xf>
    <xf numFmtId="3" fontId="11" fillId="0" borderId="42" xfId="37" applyNumberFormat="1" applyFont="1" applyBorder="1" applyAlignment="1" applyProtection="1">
      <alignment horizontal="center"/>
      <protection locked="0"/>
    </xf>
    <xf numFmtId="0" fontId="11" fillId="0" borderId="42" xfId="40" applyFont="1" applyBorder="1" applyAlignment="1" applyProtection="1">
      <alignment horizontal="left" wrapText="1"/>
      <protection locked="0"/>
    </xf>
    <xf numFmtId="0" fontId="11" fillId="0" borderId="42" xfId="41" applyFont="1" applyBorder="1" applyAlignment="1" applyProtection="1">
      <alignment horizontal="center"/>
      <protection locked="0"/>
    </xf>
    <xf numFmtId="3" fontId="11" fillId="0" borderId="42" xfId="41" applyNumberFormat="1" applyFont="1" applyBorder="1" applyAlignment="1" applyProtection="1">
      <alignment vertical="center"/>
      <protection locked="0"/>
    </xf>
    <xf numFmtId="3" fontId="11" fillId="0" borderId="42" xfId="40" applyNumberFormat="1" applyFont="1" applyBorder="1" applyAlignment="1" applyProtection="1">
      <alignment vertical="center"/>
      <protection locked="0"/>
    </xf>
    <xf numFmtId="3" fontId="11" fillId="0" borderId="143" xfId="40" applyNumberFormat="1" applyFont="1" applyBorder="1" applyAlignment="1" applyProtection="1">
      <alignment horizontal="right" vertical="center"/>
      <protection locked="0"/>
    </xf>
    <xf numFmtId="3" fontId="11" fillId="0" borderId="145" xfId="40" applyNumberFormat="1" applyFont="1" applyBorder="1" applyAlignment="1" applyProtection="1">
      <alignment horizontal="right"/>
      <protection locked="0"/>
    </xf>
    <xf numFmtId="3" fontId="13" fillId="0" borderId="63" xfId="40" applyNumberFormat="1" applyFont="1" applyBorder="1" applyProtection="1">
      <protection locked="0"/>
    </xf>
    <xf numFmtId="3" fontId="14" fillId="0" borderId="247" xfId="40" applyNumberFormat="1" applyFont="1" applyFill="1" applyBorder="1" applyAlignment="1" applyProtection="1">
      <alignment horizontal="right" vertical="center"/>
      <protection locked="0"/>
    </xf>
    <xf numFmtId="3" fontId="17" fillId="0" borderId="127" xfId="40" applyNumberFormat="1" applyFont="1" applyFill="1" applyBorder="1" applyAlignment="1" applyProtection="1">
      <alignment horizontal="right" vertical="center"/>
      <protection locked="0"/>
    </xf>
    <xf numFmtId="3" fontId="14" fillId="0" borderId="239" xfId="40" applyNumberFormat="1" applyFont="1" applyFill="1" applyBorder="1" applyAlignment="1" applyProtection="1">
      <alignment horizontal="right" vertical="center"/>
      <protection locked="0"/>
    </xf>
    <xf numFmtId="0" fontId="11" fillId="0" borderId="228" xfId="40" applyFont="1" applyBorder="1" applyAlignment="1" applyProtection="1">
      <alignment horizontal="left"/>
      <protection locked="0"/>
    </xf>
    <xf numFmtId="3" fontId="11" fillId="0" borderId="21" xfId="37" applyNumberFormat="1" applyFont="1" applyBorder="1" applyAlignment="1" applyProtection="1">
      <alignment horizontal="center" vertical="top"/>
      <protection locked="0"/>
    </xf>
    <xf numFmtId="3" fontId="14" fillId="0" borderId="134" xfId="40" applyNumberFormat="1" applyFont="1" applyFill="1" applyBorder="1" applyAlignment="1" applyProtection="1">
      <alignment horizontal="right" vertical="center"/>
      <protection locked="0"/>
    </xf>
    <xf numFmtId="3" fontId="17" fillId="0" borderId="60" xfId="40" applyNumberFormat="1" applyFont="1" applyFill="1" applyBorder="1" applyAlignment="1" applyProtection="1">
      <alignment horizontal="right" vertical="center"/>
      <protection locked="0"/>
    </xf>
    <xf numFmtId="3" fontId="14" fillId="0" borderId="29" xfId="40" applyNumberFormat="1" applyFont="1" applyFill="1" applyBorder="1" applyAlignment="1" applyProtection="1">
      <alignment horizontal="right" vertical="center"/>
      <protection locked="0"/>
    </xf>
    <xf numFmtId="0" fontId="13" fillId="0" borderId="0" xfId="40" applyFont="1" applyFill="1" applyBorder="1" applyProtection="1">
      <protection locked="0"/>
    </xf>
    <xf numFmtId="3" fontId="13" fillId="0" borderId="103" xfId="27" applyNumberFormat="1" applyFont="1" applyFill="1" applyBorder="1" applyAlignment="1">
      <alignment horizontal="right"/>
    </xf>
    <xf numFmtId="3" fontId="17" fillId="0" borderId="21" xfId="0" applyNumberFormat="1" applyFont="1" applyFill="1" applyBorder="1" applyAlignment="1">
      <alignment horizontal="right" wrapText="1"/>
    </xf>
    <xf numFmtId="3" fontId="13" fillId="0" borderId="21" xfId="0" applyNumberFormat="1" applyFont="1" applyFill="1" applyBorder="1" applyAlignment="1">
      <alignment horizontal="right" wrapText="1"/>
    </xf>
    <xf numFmtId="3" fontId="17" fillId="0" borderId="26" xfId="0" applyNumberFormat="1" applyFont="1" applyFill="1" applyBorder="1" applyAlignment="1">
      <alignment horizontal="right" wrapText="1"/>
    </xf>
    <xf numFmtId="3" fontId="14" fillId="0" borderId="103" xfId="27" applyNumberFormat="1" applyFont="1" applyFill="1" applyBorder="1" applyAlignment="1">
      <alignment horizontal="right"/>
    </xf>
    <xf numFmtId="3" fontId="14" fillId="0" borderId="21" xfId="0" applyNumberFormat="1" applyFont="1" applyFill="1" applyBorder="1" applyAlignment="1">
      <alignment horizontal="right" wrapText="1"/>
    </xf>
    <xf numFmtId="3" fontId="13" fillId="0" borderId="16" xfId="0" applyNumberFormat="1" applyFont="1" applyFill="1" applyBorder="1" applyAlignment="1">
      <alignment horizontal="right" wrapText="1"/>
    </xf>
    <xf numFmtId="3" fontId="14" fillId="0" borderId="16" xfId="0" applyNumberFormat="1" applyFont="1" applyFill="1" applyBorder="1" applyAlignment="1">
      <alignment horizontal="right" wrapText="1"/>
    </xf>
    <xf numFmtId="3" fontId="3" fillId="0" borderId="132" xfId="27" applyNumberFormat="1" applyFont="1" applyFill="1" applyBorder="1" applyAlignment="1">
      <alignment horizontal="center" vertical="center"/>
    </xf>
    <xf numFmtId="3" fontId="17" fillId="0" borderId="16" xfId="0" applyNumberFormat="1" applyFont="1" applyFill="1" applyBorder="1" applyAlignment="1">
      <alignment horizontal="right" wrapText="1"/>
    </xf>
    <xf numFmtId="3" fontId="17" fillId="0" borderId="17" xfId="0" applyNumberFormat="1" applyFont="1" applyFill="1" applyBorder="1" applyAlignment="1">
      <alignment horizontal="right" wrapText="1"/>
    </xf>
    <xf numFmtId="3" fontId="14" fillId="0" borderId="17" xfId="0" applyNumberFormat="1" applyFont="1" applyFill="1" applyBorder="1" applyAlignment="1">
      <alignment horizontal="right" wrapText="1"/>
    </xf>
    <xf numFmtId="3" fontId="13" fillId="0" borderId="21" xfId="27" applyNumberFormat="1" applyFont="1" applyFill="1" applyBorder="1" applyAlignment="1">
      <alignment horizontal="left" vertical="top" wrapText="1" indent="4"/>
    </xf>
    <xf numFmtId="3" fontId="17" fillId="0" borderId="103" xfId="27" applyNumberFormat="1" applyFont="1" applyFill="1" applyBorder="1" applyAlignment="1">
      <alignment horizontal="right"/>
    </xf>
    <xf numFmtId="3" fontId="13" fillId="0" borderId="17" xfId="0" applyNumberFormat="1" applyFont="1" applyFill="1" applyBorder="1" applyAlignment="1">
      <alignment horizontal="right" wrapText="1"/>
    </xf>
    <xf numFmtId="3" fontId="3" fillId="0" borderId="42" xfId="27" applyNumberFormat="1" applyFont="1" applyFill="1" applyBorder="1" applyAlignment="1">
      <alignment horizontal="center" vertical="center"/>
    </xf>
    <xf numFmtId="3" fontId="3" fillId="0" borderId="20" xfId="27" applyNumberFormat="1" applyFont="1" applyFill="1" applyBorder="1" applyAlignment="1">
      <alignment horizontal="center" vertical="center"/>
    </xf>
    <xf numFmtId="3" fontId="3" fillId="0" borderId="187" xfId="27" applyNumberFormat="1" applyFont="1" applyFill="1" applyBorder="1" applyAlignment="1">
      <alignment horizontal="center" vertical="center"/>
    </xf>
    <xf numFmtId="3" fontId="3" fillId="0" borderId="21" xfId="27" applyNumberFormat="1" applyFont="1" applyFill="1" applyBorder="1" applyAlignment="1">
      <alignment horizontal="center" vertical="center"/>
    </xf>
    <xf numFmtId="3" fontId="43" fillId="0" borderId="20" xfId="27" applyNumberFormat="1" applyFont="1" applyFill="1" applyBorder="1" applyAlignment="1">
      <alignment horizontal="center" vertical="center"/>
    </xf>
    <xf numFmtId="3" fontId="43" fillId="0" borderId="187" xfId="27" applyNumberFormat="1" applyFont="1" applyFill="1" applyBorder="1" applyAlignment="1">
      <alignment horizontal="center" vertical="center"/>
    </xf>
    <xf numFmtId="3" fontId="43" fillId="0" borderId="21" xfId="27" applyNumberFormat="1" applyFont="1" applyFill="1" applyBorder="1" applyAlignment="1">
      <alignment horizontal="center" vertical="center"/>
    </xf>
    <xf numFmtId="3" fontId="14" fillId="0" borderId="16" xfId="0" applyNumberFormat="1" applyFont="1" applyFill="1" applyBorder="1" applyAlignment="1">
      <alignment horizontal="right" vertical="center" wrapText="1"/>
    </xf>
    <xf numFmtId="3" fontId="14" fillId="0" borderId="17" xfId="0" applyNumberFormat="1" applyFont="1" applyFill="1" applyBorder="1" applyAlignment="1">
      <alignment horizontal="right" vertical="center" wrapText="1"/>
    </xf>
    <xf numFmtId="3" fontId="14" fillId="4" borderId="16" xfId="27" applyNumberFormat="1" applyFont="1" applyFill="1" applyBorder="1" applyAlignment="1">
      <alignment wrapText="1"/>
    </xf>
    <xf numFmtId="3" fontId="34" fillId="4" borderId="21" xfId="27" applyNumberFormat="1" applyFont="1" applyFill="1" applyBorder="1" applyAlignment="1">
      <alignment wrapText="1"/>
    </xf>
    <xf numFmtId="3" fontId="17" fillId="0" borderId="16" xfId="0" applyNumberFormat="1" applyFont="1" applyFill="1" applyBorder="1" applyAlignment="1">
      <alignment horizontal="right" vertical="center" wrapText="1"/>
    </xf>
    <xf numFmtId="3" fontId="17" fillId="0" borderId="17" xfId="0" applyNumberFormat="1" applyFont="1" applyFill="1" applyBorder="1" applyAlignment="1">
      <alignment horizontal="right" vertical="center" wrapText="1"/>
    </xf>
    <xf numFmtId="3" fontId="13" fillId="0" borderId="26" xfId="0" applyNumberFormat="1" applyFont="1" applyFill="1" applyBorder="1" applyAlignment="1">
      <alignment horizontal="right" wrapText="1"/>
    </xf>
    <xf numFmtId="3" fontId="14" fillId="0" borderId="26" xfId="0" applyNumberFormat="1" applyFont="1" applyFill="1" applyBorder="1" applyAlignment="1">
      <alignment horizontal="right" wrapText="1"/>
    </xf>
    <xf numFmtId="3" fontId="13" fillId="0" borderId="21" xfId="27" applyNumberFormat="1" applyFont="1" applyFill="1" applyBorder="1" applyAlignment="1">
      <alignment horizontal="left" wrapText="1" indent="2"/>
    </xf>
    <xf numFmtId="3" fontId="14" fillId="0" borderId="21" xfId="27" applyNumberFormat="1" applyFont="1" applyFill="1" applyBorder="1" applyAlignment="1">
      <alignment horizontal="left" wrapText="1" indent="2"/>
    </xf>
    <xf numFmtId="3" fontId="13" fillId="0" borderId="16" xfId="0" applyNumberFormat="1" applyFont="1" applyFill="1" applyBorder="1" applyAlignment="1">
      <alignment horizontal="right" vertical="center" wrapText="1"/>
    </xf>
    <xf numFmtId="3" fontId="14" fillId="0" borderId="16" xfId="0" applyNumberFormat="1" applyFont="1" applyFill="1" applyBorder="1" applyAlignment="1">
      <alignment wrapText="1"/>
    </xf>
    <xf numFmtId="3" fontId="14" fillId="0" borderId="248" xfId="27" applyNumberFormat="1" applyFont="1" applyFill="1" applyBorder="1" applyAlignment="1">
      <alignment horizontal="center" vertical="center"/>
    </xf>
    <xf numFmtId="3" fontId="11" fillId="0" borderId="249" xfId="27" applyNumberFormat="1" applyFont="1" applyFill="1" applyBorder="1" applyAlignment="1">
      <alignment horizontal="center" vertical="center" wrapText="1"/>
    </xf>
    <xf numFmtId="3" fontId="11" fillId="0" borderId="252" xfId="27" applyNumberFormat="1" applyFont="1" applyFill="1" applyBorder="1" applyAlignment="1">
      <alignment horizontal="center"/>
    </xf>
    <xf numFmtId="3" fontId="34" fillId="0" borderId="253" xfId="0" applyNumberFormat="1" applyFont="1" applyFill="1" applyBorder="1" applyAlignment="1">
      <alignment vertical="center"/>
    </xf>
    <xf numFmtId="3" fontId="34" fillId="0" borderId="254" xfId="0" applyNumberFormat="1" applyFont="1" applyFill="1" applyBorder="1" applyAlignment="1">
      <alignment vertical="center"/>
    </xf>
    <xf numFmtId="3" fontId="11" fillId="0" borderId="16" xfId="27" applyNumberFormat="1" applyFont="1" applyFill="1" applyBorder="1" applyAlignment="1">
      <alignment horizontal="center" vertical="center" wrapText="1"/>
    </xf>
    <xf numFmtId="3" fontId="34" fillId="0" borderId="228" xfId="0" applyNumberFormat="1" applyFont="1" applyFill="1" applyBorder="1" applyAlignment="1"/>
    <xf numFmtId="3" fontId="14" fillId="0" borderId="45" xfId="27" applyNumberFormat="1" applyFont="1" applyFill="1" applyBorder="1" applyAlignment="1">
      <alignment horizontal="center" vertical="center"/>
    </xf>
    <xf numFmtId="3" fontId="11" fillId="0" borderId="63" xfId="27" applyNumberFormat="1" applyFont="1" applyFill="1" applyBorder="1" applyAlignment="1">
      <alignment horizontal="center" vertical="center" wrapText="1"/>
    </xf>
    <xf numFmtId="3" fontId="11" fillId="0" borderId="163" xfId="27" applyNumberFormat="1" applyFont="1" applyFill="1" applyBorder="1" applyAlignment="1">
      <alignment horizontal="center"/>
    </xf>
    <xf numFmtId="3" fontId="17" fillId="0" borderId="103" xfId="0" applyNumberFormat="1" applyFont="1" applyFill="1" applyBorder="1" applyAlignment="1">
      <alignment vertical="center"/>
    </xf>
    <xf numFmtId="3" fontId="17" fillId="0" borderId="228" xfId="0" applyNumberFormat="1" applyFont="1" applyFill="1" applyBorder="1" applyAlignment="1">
      <alignment vertical="center"/>
    </xf>
    <xf numFmtId="3" fontId="14" fillId="0" borderId="96" xfId="27" applyNumberFormat="1" applyFont="1" applyFill="1" applyBorder="1" applyAlignment="1">
      <alignment horizontal="center" vertical="center"/>
    </xf>
    <xf numFmtId="3" fontId="11" fillId="0" borderId="97" xfId="27" applyNumberFormat="1" applyFont="1" applyFill="1" applyBorder="1" applyAlignment="1">
      <alignment horizontal="center" vertical="center" wrapText="1"/>
    </xf>
    <xf numFmtId="3" fontId="11" fillId="0" borderId="118" xfId="27" applyNumberFormat="1" applyFont="1" applyFill="1" applyBorder="1" applyAlignment="1">
      <alignment horizontal="center"/>
    </xf>
    <xf numFmtId="3" fontId="14" fillId="0" borderId="119" xfId="0" applyNumberFormat="1" applyFont="1" applyFill="1" applyBorder="1" applyAlignment="1">
      <alignment vertical="center"/>
    </xf>
    <xf numFmtId="3" fontId="14" fillId="0" borderId="256" xfId="0" applyNumberFormat="1" applyFont="1" applyFill="1" applyBorder="1" applyAlignment="1">
      <alignment vertical="center"/>
    </xf>
    <xf numFmtId="3" fontId="34" fillId="0" borderId="253" xfId="0" applyNumberFormat="1" applyFont="1" applyFill="1" applyBorder="1" applyAlignment="1">
      <alignment horizontal="right"/>
    </xf>
    <xf numFmtId="3" fontId="14" fillId="0" borderId="140" xfId="27" applyNumberFormat="1" applyFont="1" applyFill="1" applyBorder="1" applyAlignment="1">
      <alignment horizontal="right"/>
    </xf>
    <xf numFmtId="3" fontId="14" fillId="0" borderId="140" xfId="0" applyNumberFormat="1" applyFont="1" applyFill="1" applyBorder="1" applyAlignment="1">
      <alignment horizontal="right" wrapText="1"/>
    </xf>
    <xf numFmtId="3" fontId="14" fillId="0" borderId="138" xfId="0" applyNumberFormat="1" applyFont="1" applyFill="1" applyBorder="1" applyAlignment="1">
      <alignment horizontal="right" wrapText="1"/>
    </xf>
    <xf numFmtId="3" fontId="51" fillId="0" borderId="15" xfId="27" applyNumberFormat="1" applyFont="1" applyFill="1" applyBorder="1" applyAlignment="1">
      <alignment wrapText="1"/>
    </xf>
    <xf numFmtId="3" fontId="3" fillId="0" borderId="45" xfId="27" applyNumberFormat="1" applyFont="1" applyFill="1" applyBorder="1" applyAlignment="1">
      <alignment vertical="center" wrapText="1"/>
    </xf>
    <xf numFmtId="3" fontId="3" fillId="0" borderId="44" xfId="0" applyNumberFormat="1" applyFont="1" applyFill="1" applyBorder="1" applyAlignment="1">
      <alignment horizontal="right" vertical="center" wrapText="1"/>
    </xf>
    <xf numFmtId="3" fontId="52" fillId="0" borderId="45" xfId="27" applyNumberFormat="1" applyFont="1" applyFill="1" applyBorder="1" applyAlignment="1">
      <alignment horizontal="left" wrapText="1"/>
    </xf>
    <xf numFmtId="3" fontId="3" fillId="0" borderId="109" xfId="27" applyNumberFormat="1" applyFont="1" applyFill="1" applyBorder="1" applyAlignment="1">
      <alignment wrapText="1"/>
    </xf>
    <xf numFmtId="3" fontId="3" fillId="0" borderId="17" xfId="27" applyNumberFormat="1" applyFont="1" applyFill="1" applyBorder="1" applyAlignment="1">
      <alignment wrapText="1"/>
    </xf>
    <xf numFmtId="3" fontId="3" fillId="0" borderId="109" xfId="27" applyNumberFormat="1" applyFont="1" applyFill="1" applyBorder="1" applyAlignment="1">
      <alignment vertical="center" wrapText="1"/>
    </xf>
    <xf numFmtId="3" fontId="3" fillId="0" borderId="17" xfId="27" applyNumberFormat="1" applyFont="1" applyFill="1" applyBorder="1" applyAlignment="1">
      <alignment vertical="center" wrapText="1"/>
    </xf>
    <xf numFmtId="3" fontId="11" fillId="0" borderId="65" xfId="30" applyNumberFormat="1" applyFont="1" applyFill="1" applyBorder="1" applyAlignment="1">
      <alignment horizontal="right" vertical="center" wrapText="1"/>
    </xf>
    <xf numFmtId="3" fontId="11" fillId="0" borderId="21" xfId="30" applyNumberFormat="1" applyFont="1" applyFill="1" applyBorder="1" applyAlignment="1">
      <alignment horizontal="right" vertical="center" wrapText="1"/>
    </xf>
    <xf numFmtId="3" fontId="11" fillId="0" borderId="153" xfId="30" applyNumberFormat="1" applyFont="1" applyFill="1" applyBorder="1" applyAlignment="1">
      <alignment horizontal="right" vertical="center" wrapText="1"/>
    </xf>
    <xf numFmtId="0" fontId="46" fillId="0" borderId="15" xfId="40" applyFont="1" applyFill="1" applyBorder="1" applyAlignment="1">
      <alignment horizontal="center" vertical="center"/>
    </xf>
    <xf numFmtId="0" fontId="46" fillId="0" borderId="16" xfId="40" applyFont="1" applyFill="1" applyBorder="1" applyAlignment="1">
      <alignment horizontal="center" vertical="top"/>
    </xf>
    <xf numFmtId="3" fontId="46" fillId="0" borderId="16" xfId="40" applyNumberFormat="1" applyFont="1" applyFill="1" applyBorder="1" applyAlignment="1">
      <alignment horizontal="right" vertical="center"/>
    </xf>
    <xf numFmtId="3" fontId="46" fillId="0" borderId="16" xfId="30" applyNumberFormat="1" applyFont="1" applyFill="1" applyBorder="1" applyAlignment="1">
      <alignment horizontal="right" vertical="center"/>
    </xf>
    <xf numFmtId="3" fontId="46" fillId="0" borderId="20" xfId="40" applyNumberFormat="1" applyFont="1" applyFill="1" applyBorder="1" applyAlignment="1">
      <alignment horizontal="right" vertical="center"/>
    </xf>
    <xf numFmtId="0" fontId="46" fillId="0" borderId="47" xfId="40" applyFont="1" applyFill="1" applyBorder="1" applyAlignment="1">
      <alignment horizontal="center" vertical="center" wrapText="1"/>
    </xf>
    <xf numFmtId="3" fontId="46" fillId="0" borderId="103" xfId="30" applyNumberFormat="1" applyFont="1" applyFill="1" applyBorder="1" applyAlignment="1">
      <alignment horizontal="right" vertical="center" wrapText="1"/>
    </xf>
    <xf numFmtId="3" fontId="46" fillId="0" borderId="16" xfId="30" applyNumberFormat="1" applyFont="1" applyFill="1" applyBorder="1" applyAlignment="1">
      <alignment horizontal="right" vertical="center" wrapText="1"/>
    </xf>
    <xf numFmtId="3" fontId="46" fillId="0" borderId="132" xfId="30" applyNumberFormat="1" applyFont="1" applyFill="1" applyBorder="1" applyAlignment="1">
      <alignment horizontal="right" vertical="center" wrapText="1"/>
    </xf>
    <xf numFmtId="3" fontId="46" fillId="0" borderId="130" xfId="40" applyNumberFormat="1" applyFont="1" applyFill="1" applyBorder="1" applyAlignment="1">
      <alignment horizontal="right" vertical="center"/>
    </xf>
    <xf numFmtId="3" fontId="14" fillId="0" borderId="16" xfId="30" applyNumberFormat="1" applyFont="1" applyFill="1" applyBorder="1" applyAlignment="1">
      <alignment horizontal="right" vertical="center" wrapText="1"/>
    </xf>
    <xf numFmtId="3" fontId="14" fillId="0" borderId="111" xfId="27" applyNumberFormat="1" applyFont="1" applyFill="1" applyBorder="1" applyAlignment="1">
      <alignment horizontal="right"/>
    </xf>
    <xf numFmtId="3" fontId="46" fillId="0" borderId="103" xfId="40" applyNumberFormat="1" applyFont="1" applyFill="1" applyBorder="1" applyAlignment="1">
      <alignment horizontal="right" vertical="center"/>
    </xf>
    <xf numFmtId="3" fontId="46" fillId="0" borderId="132" xfId="40" applyNumberFormat="1" applyFont="1" applyFill="1" applyBorder="1" applyAlignment="1">
      <alignment horizontal="right" vertical="center"/>
    </xf>
    <xf numFmtId="0" fontId="46" fillId="0" borderId="16" xfId="40" applyFont="1" applyFill="1" applyBorder="1" applyAlignment="1">
      <alignment horizontal="center"/>
    </xf>
    <xf numFmtId="3" fontId="14" fillId="0" borderId="16" xfId="40" applyNumberFormat="1" applyFont="1" applyFill="1" applyBorder="1" applyAlignment="1">
      <alignment horizontal="right" vertical="center"/>
    </xf>
    <xf numFmtId="3" fontId="13" fillId="0" borderId="16" xfId="30" applyNumberFormat="1" applyFont="1" applyFill="1" applyBorder="1" applyAlignment="1">
      <alignment horizontal="right" vertical="center" wrapText="1"/>
    </xf>
    <xf numFmtId="3" fontId="14" fillId="0" borderId="103" xfId="30" applyNumberFormat="1" applyFont="1" applyFill="1" applyBorder="1" applyAlignment="1">
      <alignment horizontal="right" vertical="center" wrapText="1"/>
    </xf>
    <xf numFmtId="3" fontId="14" fillId="0" borderId="16" xfId="30" applyNumberFormat="1" applyFont="1" applyFill="1" applyBorder="1" applyAlignment="1">
      <alignment wrapText="1"/>
    </xf>
    <xf numFmtId="3" fontId="13" fillId="0" borderId="16" xfId="40" applyNumberFormat="1" applyFont="1" applyFill="1" applyBorder="1" applyAlignment="1">
      <alignment horizontal="right" vertical="center"/>
    </xf>
    <xf numFmtId="0" fontId="11" fillId="0" borderId="16" xfId="40" applyFont="1" applyFill="1" applyBorder="1"/>
    <xf numFmtId="0" fontId="11" fillId="0" borderId="257" xfId="40" applyFont="1" applyFill="1" applyBorder="1"/>
    <xf numFmtId="3" fontId="13" fillId="0" borderId="132" xfId="27" applyNumberFormat="1" applyFont="1" applyFill="1" applyBorder="1" applyAlignment="1">
      <alignment horizontal="right"/>
    </xf>
    <xf numFmtId="3" fontId="14" fillId="0" borderId="132" xfId="27" applyNumberFormat="1" applyFont="1" applyFill="1" applyBorder="1" applyAlignment="1">
      <alignment horizontal="right"/>
    </xf>
    <xf numFmtId="0" fontId="11" fillId="0" borderId="258" xfId="40" applyFont="1" applyFill="1" applyBorder="1"/>
    <xf numFmtId="3" fontId="13" fillId="0" borderId="187" xfId="27" applyNumberFormat="1" applyFont="1" applyFill="1" applyBorder="1" applyAlignment="1">
      <alignment horizontal="right"/>
    </xf>
    <xf numFmtId="0" fontId="11" fillId="0" borderId="98" xfId="40" applyFont="1" applyFill="1" applyBorder="1" applyAlignment="1">
      <alignment horizontal="center" vertical="center"/>
    </xf>
    <xf numFmtId="0" fontId="11" fillId="0" borderId="99" xfId="40" applyFont="1" applyFill="1" applyBorder="1" applyAlignment="1">
      <alignment horizontal="center" vertical="top"/>
    </xf>
    <xf numFmtId="3" fontId="11" fillId="0" borderId="140" xfId="40" applyNumberFormat="1" applyFont="1" applyFill="1" applyBorder="1" applyAlignment="1">
      <alignment horizontal="right" vertical="center"/>
    </xf>
    <xf numFmtId="3" fontId="11" fillId="0" borderId="140" xfId="30" applyNumberFormat="1" applyFont="1" applyFill="1" applyBorder="1" applyAlignment="1">
      <alignment horizontal="right" vertical="center"/>
    </xf>
    <xf numFmtId="3" fontId="11" fillId="0" borderId="164" xfId="40" applyNumberFormat="1" applyFont="1" applyFill="1" applyBorder="1" applyAlignment="1">
      <alignment horizontal="right" vertical="center"/>
    </xf>
    <xf numFmtId="0" fontId="11" fillId="0" borderId="259" xfId="40" applyFont="1" applyFill="1" applyBorder="1" applyAlignment="1">
      <alignment horizontal="center" vertical="center" wrapText="1"/>
    </xf>
    <xf numFmtId="3" fontId="11" fillId="0" borderId="99" xfId="40" applyNumberFormat="1" applyFont="1" applyFill="1" applyBorder="1" applyAlignment="1">
      <alignment horizontal="right" vertical="center"/>
    </xf>
    <xf numFmtId="3" fontId="14" fillId="0" borderId="99" xfId="40" applyNumberFormat="1" applyFont="1" applyFill="1" applyBorder="1" applyAlignment="1">
      <alignment horizontal="right" vertical="center"/>
    </xf>
    <xf numFmtId="3" fontId="11" fillId="0" borderId="177" xfId="40" applyNumberFormat="1" applyFont="1" applyFill="1" applyBorder="1" applyAlignment="1">
      <alignment horizontal="right" vertical="center"/>
    </xf>
    <xf numFmtId="3" fontId="14" fillId="0" borderId="160" xfId="30" applyNumberFormat="1" applyFont="1" applyFill="1" applyBorder="1" applyAlignment="1">
      <alignment horizontal="right" vertical="center" wrapText="1"/>
    </xf>
    <xf numFmtId="3" fontId="14" fillId="0" borderId="106" xfId="30" applyNumberFormat="1" applyFont="1" applyFill="1" applyBorder="1" applyAlignment="1">
      <alignment horizontal="right" vertical="center" wrapText="1"/>
    </xf>
    <xf numFmtId="3" fontId="14" fillId="0" borderId="37" xfId="30" applyNumberFormat="1" applyFont="1" applyFill="1" applyBorder="1" applyAlignment="1">
      <alignment horizontal="right" vertical="center" wrapText="1"/>
    </xf>
    <xf numFmtId="3" fontId="14" fillId="0" borderId="109" xfId="30" applyNumberFormat="1" applyFont="1" applyFill="1" applyBorder="1" applyAlignment="1">
      <alignment horizontal="center" vertical="center" wrapText="1"/>
    </xf>
    <xf numFmtId="3" fontId="14" fillId="0" borderId="111" xfId="30" applyNumberFormat="1" applyFont="1" applyFill="1" applyBorder="1" applyAlignment="1">
      <alignment horizontal="center" vertical="center" wrapText="1"/>
    </xf>
    <xf numFmtId="3" fontId="14" fillId="0" borderId="260" xfId="30" applyNumberFormat="1" applyFont="1" applyFill="1" applyBorder="1" applyAlignment="1">
      <alignment horizontal="right" vertical="center" wrapText="1"/>
    </xf>
    <xf numFmtId="3" fontId="34" fillId="0" borderId="16" xfId="30" applyNumberFormat="1" applyFont="1" applyFill="1" applyBorder="1" applyAlignment="1">
      <alignment horizontal="right" wrapText="1"/>
    </xf>
    <xf numFmtId="3" fontId="14" fillId="0" borderId="130" xfId="30" applyNumberFormat="1" applyFont="1" applyFill="1" applyBorder="1" applyAlignment="1">
      <alignment horizontal="right" vertical="center" wrapText="1"/>
    </xf>
    <xf numFmtId="3" fontId="13" fillId="0" borderId="16" xfId="30" applyNumberFormat="1" applyFont="1" applyFill="1" applyBorder="1" applyAlignment="1">
      <alignment horizontal="right" wrapText="1"/>
    </xf>
    <xf numFmtId="3" fontId="14" fillId="0" borderId="245" xfId="30" applyNumberFormat="1" applyFont="1" applyFill="1" applyBorder="1" applyAlignment="1">
      <alignment horizontal="center" vertical="center" wrapText="1"/>
    </xf>
    <xf numFmtId="3" fontId="14" fillId="0" borderId="141" xfId="30" applyNumberFormat="1" applyFont="1" applyFill="1" applyBorder="1" applyAlignment="1">
      <alignment horizontal="center" vertical="center" wrapText="1"/>
    </xf>
    <xf numFmtId="3" fontId="14" fillId="0" borderId="261" xfId="30" applyNumberFormat="1" applyFont="1" applyFill="1" applyBorder="1" applyAlignment="1">
      <alignment horizontal="right" vertical="center" wrapText="1"/>
    </xf>
    <xf numFmtId="3" fontId="14" fillId="0" borderId="140" xfId="30" applyNumberFormat="1" applyFont="1" applyFill="1" applyBorder="1" applyAlignment="1">
      <alignment horizontal="right" wrapText="1"/>
    </xf>
    <xf numFmtId="3" fontId="14" fillId="0" borderId="164" xfId="27" applyNumberFormat="1" applyFont="1" applyFill="1" applyBorder="1" applyAlignment="1">
      <alignment horizontal="right"/>
    </xf>
    <xf numFmtId="3" fontId="14" fillId="0" borderId="262" xfId="30" applyNumberFormat="1" applyFont="1" applyFill="1" applyBorder="1" applyAlignment="1">
      <alignment horizontal="right" vertical="center" wrapText="1"/>
    </xf>
    <xf numFmtId="3" fontId="11" fillId="0" borderId="95" xfId="15" applyNumberFormat="1" applyFont="1" applyFill="1" applyBorder="1" applyAlignment="1">
      <alignment horizontal="center" vertical="center"/>
    </xf>
    <xf numFmtId="3" fontId="11" fillId="0" borderId="95" xfId="40" applyNumberFormat="1" applyFont="1" applyFill="1" applyBorder="1" applyAlignment="1">
      <alignment horizontal="right" vertical="center"/>
    </xf>
    <xf numFmtId="0" fontId="34" fillId="0" borderId="16" xfId="30" applyFont="1" applyFill="1" applyBorder="1" applyAlignment="1">
      <alignment horizontal="left"/>
    </xf>
    <xf numFmtId="3" fontId="6" fillId="0" borderId="103" xfId="30" applyNumberFormat="1" applyFont="1" applyFill="1" applyBorder="1" applyAlignment="1">
      <alignment horizontal="right" wrapText="1"/>
    </xf>
    <xf numFmtId="3" fontId="6" fillId="0" borderId="16" xfId="30" applyNumberFormat="1" applyFont="1" applyFill="1" applyBorder="1" applyAlignment="1">
      <alignment horizontal="right" wrapText="1"/>
    </xf>
    <xf numFmtId="3" fontId="6" fillId="0" borderId="132" xfId="30" applyNumberFormat="1" applyFont="1" applyFill="1" applyBorder="1" applyAlignment="1">
      <alignment horizontal="right" wrapText="1"/>
    </xf>
    <xf numFmtId="3" fontId="5" fillId="0" borderId="103" xfId="30" applyNumberFormat="1" applyFont="1" applyFill="1" applyBorder="1" applyAlignment="1">
      <alignment horizontal="right" wrapText="1"/>
    </xf>
    <xf numFmtId="3" fontId="5" fillId="0" borderId="16" xfId="30" applyNumberFormat="1" applyFont="1" applyFill="1" applyBorder="1" applyAlignment="1">
      <alignment horizontal="right" wrapText="1"/>
    </xf>
    <xf numFmtId="0" fontId="34" fillId="0" borderId="111" xfId="30" applyFont="1" applyFill="1" applyBorder="1" applyAlignment="1"/>
    <xf numFmtId="3" fontId="6" fillId="0" borderId="16" xfId="40" applyNumberFormat="1" applyFont="1" applyFill="1" applyBorder="1" applyAlignment="1">
      <alignment horizontal="right"/>
    </xf>
    <xf numFmtId="3" fontId="6" fillId="0" borderId="103" xfId="40" applyNumberFormat="1" applyFont="1" applyFill="1" applyBorder="1" applyAlignment="1">
      <alignment horizontal="right"/>
    </xf>
    <xf numFmtId="3" fontId="3" fillId="0" borderId="111" xfId="40" applyNumberFormat="1" applyFont="1" applyFill="1" applyBorder="1" applyAlignment="1">
      <alignment horizontal="right"/>
    </xf>
    <xf numFmtId="3" fontId="5" fillId="0" borderId="111" xfId="30" applyNumberFormat="1" applyFont="1" applyFill="1" applyBorder="1" applyAlignment="1">
      <alignment horizontal="right" wrapText="1"/>
    </xf>
    <xf numFmtId="3" fontId="18" fillId="0" borderId="132" xfId="30" applyNumberFormat="1" applyFont="1" applyFill="1" applyBorder="1" applyAlignment="1">
      <alignment horizontal="right" wrapText="1"/>
    </xf>
    <xf numFmtId="0" fontId="5" fillId="0" borderId="98" xfId="40" applyFont="1" applyFill="1" applyBorder="1" applyAlignment="1">
      <alignment horizontal="center"/>
    </xf>
    <xf numFmtId="0" fontId="3" fillId="0" borderId="99" xfId="40" applyFont="1" applyFill="1" applyBorder="1" applyAlignment="1">
      <alignment horizontal="center" vertical="top"/>
    </xf>
    <xf numFmtId="3" fontId="3" fillId="0" borderId="99" xfId="40" applyNumberFormat="1" applyFont="1" applyFill="1" applyBorder="1" applyAlignment="1">
      <alignment horizontal="right"/>
    </xf>
    <xf numFmtId="0" fontId="3" fillId="0" borderId="163" xfId="40" applyFont="1" applyFill="1" applyBorder="1" applyAlignment="1">
      <alignment horizontal="center" wrapText="1"/>
    </xf>
    <xf numFmtId="3" fontId="38" fillId="0" borderId="64" xfId="40" applyNumberFormat="1" applyFont="1" applyFill="1" applyBorder="1" applyAlignment="1">
      <alignment horizontal="right"/>
    </xf>
    <xf numFmtId="3" fontId="39" fillId="0" borderId="64" xfId="40" applyNumberFormat="1" applyFont="1" applyFill="1" applyBorder="1" applyAlignment="1">
      <alignment horizontal="right"/>
    </xf>
    <xf numFmtId="3" fontId="3" fillId="0" borderId="37" xfId="40" applyNumberFormat="1" applyFont="1" applyFill="1" applyBorder="1" applyAlignment="1">
      <alignment horizontal="right"/>
    </xf>
    <xf numFmtId="3" fontId="3" fillId="0" borderId="48" xfId="30" applyNumberFormat="1" applyFont="1" applyFill="1" applyBorder="1" applyAlignment="1">
      <alignment horizontal="right" vertical="center" wrapText="1"/>
    </xf>
    <xf numFmtId="3" fontId="5" fillId="0" borderId="114" xfId="30" applyNumberFormat="1" applyFont="1" applyFill="1" applyBorder="1" applyAlignment="1">
      <alignment horizontal="right" vertical="center" wrapText="1"/>
    </xf>
    <xf numFmtId="3" fontId="5" fillId="0" borderId="264" xfId="30" applyNumberFormat="1" applyFont="1" applyFill="1" applyBorder="1" applyAlignment="1">
      <alignment horizontal="right" vertical="center" wrapText="1"/>
    </xf>
    <xf numFmtId="3" fontId="5" fillId="0" borderId="23" xfId="30" applyNumberFormat="1" applyFont="1" applyFill="1" applyBorder="1" applyAlignment="1">
      <alignment horizontal="center" vertical="center" wrapText="1"/>
    </xf>
    <xf numFmtId="3" fontId="5" fillId="0" borderId="21" xfId="30" applyNumberFormat="1" applyFont="1" applyFill="1" applyBorder="1" applyAlignment="1">
      <alignment horizontal="center" vertical="center" wrapText="1"/>
    </xf>
    <xf numFmtId="3" fontId="3" fillId="0" borderId="61" xfId="30" applyNumberFormat="1" applyFont="1" applyFill="1" applyBorder="1" applyAlignment="1">
      <alignment horizontal="right" vertical="center" wrapText="1"/>
    </xf>
    <xf numFmtId="3" fontId="38" fillId="0" borderId="21" xfId="30" applyNumberFormat="1" applyFont="1" applyFill="1" applyBorder="1" applyAlignment="1">
      <alignment horizontal="right" vertical="center" wrapText="1"/>
    </xf>
    <xf numFmtId="3" fontId="38" fillId="0" borderId="153" xfId="30" applyNumberFormat="1" applyFont="1" applyFill="1" applyBorder="1" applyAlignment="1">
      <alignment horizontal="right" vertical="center" wrapText="1"/>
    </xf>
    <xf numFmtId="3" fontId="38" fillId="0" borderId="158" xfId="30" applyNumberFormat="1" applyFont="1" applyFill="1" applyBorder="1" applyAlignment="1">
      <alignment horizontal="right" vertical="center" wrapText="1"/>
    </xf>
    <xf numFmtId="3" fontId="5" fillId="0" borderId="15" xfId="30" applyNumberFormat="1" applyFont="1" applyFill="1" applyBorder="1" applyAlignment="1">
      <alignment horizontal="center" vertical="center" wrapText="1"/>
    </xf>
    <xf numFmtId="3" fontId="5" fillId="0" borderId="16" xfId="30" applyNumberFormat="1" applyFont="1" applyFill="1" applyBorder="1" applyAlignment="1">
      <alignment horizontal="center" vertical="center" wrapText="1"/>
    </xf>
    <xf numFmtId="3" fontId="3" fillId="0" borderId="47" xfId="30" applyNumberFormat="1" applyFont="1" applyFill="1" applyBorder="1" applyAlignment="1">
      <alignment horizontal="right" vertical="center" wrapText="1"/>
    </xf>
    <xf numFmtId="3" fontId="6" fillId="0" borderId="16" xfId="30" applyNumberFormat="1" applyFont="1" applyFill="1" applyBorder="1" applyAlignment="1">
      <alignment horizontal="right" vertical="center" wrapText="1"/>
    </xf>
    <xf numFmtId="3" fontId="6" fillId="0" borderId="132" xfId="30" applyNumberFormat="1" applyFont="1" applyFill="1" applyBorder="1" applyAlignment="1">
      <alignment horizontal="right" vertical="center" wrapText="1"/>
    </xf>
    <xf numFmtId="3" fontId="5" fillId="0" borderId="228" xfId="30" applyNumberFormat="1" applyFont="1" applyFill="1" applyBorder="1" applyAlignment="1">
      <alignment horizontal="right" vertical="center" wrapText="1"/>
    </xf>
    <xf numFmtId="3" fontId="5" fillId="0" borderId="139" xfId="30" applyNumberFormat="1" applyFont="1" applyFill="1" applyBorder="1" applyAlignment="1">
      <alignment horizontal="center" vertical="center" wrapText="1"/>
    </xf>
    <xf numFmtId="3" fontId="5" fillId="0" borderId="140" xfId="30" applyNumberFormat="1" applyFont="1" applyFill="1" applyBorder="1" applyAlignment="1">
      <alignment horizontal="center" vertical="center" wrapText="1"/>
    </xf>
    <xf numFmtId="3" fontId="3" fillId="0" borderId="148" xfId="30" applyNumberFormat="1" applyFont="1" applyFill="1" applyBorder="1" applyAlignment="1">
      <alignment horizontal="right" vertical="center" wrapText="1"/>
    </xf>
    <xf numFmtId="3" fontId="5" fillId="0" borderId="140" xfId="30" applyNumberFormat="1" applyFont="1" applyFill="1" applyBorder="1" applyAlignment="1">
      <alignment horizontal="right" vertical="center" wrapText="1"/>
    </xf>
    <xf numFmtId="3" fontId="5" fillId="0" borderId="164" xfId="30" applyNumberFormat="1" applyFont="1" applyFill="1" applyBorder="1" applyAlignment="1">
      <alignment horizontal="right" vertical="center" wrapText="1"/>
    </xf>
    <xf numFmtId="3" fontId="5" fillId="0" borderId="266" xfId="30" applyNumberFormat="1" applyFont="1" applyFill="1" applyBorder="1" applyAlignment="1">
      <alignment horizontal="right" vertical="center" wrapText="1"/>
    </xf>
    <xf numFmtId="3" fontId="18" fillId="0" borderId="103" xfId="30" applyNumberFormat="1" applyFont="1" applyFill="1" applyBorder="1" applyAlignment="1">
      <alignment horizontal="right" wrapText="1"/>
    </xf>
    <xf numFmtId="3" fontId="18" fillId="0" borderId="16" xfId="30" applyNumberFormat="1" applyFont="1" applyFill="1" applyBorder="1" applyAlignment="1">
      <alignment horizontal="right" wrapText="1"/>
    </xf>
    <xf numFmtId="0" fontId="5" fillId="0" borderId="109" xfId="40" applyFont="1" applyFill="1" applyBorder="1" applyAlignment="1">
      <alignment horizontal="center"/>
    </xf>
    <xf numFmtId="0" fontId="3" fillId="0" borderId="111" xfId="30" applyFont="1" applyFill="1" applyBorder="1" applyAlignment="1">
      <alignment wrapText="1"/>
    </xf>
    <xf numFmtId="3" fontId="3" fillId="0" borderId="111" xfId="30" applyNumberFormat="1" applyFont="1" applyFill="1" applyBorder="1" applyAlignment="1">
      <alignment horizontal="right"/>
    </xf>
    <xf numFmtId="3" fontId="3" fillId="0" borderId="16" xfId="40" applyNumberFormat="1" applyFont="1" applyFill="1" applyBorder="1" applyAlignment="1">
      <alignment horizontal="right" vertical="top"/>
    </xf>
    <xf numFmtId="0" fontId="5" fillId="0" borderId="225" xfId="40" applyFont="1" applyFill="1" applyBorder="1" applyAlignment="1">
      <alignment horizontal="center"/>
    </xf>
    <xf numFmtId="0" fontId="3" fillId="0" borderId="42" xfId="40" applyFont="1" applyFill="1" applyBorder="1" applyAlignment="1">
      <alignment horizontal="center" vertical="top"/>
    </xf>
    <xf numFmtId="3" fontId="14" fillId="0" borderId="115" xfId="37" applyNumberFormat="1" applyFont="1" applyFill="1" applyBorder="1" applyAlignment="1"/>
    <xf numFmtId="3" fontId="3" fillId="0" borderId="135" xfId="30" applyNumberFormat="1" applyFont="1" applyFill="1" applyBorder="1" applyAlignment="1">
      <alignment horizontal="right"/>
    </xf>
    <xf numFmtId="3" fontId="3" fillId="0" borderId="135" xfId="40" applyNumberFormat="1" applyFont="1" applyFill="1" applyBorder="1" applyAlignment="1">
      <alignment horizontal="right"/>
    </xf>
    <xf numFmtId="3" fontId="39" fillId="0" borderId="115" xfId="30" applyNumberFormat="1" applyFont="1" applyFill="1" applyBorder="1" applyAlignment="1">
      <alignment horizontal="right" wrapText="1"/>
    </xf>
    <xf numFmtId="3" fontId="5" fillId="0" borderId="155" xfId="30" applyNumberFormat="1" applyFont="1" applyFill="1" applyBorder="1" applyAlignment="1">
      <alignment horizontal="right" wrapText="1"/>
    </xf>
    <xf numFmtId="3" fontId="5" fillId="0" borderId="48" xfId="30" applyNumberFormat="1" applyFont="1" applyFill="1" applyBorder="1" applyAlignment="1">
      <alignment horizontal="right" vertical="center" wrapText="1"/>
    </xf>
    <xf numFmtId="3" fontId="5" fillId="0" borderId="61" xfId="30" applyNumberFormat="1" applyFont="1" applyFill="1" applyBorder="1" applyAlignment="1">
      <alignment horizontal="right" vertical="center" wrapText="1"/>
    </xf>
    <xf numFmtId="3" fontId="38" fillId="0" borderId="63" xfId="30" applyNumberFormat="1" applyFont="1" applyFill="1" applyBorder="1" applyAlignment="1">
      <alignment horizontal="right" vertical="center" wrapText="1"/>
    </xf>
    <xf numFmtId="3" fontId="5" fillId="0" borderId="129" xfId="30" applyNumberFormat="1" applyFont="1" applyFill="1" applyBorder="1" applyAlignment="1">
      <alignment horizontal="right" vertical="center" wrapText="1"/>
    </xf>
    <xf numFmtId="3" fontId="5" fillId="0" borderId="47" xfId="30" applyNumberFormat="1" applyFont="1" applyFill="1" applyBorder="1" applyAlignment="1">
      <alignment horizontal="right" vertical="center" wrapText="1"/>
    </xf>
    <xf numFmtId="3" fontId="5" fillId="0" borderId="130" xfId="30" applyNumberFormat="1" applyFont="1" applyFill="1" applyBorder="1" applyAlignment="1">
      <alignment horizontal="right" vertical="center" wrapText="1"/>
    </xf>
    <xf numFmtId="3" fontId="5" fillId="0" borderId="148" xfId="30" applyNumberFormat="1" applyFont="1" applyFill="1" applyBorder="1" applyAlignment="1">
      <alignment horizontal="right" vertical="center" wrapText="1"/>
    </xf>
    <xf numFmtId="3" fontId="5" fillId="0" borderId="164" xfId="30" applyNumberFormat="1" applyFont="1" applyFill="1" applyBorder="1" applyAlignment="1">
      <alignment horizontal="right" wrapText="1"/>
    </xf>
    <xf numFmtId="3" fontId="5" fillId="0" borderId="262" xfId="30" applyNumberFormat="1" applyFont="1" applyFill="1" applyBorder="1" applyAlignment="1">
      <alignment horizontal="right" vertical="center" wrapText="1"/>
    </xf>
    <xf numFmtId="3" fontId="3" fillId="0" borderId="63" xfId="40" applyNumberFormat="1" applyFont="1" applyFill="1" applyBorder="1" applyAlignment="1">
      <alignment horizontal="right"/>
    </xf>
    <xf numFmtId="3" fontId="39" fillId="0" borderId="63" xfId="30" applyNumberFormat="1" applyFont="1" applyFill="1" applyBorder="1" applyAlignment="1">
      <alignment horizontal="right"/>
    </xf>
    <xf numFmtId="3" fontId="3" fillId="0" borderId="243" xfId="40" applyNumberFormat="1" applyFont="1" applyFill="1" applyBorder="1" applyAlignment="1">
      <alignment horizontal="right"/>
    </xf>
    <xf numFmtId="0" fontId="38" fillId="0" borderId="163" xfId="40" applyFont="1" applyFill="1" applyBorder="1" applyAlignment="1">
      <alignment horizontal="center" wrapText="1"/>
    </xf>
    <xf numFmtId="3" fontId="38" fillId="0" borderId="64" xfId="30" applyNumberFormat="1" applyFont="1" applyFill="1" applyBorder="1" applyAlignment="1">
      <alignment horizontal="right" wrapText="1"/>
    </xf>
    <xf numFmtId="3" fontId="39" fillId="0" borderId="64" xfId="30" applyNumberFormat="1" applyFont="1" applyFill="1" applyBorder="1" applyAlignment="1">
      <alignment horizontal="right" wrapText="1"/>
    </xf>
    <xf numFmtId="3" fontId="3" fillId="0" borderId="64" xfId="30" applyNumberFormat="1" applyFont="1" applyFill="1" applyBorder="1" applyAlignment="1">
      <alignment horizontal="right" wrapText="1"/>
    </xf>
    <xf numFmtId="3" fontId="38" fillId="0" borderId="37" xfId="40" applyNumberFormat="1" applyFont="1" applyFill="1" applyBorder="1" applyAlignment="1">
      <alignment horizontal="right"/>
    </xf>
    <xf numFmtId="0" fontId="3" fillId="0" borderId="249" xfId="40" applyFont="1" applyFill="1" applyBorder="1" applyAlignment="1">
      <alignment horizontal="center"/>
    </xf>
    <xf numFmtId="0" fontId="5" fillId="0" borderId="249" xfId="30" applyFont="1" applyFill="1" applyBorder="1" applyAlignment="1">
      <alignment horizontal="center"/>
    </xf>
    <xf numFmtId="3" fontId="5" fillId="0" borderId="249" xfId="30" applyNumberFormat="1" applyFont="1" applyFill="1" applyBorder="1" applyAlignment="1">
      <alignment horizontal="right"/>
    </xf>
    <xf numFmtId="0" fontId="5" fillId="0" borderId="252" xfId="40" applyFont="1" applyFill="1" applyBorder="1" applyAlignment="1">
      <alignment horizontal="center" wrapText="1"/>
    </xf>
    <xf numFmtId="3" fontId="5" fillId="0" borderId="253" xfId="30" applyNumberFormat="1" applyFont="1" applyFill="1" applyBorder="1" applyAlignment="1">
      <alignment horizontal="right" wrapText="1"/>
    </xf>
    <xf numFmtId="3" fontId="38" fillId="0" borderId="267" xfId="40" applyNumberFormat="1" applyFont="1" applyFill="1" applyBorder="1" applyAlignment="1">
      <alignment horizontal="right"/>
    </xf>
    <xf numFmtId="3" fontId="3" fillId="0" borderId="20" xfId="30" applyNumberFormat="1" applyFont="1" applyFill="1" applyBorder="1" applyAlignment="1">
      <alignment horizontal="right"/>
    </xf>
    <xf numFmtId="0" fontId="5" fillId="0" borderId="47" xfId="40" applyFont="1" applyFill="1" applyBorder="1" applyAlignment="1">
      <alignment horizontal="center" wrapText="1"/>
    </xf>
    <xf numFmtId="0" fontId="3" fillId="0" borderId="241" xfId="40" applyFont="1" applyFill="1" applyBorder="1" applyAlignment="1">
      <alignment horizontal="center"/>
    </xf>
    <xf numFmtId="3" fontId="3" fillId="0" borderId="241" xfId="30" applyNumberFormat="1" applyFont="1" applyFill="1" applyBorder="1" applyAlignment="1">
      <alignment horizontal="right"/>
    </xf>
    <xf numFmtId="3" fontId="3" fillId="0" borderId="242" xfId="30" applyNumberFormat="1" applyFont="1" applyFill="1" applyBorder="1" applyAlignment="1">
      <alignment horizontal="right"/>
    </xf>
    <xf numFmtId="0" fontId="5" fillId="0" borderId="268" xfId="40" applyFont="1" applyFill="1" applyBorder="1" applyAlignment="1">
      <alignment horizontal="center" wrapText="1"/>
    </xf>
    <xf numFmtId="3" fontId="5" fillId="0" borderId="244" xfId="30" applyNumberFormat="1" applyFont="1" applyFill="1" applyBorder="1" applyAlignment="1">
      <alignment horizontal="right" wrapText="1"/>
    </xf>
    <xf numFmtId="3" fontId="38" fillId="0" borderId="269" xfId="40" applyNumberFormat="1" applyFont="1" applyFill="1" applyBorder="1" applyAlignment="1">
      <alignment horizontal="right"/>
    </xf>
    <xf numFmtId="3" fontId="38" fillId="0" borderId="63" xfId="30" applyNumberFormat="1" applyFont="1" applyFill="1" applyBorder="1" applyAlignment="1">
      <alignment horizontal="right"/>
    </xf>
    <xf numFmtId="3" fontId="38" fillId="0" borderId="243" xfId="40" applyNumberFormat="1" applyFont="1" applyFill="1" applyBorder="1" applyAlignment="1">
      <alignment horizontal="right"/>
    </xf>
    <xf numFmtId="3" fontId="5" fillId="0" borderId="249" xfId="40" applyNumberFormat="1" applyFont="1" applyFill="1" applyBorder="1" applyAlignment="1">
      <alignment horizontal="right"/>
    </xf>
    <xf numFmtId="0" fontId="38" fillId="0" borderId="252" xfId="40" applyFont="1" applyFill="1" applyBorder="1" applyAlignment="1">
      <alignment horizontal="center" wrapText="1"/>
    </xf>
    <xf numFmtId="3" fontId="5" fillId="0" borderId="20" xfId="40" applyNumberFormat="1" applyFont="1" applyFill="1" applyBorder="1" applyAlignment="1">
      <alignment horizontal="right"/>
    </xf>
    <xf numFmtId="0" fontId="3" fillId="0" borderId="97" xfId="40" applyFont="1" applyFill="1" applyBorder="1" applyAlignment="1">
      <alignment horizontal="center"/>
    </xf>
    <xf numFmtId="3" fontId="5" fillId="0" borderId="97" xfId="40" applyNumberFormat="1" applyFont="1" applyFill="1" applyBorder="1" applyAlignment="1">
      <alignment horizontal="right"/>
    </xf>
    <xf numFmtId="3" fontId="5" fillId="0" borderId="122" xfId="40" applyNumberFormat="1" applyFont="1" applyFill="1" applyBorder="1" applyAlignment="1">
      <alignment horizontal="right"/>
    </xf>
    <xf numFmtId="0" fontId="38" fillId="0" borderId="118" xfId="40" applyFont="1" applyFill="1" applyBorder="1" applyAlignment="1">
      <alignment horizontal="center" wrapText="1"/>
    </xf>
    <xf numFmtId="3" fontId="5" fillId="0" borderId="119" xfId="30" applyNumberFormat="1" applyFont="1" applyFill="1" applyBorder="1" applyAlignment="1">
      <alignment horizontal="right" wrapText="1"/>
    </xf>
    <xf numFmtId="3" fontId="5" fillId="0" borderId="270" xfId="30" applyNumberFormat="1" applyFont="1" applyFill="1" applyBorder="1" applyAlignment="1">
      <alignment horizontal="right" wrapText="1"/>
    </xf>
    <xf numFmtId="3" fontId="38" fillId="0" borderId="271" xfId="40" applyNumberFormat="1" applyFont="1" applyFill="1" applyBorder="1" applyAlignment="1">
      <alignment horizontal="right"/>
    </xf>
    <xf numFmtId="3" fontId="3" fillId="0" borderId="103" xfId="40" applyNumberFormat="1" applyFont="1" applyFill="1" applyBorder="1" applyAlignment="1">
      <alignment horizontal="right"/>
    </xf>
    <xf numFmtId="3" fontId="3" fillId="0" borderId="64" xfId="40" applyNumberFormat="1" applyFont="1" applyFill="1" applyBorder="1" applyAlignment="1">
      <alignment horizontal="right"/>
    </xf>
    <xf numFmtId="3" fontId="3" fillId="0" borderId="63" xfId="30" applyNumberFormat="1" applyFont="1" applyFill="1" applyBorder="1" applyAlignment="1">
      <alignment horizontal="right" wrapText="1"/>
    </xf>
    <xf numFmtId="3" fontId="5" fillId="0" borderId="250" xfId="40" applyNumberFormat="1" applyFont="1" applyFill="1" applyBorder="1" applyAlignment="1">
      <alignment horizontal="right"/>
    </xf>
    <xf numFmtId="3" fontId="5" fillId="0" borderId="252" xfId="40" applyNumberFormat="1" applyFont="1" applyFill="1" applyBorder="1" applyAlignment="1">
      <alignment horizontal="right"/>
    </xf>
    <xf numFmtId="3" fontId="3" fillId="0" borderId="267" xfId="40" applyNumberFormat="1" applyFont="1" applyFill="1" applyBorder="1" applyAlignment="1">
      <alignment horizontal="right"/>
    </xf>
    <xf numFmtId="3" fontId="5" fillId="0" borderId="47" xfId="40" applyNumberFormat="1" applyFont="1" applyFill="1" applyBorder="1" applyAlignment="1">
      <alignment horizontal="right"/>
    </xf>
    <xf numFmtId="3" fontId="5" fillId="0" borderId="118" xfId="40" applyNumberFormat="1" applyFont="1" applyFill="1" applyBorder="1" applyAlignment="1">
      <alignment horizontal="right"/>
    </xf>
    <xf numFmtId="3" fontId="3" fillId="0" borderId="271" xfId="40" applyNumberFormat="1" applyFont="1" applyFill="1" applyBorder="1" applyAlignment="1">
      <alignment horizontal="right"/>
    </xf>
    <xf numFmtId="3" fontId="3" fillId="0" borderId="63" xfId="30" applyNumberFormat="1" applyFont="1" applyFill="1" applyBorder="1" applyAlignment="1">
      <alignment horizontal="right"/>
    </xf>
    <xf numFmtId="3" fontId="5" fillId="0" borderId="267" xfId="40" applyNumberFormat="1" applyFont="1" applyFill="1" applyBorder="1" applyAlignment="1">
      <alignment horizontal="right"/>
    </xf>
    <xf numFmtId="3" fontId="5" fillId="0" borderId="130" xfId="40" applyNumberFormat="1" applyFont="1" applyFill="1" applyBorder="1" applyAlignment="1">
      <alignment horizontal="right"/>
    </xf>
    <xf numFmtId="3" fontId="5" fillId="0" borderId="241" xfId="40" applyNumberFormat="1" applyFont="1" applyFill="1" applyBorder="1" applyAlignment="1">
      <alignment horizontal="right"/>
    </xf>
    <xf numFmtId="3" fontId="5" fillId="0" borderId="242" xfId="40" applyNumberFormat="1" applyFont="1" applyFill="1" applyBorder="1" applyAlignment="1">
      <alignment horizontal="right"/>
    </xf>
    <xf numFmtId="3" fontId="5" fillId="0" borderId="270" xfId="40" applyNumberFormat="1" applyFont="1" applyFill="1" applyBorder="1" applyAlignment="1">
      <alignment horizontal="right"/>
    </xf>
    <xf numFmtId="3" fontId="5" fillId="0" borderId="269" xfId="40" applyNumberFormat="1" applyFont="1" applyFill="1" applyBorder="1" applyAlignment="1">
      <alignment horizontal="right"/>
    </xf>
    <xf numFmtId="3" fontId="5" fillId="0" borderId="146" xfId="40" applyNumberFormat="1" applyFont="1" applyFill="1" applyBorder="1" applyAlignment="1">
      <alignment horizontal="right"/>
    </xf>
    <xf numFmtId="3" fontId="5" fillId="0" borderId="253" xfId="40" applyNumberFormat="1" applyFont="1" applyFill="1" applyBorder="1" applyAlignment="1">
      <alignment horizontal="right"/>
    </xf>
    <xf numFmtId="3" fontId="5" fillId="0" borderId="272" xfId="40" applyNumberFormat="1" applyFont="1" applyFill="1" applyBorder="1" applyAlignment="1">
      <alignment horizontal="right"/>
    </xf>
    <xf numFmtId="3" fontId="3" fillId="0" borderId="254" xfId="40" applyNumberFormat="1" applyFont="1" applyFill="1" applyBorder="1" applyAlignment="1">
      <alignment horizontal="right"/>
    </xf>
    <xf numFmtId="3" fontId="6" fillId="0" borderId="132" xfId="40" applyNumberFormat="1" applyFont="1" applyFill="1" applyBorder="1" applyAlignment="1">
      <alignment horizontal="right"/>
    </xf>
    <xf numFmtId="3" fontId="5" fillId="0" borderId="119" xfId="40" applyNumberFormat="1" applyFont="1" applyFill="1" applyBorder="1" applyAlignment="1">
      <alignment horizontal="right"/>
    </xf>
    <xf numFmtId="3" fontId="3" fillId="0" borderId="256" xfId="40" applyNumberFormat="1" applyFont="1" applyFill="1" applyBorder="1" applyAlignment="1">
      <alignment horizontal="right"/>
    </xf>
    <xf numFmtId="0" fontId="30" fillId="0" borderId="21" xfId="30" applyFont="1" applyFill="1" applyBorder="1" applyAlignment="1">
      <alignment horizontal="left" wrapText="1"/>
    </xf>
    <xf numFmtId="0" fontId="3" fillId="0" borderId="109" xfId="40" applyFont="1" applyFill="1" applyBorder="1" applyAlignment="1">
      <alignment horizontal="center"/>
    </xf>
    <xf numFmtId="3" fontId="3" fillId="0" borderId="97" xfId="40" applyNumberFormat="1" applyFont="1" applyFill="1" applyBorder="1" applyAlignment="1">
      <alignment horizontal="right"/>
    </xf>
    <xf numFmtId="3" fontId="3" fillId="0" borderId="97" xfId="30" applyNumberFormat="1" applyFont="1" applyFill="1" applyBorder="1" applyAlignment="1">
      <alignment horizontal="right"/>
    </xf>
    <xf numFmtId="3" fontId="3" fillId="0" borderId="137" xfId="40" applyNumberFormat="1" applyFont="1" applyFill="1" applyBorder="1" applyAlignment="1">
      <alignment horizontal="right"/>
    </xf>
    <xf numFmtId="0" fontId="3" fillId="0" borderId="118" xfId="40" applyFont="1" applyFill="1" applyBorder="1" applyAlignment="1">
      <alignment horizontal="center" wrapText="1"/>
    </xf>
    <xf numFmtId="3" fontId="3" fillId="0" borderId="119" xfId="30" applyNumberFormat="1" applyFont="1" applyFill="1" applyBorder="1" applyAlignment="1">
      <alignment horizontal="right" wrapText="1"/>
    </xf>
    <xf numFmtId="3" fontId="38" fillId="0" borderId="137" xfId="30" applyNumberFormat="1" applyFont="1" applyFill="1" applyBorder="1" applyAlignment="1">
      <alignment horizontal="right" wrapText="1"/>
    </xf>
    <xf numFmtId="0" fontId="5" fillId="0" borderId="63" xfId="30" applyFont="1" applyFill="1" applyBorder="1" applyAlignment="1">
      <alignment horizontal="center"/>
    </xf>
    <xf numFmtId="3" fontId="39" fillId="0" borderId="65" xfId="30" applyNumberFormat="1" applyFont="1" applyFill="1" applyBorder="1" applyAlignment="1">
      <alignment horizontal="right" wrapText="1"/>
    </xf>
    <xf numFmtId="3" fontId="38" fillId="0" borderId="123" xfId="30" applyNumberFormat="1" applyFont="1" applyFill="1" applyBorder="1" applyAlignment="1">
      <alignment horizontal="right" wrapText="1"/>
    </xf>
    <xf numFmtId="3" fontId="5" fillId="0" borderId="137" xfId="30" applyNumberFormat="1" applyFont="1" applyFill="1" applyBorder="1" applyAlignment="1">
      <alignment horizontal="right" wrapText="1"/>
    </xf>
    <xf numFmtId="3" fontId="3" fillId="0" borderId="123" xfId="40" applyNumberFormat="1" applyFont="1" applyFill="1" applyBorder="1" applyAlignment="1">
      <alignment horizontal="right"/>
    </xf>
    <xf numFmtId="0" fontId="3" fillId="0" borderId="225" xfId="40" applyFont="1" applyFill="1" applyBorder="1" applyAlignment="1">
      <alignment horizontal="center"/>
    </xf>
    <xf numFmtId="3" fontId="38" fillId="0" borderId="111" xfId="30" applyNumberFormat="1" applyFont="1" applyFill="1" applyBorder="1" applyAlignment="1">
      <alignment horizontal="right" wrapText="1"/>
    </xf>
    <xf numFmtId="0" fontId="3" fillId="0" borderId="14" xfId="40" applyFont="1" applyFill="1" applyBorder="1" applyAlignment="1">
      <alignment horizontal="center"/>
    </xf>
    <xf numFmtId="3" fontId="5" fillId="0" borderId="14" xfId="40" applyNumberFormat="1" applyFont="1" applyFill="1" applyBorder="1" applyAlignment="1">
      <alignment horizontal="right"/>
    </xf>
    <xf numFmtId="3" fontId="3" fillId="0" borderId="14" xfId="40" applyNumberFormat="1" applyFont="1" applyFill="1" applyBorder="1" applyAlignment="1">
      <alignment horizontal="right"/>
    </xf>
    <xf numFmtId="0" fontId="3" fillId="0" borderId="107" xfId="40" applyFont="1" applyFill="1" applyBorder="1" applyAlignment="1">
      <alignment horizontal="center" wrapText="1"/>
    </xf>
    <xf numFmtId="3" fontId="3" fillId="0" borderId="14" xfId="30" applyNumberFormat="1" applyFont="1" applyFill="1" applyBorder="1" applyAlignment="1">
      <alignment horizontal="right" wrapText="1"/>
    </xf>
    <xf numFmtId="3" fontId="5" fillId="0" borderId="128" xfId="30" applyNumberFormat="1" applyFont="1" applyFill="1" applyBorder="1" applyAlignment="1">
      <alignment horizontal="right" wrapText="1"/>
    </xf>
    <xf numFmtId="3" fontId="3" fillId="0" borderId="273" xfId="40" applyNumberFormat="1" applyFont="1" applyFill="1" applyBorder="1" applyAlignment="1">
      <alignment horizontal="right"/>
    </xf>
    <xf numFmtId="0" fontId="3" fillId="0" borderId="5" xfId="40" applyFont="1" applyFill="1" applyBorder="1" applyAlignment="1">
      <alignment horizontal="center"/>
    </xf>
    <xf numFmtId="0" fontId="3" fillId="0" borderId="140" xfId="40" applyFont="1" applyFill="1" applyBorder="1" applyAlignment="1">
      <alignment horizontal="center"/>
    </xf>
    <xf numFmtId="3" fontId="3" fillId="0" borderId="140" xfId="40" applyNumberFormat="1" applyFont="1" applyFill="1" applyBorder="1" applyAlignment="1">
      <alignment horizontal="right"/>
    </xf>
    <xf numFmtId="3" fontId="3" fillId="0" borderId="140" xfId="30" applyNumberFormat="1" applyFont="1" applyFill="1" applyBorder="1" applyAlignment="1">
      <alignment horizontal="right"/>
    </xf>
    <xf numFmtId="3" fontId="3" fillId="0" borderId="274" xfId="40" applyNumberFormat="1" applyFont="1" applyFill="1" applyBorder="1" applyAlignment="1">
      <alignment horizontal="right"/>
    </xf>
    <xf numFmtId="3" fontId="5" fillId="0" borderId="64" xfId="30" applyNumberFormat="1" applyFont="1" applyFill="1" applyBorder="1" applyAlignment="1">
      <alignment horizontal="right" wrapText="1"/>
    </xf>
    <xf numFmtId="3" fontId="5" fillId="0" borderId="275" xfId="0" applyNumberFormat="1" applyFont="1" applyFill="1" applyBorder="1" applyAlignment="1">
      <alignment horizontal="right" vertical="center"/>
    </xf>
    <xf numFmtId="3" fontId="5" fillId="0" borderId="209" xfId="0" applyNumberFormat="1" applyFont="1" applyFill="1" applyBorder="1" applyAlignment="1">
      <alignment horizontal="center" wrapText="1"/>
    </xf>
    <xf numFmtId="3" fontId="3" fillId="0" borderId="276" xfId="0" applyNumberFormat="1" applyFont="1" applyFill="1" applyBorder="1"/>
    <xf numFmtId="3" fontId="5" fillId="0" borderId="221" xfId="0" applyNumberFormat="1" applyFont="1" applyFill="1" applyBorder="1" applyAlignment="1">
      <alignment vertical="center"/>
    </xf>
    <xf numFmtId="3" fontId="5" fillId="0" borderId="276" xfId="0" applyNumberFormat="1" applyFont="1" applyFill="1" applyBorder="1" applyAlignment="1">
      <alignment horizontal="right"/>
    </xf>
    <xf numFmtId="3" fontId="3" fillId="0" borderId="276" xfId="0" applyNumberFormat="1" applyFont="1" applyFill="1" applyBorder="1" applyAlignment="1">
      <alignment horizontal="right"/>
    </xf>
    <xf numFmtId="3" fontId="5" fillId="0" borderId="277" xfId="0" applyNumberFormat="1" applyFont="1" applyFill="1" applyBorder="1" applyAlignment="1">
      <alignment horizontal="right" vertical="center"/>
    </xf>
    <xf numFmtId="3" fontId="3" fillId="0" borderId="276" xfId="0" applyNumberFormat="1" applyFont="1" applyFill="1" applyBorder="1" applyAlignment="1">
      <alignment horizontal="right" vertical="center"/>
    </xf>
    <xf numFmtId="3" fontId="3" fillId="0" borderId="277" xfId="0" applyNumberFormat="1" applyFont="1" applyFill="1" applyBorder="1" applyAlignment="1">
      <alignment horizontal="right" vertical="center"/>
    </xf>
    <xf numFmtId="3" fontId="5" fillId="0" borderId="278" xfId="0" applyNumberFormat="1" applyFont="1" applyFill="1" applyBorder="1" applyAlignment="1">
      <alignment horizontal="right" vertical="center"/>
    </xf>
    <xf numFmtId="3" fontId="5" fillId="0" borderId="276" xfId="0" applyNumberFormat="1" applyFont="1" applyFill="1" applyBorder="1" applyAlignment="1">
      <alignment horizontal="right" vertical="center"/>
    </xf>
    <xf numFmtId="3" fontId="5" fillId="0" borderId="279" xfId="0" applyNumberFormat="1" applyFont="1" applyFill="1" applyBorder="1" applyAlignment="1">
      <alignment horizontal="right" vertical="center"/>
    </xf>
    <xf numFmtId="165" fontId="3" fillId="0" borderId="276" xfId="42" applyNumberFormat="1" applyFont="1" applyFill="1" applyBorder="1" applyAlignment="1">
      <alignment horizontal="right"/>
    </xf>
    <xf numFmtId="165" fontId="3" fillId="0" borderId="175" xfId="42" applyNumberFormat="1" applyFont="1" applyFill="1" applyBorder="1" applyAlignment="1">
      <alignment horizontal="right"/>
    </xf>
    <xf numFmtId="3" fontId="5" fillId="0" borderId="73" xfId="0" applyNumberFormat="1" applyFont="1" applyFill="1" applyBorder="1" applyAlignment="1">
      <alignment horizontal="right" vertical="center"/>
    </xf>
    <xf numFmtId="3" fontId="3" fillId="0" borderId="71" xfId="0" applyNumberFormat="1" applyFont="1" applyFill="1" applyBorder="1" applyAlignment="1">
      <alignment horizontal="right" vertical="center" textRotation="180"/>
    </xf>
    <xf numFmtId="3" fontId="5" fillId="0" borderId="280" xfId="0" applyNumberFormat="1" applyFont="1" applyFill="1" applyBorder="1" applyAlignment="1">
      <alignment horizontal="right" vertical="center"/>
    </xf>
    <xf numFmtId="3" fontId="3" fillId="0" borderId="91" xfId="0" applyNumberFormat="1" applyFont="1" applyFill="1" applyBorder="1" applyAlignment="1">
      <alignment horizontal="right" vertical="center"/>
    </xf>
    <xf numFmtId="164" fontId="6" fillId="0" borderId="18" xfId="0" applyNumberFormat="1" applyFont="1" applyFill="1" applyBorder="1" applyAlignment="1">
      <alignment horizontal="left" vertical="top" wrapText="1" indent="2"/>
    </xf>
    <xf numFmtId="4" fontId="7" fillId="0" borderId="18" xfId="0" applyNumberFormat="1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29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65" xfId="0" applyFont="1" applyBorder="1" applyAlignment="1">
      <alignment horizontal="center" vertical="center" wrapText="1"/>
    </xf>
    <xf numFmtId="0" fontId="5" fillId="0" borderId="166" xfId="0" applyFont="1" applyBorder="1" applyAlignment="1">
      <alignment horizontal="center" vertical="center" wrapText="1"/>
    </xf>
    <xf numFmtId="3" fontId="5" fillId="0" borderId="167" xfId="0" applyNumberFormat="1" applyFont="1" applyBorder="1" applyAlignment="1">
      <alignment horizontal="center" vertical="center"/>
    </xf>
    <xf numFmtId="3" fontId="5" fillId="0" borderId="157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3" fontId="3" fillId="0" borderId="0" xfId="29" applyNumberFormat="1" applyFont="1" applyAlignment="1">
      <alignment horizontal="right" vertical="center"/>
    </xf>
    <xf numFmtId="0" fontId="5" fillId="0" borderId="0" xfId="29" applyFont="1" applyAlignment="1">
      <alignment horizontal="center"/>
    </xf>
    <xf numFmtId="3" fontId="3" fillId="0" borderId="0" xfId="26" applyNumberFormat="1" applyFont="1" applyFill="1" applyAlignment="1">
      <alignment horizontal="left"/>
    </xf>
    <xf numFmtId="3" fontId="5" fillId="0" borderId="0" xfId="26" applyNumberFormat="1" applyFont="1" applyFill="1" applyAlignment="1">
      <alignment horizontal="center" vertical="center"/>
    </xf>
    <xf numFmtId="3" fontId="14" fillId="0" borderId="20" xfId="37" applyNumberFormat="1" applyFont="1" applyFill="1" applyBorder="1" applyAlignment="1">
      <alignment horizontal="left"/>
    </xf>
    <xf numFmtId="3" fontId="14" fillId="0" borderId="103" xfId="37" applyNumberFormat="1" applyFont="1" applyFill="1" applyBorder="1" applyAlignment="1">
      <alignment horizontal="left"/>
    </xf>
    <xf numFmtId="3" fontId="11" fillId="0" borderId="170" xfId="0" applyNumberFormat="1" applyFont="1" applyFill="1" applyBorder="1" applyAlignment="1">
      <alignment horizontal="center" vertical="center" wrapText="1"/>
    </xf>
    <xf numFmtId="3" fontId="14" fillId="0" borderId="27" xfId="0" applyNumberFormat="1" applyFont="1" applyFill="1" applyBorder="1" applyAlignment="1">
      <alignment horizontal="center" vertical="center" wrapText="1"/>
    </xf>
    <xf numFmtId="3" fontId="14" fillId="0" borderId="28" xfId="0" applyNumberFormat="1" applyFont="1" applyFill="1" applyBorder="1" applyAlignment="1">
      <alignment horizontal="center" vertical="center" wrapText="1"/>
    </xf>
    <xf numFmtId="3" fontId="3" fillId="0" borderId="0" xfId="0" applyNumberFormat="1" applyFont="1" applyFill="1" applyAlignment="1">
      <alignment horizontal="left" vertical="center"/>
    </xf>
    <xf numFmtId="3" fontId="5" fillId="0" borderId="0" xfId="0" applyNumberFormat="1" applyFont="1" applyFill="1" applyAlignment="1">
      <alignment horizontal="center" vertical="center"/>
    </xf>
    <xf numFmtId="3" fontId="13" fillId="0" borderId="0" xfId="0" applyNumberFormat="1" applyFont="1" applyFill="1" applyAlignment="1">
      <alignment horizontal="right" vertical="center"/>
    </xf>
    <xf numFmtId="3" fontId="7" fillId="0" borderId="6" xfId="0" applyNumberFormat="1" applyFont="1" applyFill="1" applyBorder="1" applyAlignment="1">
      <alignment horizontal="center" vertical="center"/>
    </xf>
    <xf numFmtId="3" fontId="11" fillId="0" borderId="20" xfId="37" applyNumberFormat="1" applyFont="1" applyFill="1" applyBorder="1" applyAlignment="1">
      <alignment horizontal="left"/>
    </xf>
    <xf numFmtId="3" fontId="11" fillId="0" borderId="103" xfId="37" applyNumberFormat="1" applyFont="1" applyFill="1" applyBorder="1" applyAlignment="1">
      <alignment horizontal="left"/>
    </xf>
    <xf numFmtId="3" fontId="11" fillId="0" borderId="7" xfId="0" applyNumberFormat="1" applyFont="1" applyFill="1" applyBorder="1" applyAlignment="1">
      <alignment horizontal="center" vertical="center" wrapText="1"/>
    </xf>
    <xf numFmtId="3" fontId="11" fillId="0" borderId="165" xfId="0" applyNumberFormat="1" applyFont="1" applyFill="1" applyBorder="1" applyAlignment="1">
      <alignment horizontal="center" vertical="center" textRotation="90"/>
    </xf>
    <xf numFmtId="3" fontId="11" fillId="0" borderId="166" xfId="0" applyNumberFormat="1" applyFont="1" applyFill="1" applyBorder="1" applyAlignment="1">
      <alignment horizontal="center" vertical="center" textRotation="90"/>
    </xf>
    <xf numFmtId="3" fontId="11" fillId="0" borderId="171" xfId="0" applyNumberFormat="1" applyFont="1" applyFill="1" applyBorder="1" applyAlignment="1">
      <alignment horizontal="center" vertical="center" textRotation="90"/>
    </xf>
    <xf numFmtId="0" fontId="0" fillId="0" borderId="92" xfId="0" applyFont="1" applyFill="1" applyBorder="1" applyAlignment="1">
      <alignment horizontal="center" vertical="center"/>
    </xf>
    <xf numFmtId="3" fontId="14" fillId="0" borderId="171" xfId="0" applyNumberFormat="1" applyFont="1" applyFill="1" applyBorder="1" applyAlignment="1">
      <alignment horizontal="center" vertical="center"/>
    </xf>
    <xf numFmtId="3" fontId="14" fillId="0" borderId="101" xfId="0" applyNumberFormat="1" applyFont="1" applyFill="1" applyBorder="1" applyAlignment="1">
      <alignment horizontal="center" vertical="center"/>
    </xf>
    <xf numFmtId="3" fontId="14" fillId="0" borderId="92" xfId="0" applyNumberFormat="1" applyFont="1" applyFill="1" applyBorder="1" applyAlignment="1">
      <alignment horizontal="center" vertical="center"/>
    </xf>
    <xf numFmtId="3" fontId="14" fillId="0" borderId="19" xfId="0" applyNumberFormat="1" applyFont="1" applyFill="1" applyBorder="1" applyAlignment="1">
      <alignment horizontal="center" vertical="center"/>
    </xf>
    <xf numFmtId="3" fontId="11" fillId="0" borderId="170" xfId="0" applyNumberFormat="1" applyFont="1" applyFill="1" applyBorder="1" applyAlignment="1">
      <alignment horizontal="center" vertical="center"/>
    </xf>
    <xf numFmtId="3" fontId="17" fillId="0" borderId="128" xfId="0" applyNumberFormat="1" applyFont="1" applyFill="1" applyBorder="1" applyAlignment="1">
      <alignment horizontal="left" vertical="center"/>
    </xf>
    <xf numFmtId="3" fontId="17" fillId="0" borderId="168" xfId="0" applyNumberFormat="1" applyFont="1" applyFill="1" applyBorder="1" applyAlignment="1">
      <alignment horizontal="left" vertical="center"/>
    </xf>
    <xf numFmtId="3" fontId="17" fillId="0" borderId="104" xfId="0" applyNumberFormat="1" applyFont="1" applyFill="1" applyBorder="1" applyAlignment="1">
      <alignment horizontal="left" vertical="center"/>
    </xf>
    <xf numFmtId="3" fontId="14" fillId="0" borderId="128" xfId="37" applyNumberFormat="1" applyFont="1" applyFill="1" applyBorder="1" applyAlignment="1">
      <alignment horizontal="left"/>
    </xf>
    <xf numFmtId="3" fontId="14" fillId="0" borderId="104" xfId="37" applyNumberFormat="1" applyFont="1" applyFill="1" applyBorder="1" applyAlignment="1">
      <alignment horizontal="left"/>
    </xf>
    <xf numFmtId="3" fontId="11" fillId="0" borderId="20" xfId="37" applyNumberFormat="1" applyFont="1" applyFill="1" applyBorder="1" applyAlignment="1">
      <alignment horizontal="left" wrapText="1"/>
    </xf>
    <xf numFmtId="3" fontId="11" fillId="0" borderId="103" xfId="37" applyNumberFormat="1" applyFont="1" applyFill="1" applyBorder="1" applyAlignment="1">
      <alignment horizontal="left" wrapText="1"/>
    </xf>
    <xf numFmtId="3" fontId="14" fillId="0" borderId="169" xfId="37" applyNumberFormat="1" applyFont="1" applyFill="1" applyBorder="1" applyAlignment="1">
      <alignment horizontal="center" vertical="center"/>
    </xf>
    <xf numFmtId="3" fontId="14" fillId="0" borderId="124" xfId="37" applyNumberFormat="1" applyFont="1" applyFill="1" applyBorder="1" applyAlignment="1">
      <alignment horizontal="center" vertical="center"/>
    </xf>
    <xf numFmtId="3" fontId="14" fillId="0" borderId="114" xfId="37" applyNumberFormat="1" applyFont="1" applyFill="1" applyBorder="1" applyAlignment="1">
      <alignment horizontal="center" vertical="center"/>
    </xf>
    <xf numFmtId="3" fontId="14" fillId="0" borderId="169" xfId="0" applyNumberFormat="1" applyFont="1" applyFill="1" applyBorder="1" applyAlignment="1">
      <alignment horizontal="center" vertical="center"/>
    </xf>
    <xf numFmtId="3" fontId="14" fillId="0" borderId="124" xfId="0" applyNumberFormat="1" applyFont="1" applyFill="1" applyBorder="1" applyAlignment="1">
      <alignment horizontal="center" vertical="center"/>
    </xf>
    <xf numFmtId="3" fontId="14" fillId="0" borderId="114" xfId="0" applyNumberFormat="1" applyFont="1" applyFill="1" applyBorder="1" applyAlignment="1">
      <alignment horizontal="center" vertical="center"/>
    </xf>
    <xf numFmtId="3" fontId="11" fillId="0" borderId="167" xfId="0" applyNumberFormat="1" applyFont="1" applyFill="1" applyBorder="1" applyAlignment="1">
      <alignment horizontal="center" vertical="center" wrapText="1"/>
    </xf>
    <xf numFmtId="3" fontId="11" fillId="0" borderId="157" xfId="0" applyNumberFormat="1" applyFont="1" applyFill="1" applyBorder="1" applyAlignment="1">
      <alignment horizontal="center" vertical="center" wrapText="1"/>
    </xf>
    <xf numFmtId="3" fontId="14" fillId="0" borderId="11" xfId="0" applyNumberFormat="1" applyFont="1" applyFill="1" applyBorder="1" applyAlignment="1">
      <alignment horizontal="center" vertical="center"/>
    </xf>
    <xf numFmtId="3" fontId="14" fillId="0" borderId="12" xfId="0" applyNumberFormat="1" applyFont="1" applyFill="1" applyBorder="1" applyAlignment="1">
      <alignment horizontal="center" vertical="center"/>
    </xf>
    <xf numFmtId="3" fontId="14" fillId="0" borderId="117" xfId="0" applyNumberFormat="1" applyFont="1" applyFill="1" applyBorder="1" applyAlignment="1">
      <alignment horizontal="center" vertical="center"/>
    </xf>
    <xf numFmtId="3" fontId="14" fillId="0" borderId="54" xfId="0" applyNumberFormat="1" applyFont="1" applyFill="1" applyBorder="1" applyAlignment="1">
      <alignment horizontal="center" vertical="center"/>
    </xf>
    <xf numFmtId="3" fontId="14" fillId="0" borderId="32" xfId="0" applyNumberFormat="1" applyFont="1" applyFill="1" applyBorder="1" applyAlignment="1">
      <alignment horizontal="center" vertical="center"/>
    </xf>
    <xf numFmtId="3" fontId="14" fillId="0" borderId="156" xfId="0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left" vertical="center"/>
    </xf>
    <xf numFmtId="3" fontId="11" fillId="0" borderId="167" xfId="0" applyNumberFormat="1" applyFont="1" applyFill="1" applyBorder="1" applyAlignment="1">
      <alignment horizontal="center" vertical="center" textRotation="90"/>
    </xf>
    <xf numFmtId="0" fontId="0" fillId="0" borderId="157" xfId="0" applyFont="1" applyFill="1" applyBorder="1" applyAlignment="1">
      <alignment horizontal="center" vertical="center"/>
    </xf>
    <xf numFmtId="3" fontId="14" fillId="0" borderId="167" xfId="0" applyNumberFormat="1" applyFont="1" applyFill="1" applyBorder="1" applyAlignment="1">
      <alignment horizontal="center" vertical="center"/>
    </xf>
    <xf numFmtId="3" fontId="14" fillId="0" borderId="157" xfId="0" applyNumberFormat="1" applyFont="1" applyFill="1" applyBorder="1" applyAlignment="1">
      <alignment horizontal="center" vertical="center"/>
    </xf>
    <xf numFmtId="3" fontId="11" fillId="0" borderId="171" xfId="0" applyNumberFormat="1" applyFont="1" applyFill="1" applyBorder="1" applyAlignment="1">
      <alignment horizontal="center" vertical="center" wrapText="1"/>
    </xf>
    <xf numFmtId="3" fontId="11" fillId="0" borderId="92" xfId="0" applyNumberFormat="1" applyFont="1" applyFill="1" applyBorder="1" applyAlignment="1">
      <alignment horizontal="center" vertical="center" wrapText="1"/>
    </xf>
    <xf numFmtId="3" fontId="14" fillId="0" borderId="66" xfId="0" applyNumberFormat="1" applyFont="1" applyFill="1" applyBorder="1" applyAlignment="1">
      <alignment horizontal="left"/>
    </xf>
    <xf numFmtId="3" fontId="14" fillId="0" borderId="114" xfId="0" applyNumberFormat="1" applyFont="1" applyFill="1" applyBorder="1" applyAlignment="1">
      <alignment horizontal="left"/>
    </xf>
    <xf numFmtId="3" fontId="11" fillId="0" borderId="100" xfId="0" applyNumberFormat="1" applyFont="1" applyFill="1" applyBorder="1" applyAlignment="1">
      <alignment horizontal="center" vertical="center"/>
    </xf>
    <xf numFmtId="3" fontId="11" fillId="0" borderId="95" xfId="0" applyNumberFormat="1" applyFont="1" applyFill="1" applyBorder="1" applyAlignment="1">
      <alignment horizontal="center" vertical="center"/>
    </xf>
    <xf numFmtId="3" fontId="11" fillId="0" borderId="101" xfId="0" applyNumberFormat="1" applyFont="1" applyFill="1" applyBorder="1" applyAlignment="1">
      <alignment horizontal="center" vertical="center"/>
    </xf>
    <xf numFmtId="3" fontId="11" fillId="0" borderId="170" xfId="26" applyNumberFormat="1" applyFont="1" applyFill="1" applyBorder="1" applyAlignment="1">
      <alignment horizontal="center" vertical="center" wrapText="1"/>
    </xf>
    <xf numFmtId="3" fontId="14" fillId="0" borderId="172" xfId="0" applyNumberFormat="1" applyFont="1" applyFill="1" applyBorder="1" applyAlignment="1">
      <alignment horizontal="center" vertical="center"/>
    </xf>
    <xf numFmtId="3" fontId="14" fillId="0" borderId="173" xfId="0" applyNumberFormat="1" applyFont="1" applyFill="1" applyBorder="1" applyAlignment="1">
      <alignment horizontal="center" vertical="center"/>
    </xf>
    <xf numFmtId="3" fontId="11" fillId="0" borderId="167" xfId="0" applyNumberFormat="1" applyFont="1" applyFill="1" applyBorder="1" applyAlignment="1">
      <alignment horizontal="center" vertical="center" textRotation="90" wrapText="1"/>
    </xf>
    <xf numFmtId="0" fontId="0" fillId="0" borderId="157" xfId="0" applyFont="1" applyFill="1" applyBorder="1" applyAlignment="1">
      <alignment horizontal="center" vertical="center" textRotation="90" wrapText="1"/>
    </xf>
    <xf numFmtId="3" fontId="11" fillId="0" borderId="174" xfId="0" applyNumberFormat="1" applyFont="1" applyFill="1" applyBorder="1" applyAlignment="1">
      <alignment horizontal="center" vertical="center" wrapText="1"/>
    </xf>
    <xf numFmtId="3" fontId="11" fillId="0" borderId="175" xfId="0" applyNumberFormat="1" applyFont="1" applyFill="1" applyBorder="1" applyAlignment="1">
      <alignment horizontal="center" vertical="center" wrapText="1"/>
    </xf>
    <xf numFmtId="3" fontId="14" fillId="0" borderId="176" xfId="0" applyNumberFormat="1" applyFont="1" applyFill="1" applyBorder="1" applyAlignment="1">
      <alignment horizontal="center" vertical="center" wrapText="1"/>
    </xf>
    <xf numFmtId="3" fontId="14" fillId="0" borderId="177" xfId="0" applyNumberFormat="1" applyFont="1" applyFill="1" applyBorder="1" applyAlignment="1">
      <alignment horizontal="center" vertical="center" wrapText="1"/>
    </xf>
    <xf numFmtId="3" fontId="13" fillId="0" borderId="0" xfId="0" applyNumberFormat="1" applyFont="1" applyFill="1" applyAlignment="1">
      <alignment horizontal="right"/>
    </xf>
    <xf numFmtId="3" fontId="14" fillId="0" borderId="66" xfId="37" applyNumberFormat="1" applyFont="1" applyFill="1" applyBorder="1" applyAlignment="1">
      <alignment horizontal="left"/>
    </xf>
    <xf numFmtId="3" fontId="14" fillId="0" borderId="114" xfId="37" applyNumberFormat="1" applyFont="1" applyFill="1" applyBorder="1" applyAlignment="1">
      <alignment horizontal="left"/>
    </xf>
    <xf numFmtId="3" fontId="11" fillId="0" borderId="157" xfId="0" applyNumberFormat="1" applyFont="1" applyFill="1" applyBorder="1" applyAlignment="1">
      <alignment horizontal="center" vertical="center" textRotation="90"/>
    </xf>
    <xf numFmtId="3" fontId="11" fillId="0" borderId="122" xfId="37" applyNumberFormat="1" applyFont="1" applyFill="1" applyBorder="1" applyAlignment="1">
      <alignment horizontal="left"/>
    </xf>
    <xf numFmtId="3" fontId="11" fillId="0" borderId="119" xfId="37" applyNumberFormat="1" applyFont="1" applyFill="1" applyBorder="1" applyAlignment="1">
      <alignment horizontal="left"/>
    </xf>
    <xf numFmtId="3" fontId="17" fillId="0" borderId="20" xfId="37" applyNumberFormat="1" applyFont="1" applyFill="1" applyBorder="1" applyAlignment="1">
      <alignment horizontal="left"/>
    </xf>
    <xf numFmtId="3" fontId="17" fillId="0" borderId="103" xfId="37" applyNumberFormat="1" applyFont="1" applyFill="1" applyBorder="1" applyAlignment="1">
      <alignment horizontal="left"/>
    </xf>
    <xf numFmtId="3" fontId="11" fillId="0" borderId="111" xfId="37" applyNumberFormat="1" applyFont="1" applyFill="1" applyBorder="1" applyAlignment="1">
      <alignment horizontal="left"/>
    </xf>
    <xf numFmtId="3" fontId="17" fillId="0" borderId="128" xfId="37" applyNumberFormat="1" applyFont="1" applyFill="1" applyBorder="1" applyAlignment="1">
      <alignment horizontal="left" vertical="center"/>
    </xf>
    <xf numFmtId="3" fontId="17" fillId="0" borderId="168" xfId="37" applyNumberFormat="1" applyFont="1" applyFill="1" applyBorder="1" applyAlignment="1">
      <alignment horizontal="left" vertical="center"/>
    </xf>
    <xf numFmtId="3" fontId="17" fillId="0" borderId="104" xfId="37" applyNumberFormat="1" applyFont="1" applyFill="1" applyBorder="1" applyAlignment="1">
      <alignment horizontal="left" vertical="center"/>
    </xf>
    <xf numFmtId="3" fontId="14" fillId="0" borderId="128" xfId="0" applyNumberFormat="1" applyFont="1" applyFill="1" applyBorder="1" applyAlignment="1">
      <alignment horizontal="left"/>
    </xf>
    <xf numFmtId="3" fontId="14" fillId="0" borderId="104" xfId="0" applyNumberFormat="1" applyFont="1" applyFill="1" applyBorder="1" applyAlignment="1">
      <alignment horizontal="left"/>
    </xf>
    <xf numFmtId="3" fontId="11" fillId="0" borderId="111" xfId="37" applyNumberFormat="1" applyFont="1" applyFill="1" applyBorder="1" applyAlignment="1">
      <alignment horizontal="left" wrapText="1"/>
    </xf>
    <xf numFmtId="0" fontId="3" fillId="0" borderId="20" xfId="30" applyFont="1" applyFill="1" applyBorder="1" applyAlignment="1">
      <alignment horizontal="left" vertical="top" wrapText="1"/>
    </xf>
    <xf numFmtId="0" fontId="3" fillId="0" borderId="111" xfId="30" applyFont="1" applyFill="1" applyBorder="1" applyAlignment="1">
      <alignment horizontal="left" vertical="top" wrapText="1"/>
    </xf>
    <xf numFmtId="0" fontId="3" fillId="0" borderId="103" xfId="30" applyFont="1" applyFill="1" applyBorder="1" applyAlignment="1">
      <alignment horizontal="left" vertical="top" wrapText="1"/>
    </xf>
    <xf numFmtId="3" fontId="11" fillId="0" borderId="20" xfId="37" applyNumberFormat="1" applyFont="1" applyFill="1" applyBorder="1" applyAlignment="1">
      <alignment horizontal="left" vertical="top" wrapText="1"/>
    </xf>
    <xf numFmtId="3" fontId="11" fillId="0" borderId="103" xfId="37" applyNumberFormat="1" applyFont="1" applyFill="1" applyBorder="1" applyAlignment="1">
      <alignment horizontal="left" vertical="top" wrapText="1"/>
    </xf>
    <xf numFmtId="3" fontId="11" fillId="0" borderId="187" xfId="37" applyNumberFormat="1" applyFont="1" applyFill="1" applyBorder="1" applyAlignment="1">
      <alignment horizontal="left"/>
    </xf>
    <xf numFmtId="3" fontId="13" fillId="0" borderId="15" xfId="0" applyNumberFormat="1" applyFont="1" applyFill="1" applyBorder="1" applyAlignment="1">
      <alignment horizontal="left" vertical="center" wrapText="1"/>
    </xf>
    <xf numFmtId="3" fontId="13" fillId="0" borderId="103" xfId="0" applyNumberFormat="1" applyFont="1" applyFill="1" applyBorder="1" applyAlignment="1">
      <alignment horizontal="left" vertical="center" wrapText="1"/>
    </xf>
    <xf numFmtId="3" fontId="13" fillId="0" borderId="16" xfId="0" applyNumberFormat="1" applyFont="1" applyFill="1" applyBorder="1" applyAlignment="1">
      <alignment horizontal="left" vertical="center" wrapText="1"/>
    </xf>
    <xf numFmtId="3" fontId="13" fillId="0" borderId="15" xfId="0" applyNumberFormat="1" applyFont="1" applyFill="1" applyBorder="1" applyAlignment="1">
      <alignment horizontal="left" vertical="top" wrapText="1"/>
    </xf>
    <xf numFmtId="3" fontId="13" fillId="0" borderId="103" xfId="0" applyNumberFormat="1" applyFont="1" applyFill="1" applyBorder="1" applyAlignment="1">
      <alignment horizontal="left" vertical="top" wrapText="1"/>
    </xf>
    <xf numFmtId="3" fontId="13" fillId="0" borderId="16" xfId="0" applyNumberFormat="1" applyFont="1" applyFill="1" applyBorder="1" applyAlignment="1">
      <alignment horizontal="left" vertical="top" wrapText="1"/>
    </xf>
    <xf numFmtId="3" fontId="13" fillId="0" borderId="39" xfId="0" applyNumberFormat="1" applyFont="1" applyFill="1" applyBorder="1" applyAlignment="1">
      <alignment horizontal="left" vertical="center"/>
    </xf>
    <xf numFmtId="3" fontId="13" fillId="0" borderId="114" xfId="0" applyNumberFormat="1" applyFont="1" applyFill="1" applyBorder="1" applyAlignment="1">
      <alignment horizontal="left" vertical="center"/>
    </xf>
    <xf numFmtId="3" fontId="13" fillId="0" borderId="40" xfId="0" applyNumberFormat="1" applyFont="1" applyFill="1" applyBorder="1" applyAlignment="1">
      <alignment horizontal="left" vertical="center"/>
    </xf>
    <xf numFmtId="0" fontId="3" fillId="0" borderId="0" xfId="41" applyFont="1" applyFill="1" applyBorder="1" applyAlignment="1" applyProtection="1">
      <alignment horizontal="left" vertical="center"/>
      <protection locked="0"/>
    </xf>
    <xf numFmtId="0" fontId="5" fillId="0" borderId="0" xfId="40" applyFont="1" applyFill="1" applyBorder="1" applyAlignment="1" applyProtection="1">
      <alignment horizontal="center"/>
      <protection locked="0"/>
    </xf>
    <xf numFmtId="0" fontId="5" fillId="0" borderId="0" xfId="41" applyFont="1" applyFill="1" applyBorder="1" applyAlignment="1" applyProtection="1">
      <alignment horizontal="center" vertical="center"/>
      <protection locked="0"/>
    </xf>
    <xf numFmtId="3" fontId="11" fillId="0" borderId="165" xfId="27" applyNumberFormat="1" applyFont="1" applyFill="1" applyBorder="1" applyAlignment="1" applyProtection="1">
      <alignment horizontal="center" vertical="center" textRotation="90"/>
      <protection locked="0"/>
    </xf>
    <xf numFmtId="3" fontId="11" fillId="0" borderId="166" xfId="27" applyNumberFormat="1" applyFont="1" applyFill="1" applyBorder="1" applyAlignment="1" applyProtection="1">
      <alignment horizontal="center" vertical="center" textRotation="90"/>
      <protection locked="0"/>
    </xf>
    <xf numFmtId="3" fontId="11" fillId="0" borderId="167" xfId="27" applyNumberFormat="1" applyFont="1" applyFill="1" applyBorder="1" applyAlignment="1" applyProtection="1">
      <alignment horizontal="center" vertical="center" textRotation="90"/>
      <protection locked="0"/>
    </xf>
    <xf numFmtId="3" fontId="11" fillId="0" borderId="157" xfId="27" applyNumberFormat="1" applyFont="1" applyFill="1" applyBorder="1" applyAlignment="1" applyProtection="1">
      <alignment horizontal="center" vertical="center" textRotation="90"/>
      <protection locked="0"/>
    </xf>
    <xf numFmtId="0" fontId="14" fillId="0" borderId="167" xfId="40" applyFont="1" applyFill="1" applyBorder="1" applyAlignment="1" applyProtection="1">
      <alignment horizontal="center" vertical="center" wrapText="1"/>
      <protection locked="0"/>
    </xf>
    <xf numFmtId="0" fontId="14" fillId="0" borderId="157" xfId="40" applyFont="1" applyFill="1" applyBorder="1" applyAlignment="1" applyProtection="1">
      <alignment horizontal="center" vertical="center" wrapText="1"/>
      <protection locked="0"/>
    </xf>
    <xf numFmtId="0" fontId="11" fillId="0" borderId="167" xfId="40" applyFont="1" applyFill="1" applyBorder="1" applyAlignment="1" applyProtection="1">
      <alignment horizontal="center" vertical="center" textRotation="90" wrapText="1"/>
      <protection locked="0"/>
    </xf>
    <xf numFmtId="0" fontId="11" fillId="0" borderId="157" xfId="40" applyFont="1" applyFill="1" applyBorder="1" applyAlignment="1" applyProtection="1">
      <alignment horizontal="center" vertical="center" textRotation="90" wrapText="1"/>
      <protection locked="0"/>
    </xf>
    <xf numFmtId="3" fontId="11" fillId="0" borderId="167" xfId="40" applyNumberFormat="1" applyFont="1" applyFill="1" applyBorder="1" applyAlignment="1" applyProtection="1">
      <alignment horizontal="center" vertical="center" wrapText="1"/>
      <protection locked="0"/>
    </xf>
    <xf numFmtId="3" fontId="11" fillId="0" borderId="157" xfId="40" applyNumberFormat="1" applyFont="1" applyFill="1" applyBorder="1" applyAlignment="1" applyProtection="1">
      <alignment horizontal="center" vertical="center" wrapText="1"/>
      <protection locked="0"/>
    </xf>
    <xf numFmtId="3" fontId="11" fillId="0" borderId="171" xfId="40" applyNumberFormat="1" applyFont="1" applyFill="1" applyBorder="1" applyAlignment="1" applyProtection="1">
      <alignment horizontal="center" vertical="center" wrapText="1"/>
      <protection locked="0"/>
    </xf>
    <xf numFmtId="3" fontId="11" fillId="0" borderId="92" xfId="40" applyNumberFormat="1" applyFont="1" applyFill="1" applyBorder="1" applyAlignment="1" applyProtection="1">
      <alignment horizontal="center" vertical="center" wrapText="1"/>
      <protection locked="0"/>
    </xf>
    <xf numFmtId="3" fontId="14" fillId="0" borderId="246" xfId="40" applyNumberFormat="1" applyFont="1" applyFill="1" applyBorder="1" applyAlignment="1" applyProtection="1">
      <alignment horizontal="center" vertical="center" wrapText="1"/>
      <protection locked="0"/>
    </xf>
    <xf numFmtId="3" fontId="14" fillId="0" borderId="87" xfId="40" applyNumberFormat="1" applyFont="1" applyFill="1" applyBorder="1" applyAlignment="1" applyProtection="1">
      <alignment horizontal="center" vertical="center" wrapText="1"/>
      <protection locked="0"/>
    </xf>
    <xf numFmtId="0" fontId="13" fillId="0" borderId="167" xfId="40" applyFont="1" applyFill="1" applyBorder="1" applyAlignment="1" applyProtection="1">
      <alignment horizontal="center" vertical="center"/>
      <protection locked="0"/>
    </xf>
    <xf numFmtId="0" fontId="13" fillId="0" borderId="157" xfId="40" applyFont="1" applyFill="1" applyBorder="1" applyAlignment="1" applyProtection="1">
      <alignment horizontal="center" vertical="center"/>
      <protection locked="0"/>
    </xf>
    <xf numFmtId="0" fontId="14" fillId="0" borderId="27" xfId="40" applyFont="1" applyFill="1" applyBorder="1" applyAlignment="1" applyProtection="1">
      <alignment horizontal="center" vertical="center" wrapText="1"/>
      <protection locked="0"/>
    </xf>
    <xf numFmtId="0" fontId="14" fillId="0" borderId="28" xfId="40" applyFont="1" applyFill="1" applyBorder="1" applyAlignment="1" applyProtection="1">
      <alignment horizontal="center" vertical="center" wrapText="1"/>
      <protection locked="0"/>
    </xf>
    <xf numFmtId="0" fontId="14" fillId="0" borderId="54" xfId="41" applyFont="1" applyFill="1" applyBorder="1" applyAlignment="1" applyProtection="1">
      <alignment horizontal="center" vertical="center"/>
      <protection locked="0"/>
    </xf>
    <xf numFmtId="0" fontId="14" fillId="0" borderId="32" xfId="41" applyFont="1" applyFill="1" applyBorder="1" applyAlignment="1" applyProtection="1">
      <alignment horizontal="center" vertical="center"/>
      <protection locked="0"/>
    </xf>
    <xf numFmtId="0" fontId="14" fillId="0" borderId="156" xfId="41" applyFont="1" applyFill="1" applyBorder="1" applyAlignment="1" applyProtection="1">
      <alignment horizontal="center" vertical="center"/>
      <protection locked="0"/>
    </xf>
    <xf numFmtId="0" fontId="14" fillId="0" borderId="11" xfId="41" applyFont="1" applyFill="1" applyBorder="1" applyAlignment="1" applyProtection="1">
      <alignment horizontal="center" vertical="center"/>
      <protection locked="0"/>
    </xf>
    <xf numFmtId="0" fontId="14" fillId="0" borderId="12" xfId="41" applyFont="1" applyFill="1" applyBorder="1" applyAlignment="1" applyProtection="1">
      <alignment horizontal="center" vertical="center"/>
      <protection locked="0"/>
    </xf>
    <xf numFmtId="0" fontId="14" fillId="0" borderId="117" xfId="41" applyFont="1" applyFill="1" applyBorder="1" applyAlignment="1" applyProtection="1">
      <alignment horizontal="center" vertical="center"/>
      <protection locked="0"/>
    </xf>
    <xf numFmtId="3" fontId="3" fillId="0" borderId="0" xfId="27" applyNumberFormat="1" applyFont="1" applyFill="1" applyAlignment="1">
      <alignment horizontal="left"/>
    </xf>
    <xf numFmtId="3" fontId="3" fillId="0" borderId="0" xfId="27" applyNumberFormat="1" applyFont="1" applyFill="1" applyAlignment="1">
      <alignment horizontal="right"/>
    </xf>
    <xf numFmtId="3" fontId="5" fillId="0" borderId="0" xfId="27" applyNumberFormat="1" applyFont="1" applyFill="1" applyAlignment="1">
      <alignment horizontal="center"/>
    </xf>
    <xf numFmtId="3" fontId="5" fillId="0" borderId="0" xfId="27" applyNumberFormat="1" applyFont="1" applyFill="1" applyAlignment="1">
      <alignment horizontal="center" vertical="center"/>
    </xf>
    <xf numFmtId="3" fontId="13" fillId="0" borderId="0" xfId="27" applyNumberFormat="1" applyFont="1" applyFill="1" applyAlignment="1">
      <alignment horizontal="right"/>
    </xf>
    <xf numFmtId="3" fontId="14" fillId="0" borderId="178" xfId="27" applyNumberFormat="1" applyFont="1" applyFill="1" applyBorder="1" applyAlignment="1">
      <alignment horizontal="center" vertical="center" wrapText="1"/>
    </xf>
    <xf numFmtId="3" fontId="14" fillId="0" borderId="179" xfId="27" applyNumberFormat="1" applyFont="1" applyFill="1" applyBorder="1" applyAlignment="1">
      <alignment horizontal="center" vertical="center" wrapText="1"/>
    </xf>
    <xf numFmtId="3" fontId="11" fillId="0" borderId="180" xfId="0" applyNumberFormat="1" applyFont="1" applyFill="1" applyBorder="1" applyAlignment="1">
      <alignment horizontal="center" vertical="center"/>
    </xf>
    <xf numFmtId="3" fontId="11" fillId="0" borderId="181" xfId="0" applyNumberFormat="1" applyFont="1" applyFill="1" applyBorder="1" applyAlignment="1">
      <alignment horizontal="center" vertical="center"/>
    </xf>
    <xf numFmtId="3" fontId="11" fillId="0" borderId="178" xfId="27" applyNumberFormat="1" applyFont="1" applyFill="1" applyBorder="1" applyAlignment="1">
      <alignment horizontal="center" vertical="center" wrapText="1"/>
    </xf>
    <xf numFmtId="3" fontId="11" fillId="0" borderId="179" xfId="27" applyNumberFormat="1" applyFont="1" applyFill="1" applyBorder="1" applyAlignment="1">
      <alignment horizontal="center" vertical="center" wrapText="1"/>
    </xf>
    <xf numFmtId="3" fontId="11" fillId="0" borderId="182" xfId="27" applyNumberFormat="1" applyFont="1" applyFill="1" applyBorder="1" applyAlignment="1">
      <alignment horizontal="center" vertical="center" textRotation="90"/>
    </xf>
    <xf numFmtId="3" fontId="11" fillId="0" borderId="183" xfId="27" applyNumberFormat="1" applyFont="1" applyFill="1" applyBorder="1" applyAlignment="1">
      <alignment horizontal="center" vertical="center" textRotation="90"/>
    </xf>
    <xf numFmtId="3" fontId="11" fillId="0" borderId="178" xfId="27" applyNumberFormat="1" applyFont="1" applyFill="1" applyBorder="1" applyAlignment="1">
      <alignment horizontal="center" vertical="center" textRotation="90"/>
    </xf>
    <xf numFmtId="3" fontId="11" fillId="0" borderId="179" xfId="27" applyNumberFormat="1" applyFont="1" applyFill="1" applyBorder="1" applyAlignment="1">
      <alignment horizontal="center" vertical="center" textRotation="90"/>
    </xf>
    <xf numFmtId="3" fontId="11" fillId="0" borderId="184" xfId="27" applyNumberFormat="1" applyFont="1" applyFill="1" applyBorder="1" applyAlignment="1">
      <alignment horizontal="center" vertical="center" wrapText="1"/>
    </xf>
    <xf numFmtId="3" fontId="11" fillId="0" borderId="185" xfId="27" applyNumberFormat="1" applyFont="1" applyFill="1" applyBorder="1" applyAlignment="1">
      <alignment horizontal="center" vertical="center" wrapText="1"/>
    </xf>
    <xf numFmtId="0" fontId="14" fillId="0" borderId="178" xfId="27" applyFont="1" applyFill="1" applyBorder="1" applyAlignment="1">
      <alignment horizontal="center" vertical="center" wrapText="1"/>
    </xf>
    <xf numFmtId="0" fontId="14" fillId="0" borderId="179" xfId="27" applyFont="1" applyFill="1" applyBorder="1" applyAlignment="1">
      <alignment horizontal="center" vertical="center" wrapText="1"/>
    </xf>
    <xf numFmtId="3" fontId="11" fillId="0" borderId="172" xfId="0" applyNumberFormat="1" applyFont="1" applyFill="1" applyBorder="1" applyAlignment="1">
      <alignment horizontal="center" vertical="center" textRotation="90" wrapText="1"/>
    </xf>
    <xf numFmtId="0" fontId="11" fillId="0" borderId="173" xfId="0" applyFont="1" applyFill="1" applyBorder="1" applyAlignment="1">
      <alignment horizontal="center" vertical="center" textRotation="90" wrapText="1"/>
    </xf>
    <xf numFmtId="3" fontId="14" fillId="0" borderId="250" xfId="27" applyNumberFormat="1" applyFont="1" applyFill="1" applyBorder="1" applyAlignment="1">
      <alignment horizontal="center" vertical="center" wrapText="1"/>
    </xf>
    <xf numFmtId="3" fontId="14" fillId="0" borderId="83" xfId="27" applyNumberFormat="1" applyFont="1" applyFill="1" applyBorder="1" applyAlignment="1">
      <alignment horizontal="center" vertical="center" wrapText="1"/>
    </xf>
    <xf numFmtId="3" fontId="14" fillId="0" borderId="251" xfId="27" applyNumberFormat="1" applyFont="1" applyFill="1" applyBorder="1" applyAlignment="1">
      <alignment horizontal="center" vertical="center" wrapText="1"/>
    </xf>
    <xf numFmtId="3" fontId="34" fillId="0" borderId="20" xfId="27" applyNumberFormat="1" applyFont="1" applyFill="1" applyBorder="1" applyAlignment="1">
      <alignment horizontal="left" wrapText="1"/>
    </xf>
    <xf numFmtId="0" fontId="0" fillId="0" borderId="111" xfId="0" applyBorder="1" applyAlignment="1">
      <alignment horizontal="left" wrapText="1"/>
    </xf>
    <xf numFmtId="0" fontId="0" fillId="0" borderId="187" xfId="0" applyBorder="1" applyAlignment="1">
      <alignment horizontal="left" wrapText="1"/>
    </xf>
    <xf numFmtId="3" fontId="13" fillId="0" borderId="20" xfId="37" applyNumberFormat="1" applyFont="1" applyFill="1" applyBorder="1" applyAlignment="1">
      <alignment horizontal="left"/>
    </xf>
    <xf numFmtId="3" fontId="13" fillId="0" borderId="111" xfId="37" applyNumberFormat="1" applyFont="1" applyFill="1" applyBorder="1" applyAlignment="1">
      <alignment horizontal="left"/>
    </xf>
    <xf numFmtId="3" fontId="13" fillId="0" borderId="187" xfId="37" applyNumberFormat="1" applyFont="1" applyFill="1" applyBorder="1" applyAlignment="1">
      <alignment horizontal="left"/>
    </xf>
    <xf numFmtId="3" fontId="14" fillId="0" borderId="122" xfId="37" applyNumberFormat="1" applyFont="1" applyFill="1" applyBorder="1" applyAlignment="1">
      <alignment horizontal="left"/>
    </xf>
    <xf numFmtId="3" fontId="14" fillId="0" borderId="137" xfId="37" applyNumberFormat="1" applyFont="1" applyFill="1" applyBorder="1" applyAlignment="1">
      <alignment horizontal="left"/>
    </xf>
    <xf numFmtId="3" fontId="14" fillId="0" borderId="255" xfId="37" applyNumberFormat="1" applyFont="1" applyFill="1" applyBorder="1" applyAlignment="1">
      <alignment horizontal="left"/>
    </xf>
    <xf numFmtId="3" fontId="13" fillId="0" borderId="128" xfId="0" applyNumberFormat="1" applyFont="1" applyFill="1" applyBorder="1" applyAlignment="1">
      <alignment horizontal="left" wrapText="1"/>
    </xf>
    <xf numFmtId="3" fontId="13" fillId="0" borderId="168" xfId="0" applyNumberFormat="1" applyFont="1" applyFill="1" applyBorder="1" applyAlignment="1">
      <alignment horizontal="left" wrapText="1"/>
    </xf>
    <xf numFmtId="3" fontId="13" fillId="0" borderId="186" xfId="0" applyNumberFormat="1" applyFont="1" applyFill="1" applyBorder="1" applyAlignment="1">
      <alignment horizontal="left" wrapText="1"/>
    </xf>
    <xf numFmtId="3" fontId="14" fillId="0" borderId="147" xfId="37" applyNumberFormat="1" applyFont="1" applyFill="1" applyBorder="1" applyAlignment="1">
      <alignment horizontal="left"/>
    </xf>
    <xf numFmtId="3" fontId="14" fillId="0" borderId="141" xfId="37" applyNumberFormat="1" applyFont="1" applyFill="1" applyBorder="1" applyAlignment="1">
      <alignment horizontal="left"/>
    </xf>
    <xf numFmtId="3" fontId="14" fillId="0" borderId="188" xfId="37" applyNumberFormat="1" applyFont="1" applyFill="1" applyBorder="1" applyAlignment="1">
      <alignment horizontal="left"/>
    </xf>
    <xf numFmtId="3" fontId="7" fillId="0" borderId="0" xfId="0" applyNumberFormat="1" applyFont="1" applyFill="1" applyBorder="1" applyAlignment="1">
      <alignment horizontal="left" vertical="top"/>
    </xf>
    <xf numFmtId="3" fontId="14" fillId="0" borderId="111" xfId="37" applyNumberFormat="1" applyFont="1" applyFill="1" applyBorder="1" applyAlignment="1">
      <alignment horizontal="left"/>
    </xf>
    <xf numFmtId="3" fontId="14" fillId="0" borderId="187" xfId="37" applyNumberFormat="1" applyFont="1" applyFill="1" applyBorder="1" applyAlignment="1">
      <alignment horizontal="left"/>
    </xf>
    <xf numFmtId="3" fontId="13" fillId="0" borderId="20" xfId="0" applyNumberFormat="1" applyFont="1" applyFill="1" applyBorder="1" applyAlignment="1">
      <alignment horizontal="left" wrapText="1"/>
    </xf>
    <xf numFmtId="0" fontId="5" fillId="0" borderId="189" xfId="27" applyFont="1" applyFill="1" applyBorder="1" applyAlignment="1">
      <alignment horizontal="center" vertical="center" wrapText="1"/>
    </xf>
    <xf numFmtId="0" fontId="5" fillId="0" borderId="190" xfId="27" applyFont="1" applyFill="1" applyBorder="1" applyAlignment="1">
      <alignment horizontal="center" vertical="center" wrapText="1"/>
    </xf>
    <xf numFmtId="3" fontId="3" fillId="0" borderId="161" xfId="0" applyNumberFormat="1" applyFont="1" applyFill="1" applyBorder="1" applyAlignment="1">
      <alignment horizontal="center" vertical="center" wrapText="1"/>
    </xf>
    <xf numFmtId="3" fontId="3" fillId="0" borderId="191" xfId="0" applyNumberFormat="1" applyFont="1" applyFill="1" applyBorder="1" applyAlignment="1">
      <alignment horizontal="center" vertical="center" wrapText="1"/>
    </xf>
    <xf numFmtId="3" fontId="14" fillId="0" borderId="0" xfId="27" applyNumberFormat="1" applyFont="1" applyFill="1" applyAlignment="1">
      <alignment horizontal="center" vertical="center" wrapText="1"/>
    </xf>
    <xf numFmtId="0" fontId="13" fillId="0" borderId="0" xfId="27" applyFont="1" applyFill="1" applyBorder="1" applyAlignment="1">
      <alignment horizontal="right" wrapText="1"/>
    </xf>
    <xf numFmtId="0" fontId="3" fillId="0" borderId="0" xfId="41" applyFont="1" applyFill="1" applyBorder="1" applyAlignment="1">
      <alignment horizontal="left" vertical="center"/>
    </xf>
    <xf numFmtId="3" fontId="3" fillId="0" borderId="0" xfId="40" applyNumberFormat="1" applyFont="1" applyFill="1" applyBorder="1" applyAlignment="1">
      <alignment horizontal="right"/>
    </xf>
    <xf numFmtId="0" fontId="5" fillId="0" borderId="0" xfId="40" applyFont="1" applyFill="1" applyBorder="1" applyAlignment="1">
      <alignment horizontal="center"/>
    </xf>
    <xf numFmtId="0" fontId="5" fillId="0" borderId="0" xfId="41" applyFont="1" applyFill="1" applyBorder="1" applyAlignment="1">
      <alignment horizontal="center" vertical="center"/>
    </xf>
    <xf numFmtId="3" fontId="14" fillId="0" borderId="172" xfId="40" applyNumberFormat="1" applyFont="1" applyFill="1" applyBorder="1" applyAlignment="1">
      <alignment horizontal="center" vertical="center" wrapText="1"/>
    </xf>
    <xf numFmtId="3" fontId="14" fillId="0" borderId="167" xfId="40" applyNumberFormat="1" applyFont="1" applyFill="1" applyBorder="1" applyAlignment="1">
      <alignment horizontal="center" vertical="center" wrapText="1"/>
    </xf>
    <xf numFmtId="3" fontId="14" fillId="0" borderId="174" xfId="40" applyNumberFormat="1" applyFont="1" applyFill="1" applyBorder="1" applyAlignment="1">
      <alignment horizontal="center" vertical="center" wrapText="1"/>
    </xf>
    <xf numFmtId="3" fontId="11" fillId="0" borderId="196" xfId="40" applyNumberFormat="1" applyFont="1" applyFill="1" applyBorder="1" applyAlignment="1">
      <alignment horizontal="center" vertical="center" wrapText="1"/>
    </xf>
    <xf numFmtId="3" fontId="11" fillId="0" borderId="197" xfId="40" applyNumberFormat="1" applyFont="1" applyFill="1" applyBorder="1" applyAlignment="1">
      <alignment horizontal="center" vertical="center" wrapText="1"/>
    </xf>
    <xf numFmtId="3" fontId="11" fillId="0" borderId="198" xfId="40" applyNumberFormat="1" applyFont="1" applyFill="1" applyBorder="1" applyAlignment="1">
      <alignment horizontal="center" vertical="center" wrapText="1"/>
    </xf>
    <xf numFmtId="3" fontId="11" fillId="0" borderId="193" xfId="40" applyNumberFormat="1" applyFont="1" applyFill="1" applyBorder="1" applyAlignment="1">
      <alignment horizontal="center" vertical="center" wrapText="1"/>
    </xf>
    <xf numFmtId="3" fontId="11" fillId="0" borderId="194" xfId="40" applyNumberFormat="1" applyFont="1" applyFill="1" applyBorder="1" applyAlignment="1">
      <alignment horizontal="center" vertical="center" wrapText="1"/>
    </xf>
    <xf numFmtId="3" fontId="11" fillId="0" borderId="49" xfId="40" applyNumberFormat="1" applyFont="1" applyFill="1" applyBorder="1" applyAlignment="1">
      <alignment horizontal="center" vertical="center" wrapText="1"/>
    </xf>
    <xf numFmtId="3" fontId="11" fillId="0" borderId="199" xfId="27" applyNumberFormat="1" applyFont="1" applyFill="1" applyBorder="1" applyAlignment="1">
      <alignment horizontal="center" vertical="center" textRotation="90"/>
    </xf>
    <xf numFmtId="3" fontId="11" fillId="0" borderId="200" xfId="27" applyNumberFormat="1" applyFont="1" applyFill="1" applyBorder="1" applyAlignment="1">
      <alignment horizontal="center" vertical="center" textRotation="90"/>
    </xf>
    <xf numFmtId="3" fontId="11" fillId="0" borderId="201" xfId="27" applyNumberFormat="1" applyFont="1" applyFill="1" applyBorder="1" applyAlignment="1">
      <alignment horizontal="center" vertical="center" textRotation="90"/>
    </xf>
    <xf numFmtId="3" fontId="11" fillId="0" borderId="193" xfId="27" applyNumberFormat="1" applyFont="1" applyFill="1" applyBorder="1" applyAlignment="1">
      <alignment horizontal="center" vertical="center" textRotation="90"/>
    </xf>
    <xf numFmtId="3" fontId="11" fillId="0" borderId="194" xfId="27" applyNumberFormat="1" applyFont="1" applyFill="1" applyBorder="1" applyAlignment="1">
      <alignment horizontal="center" vertical="center" textRotation="90"/>
    </xf>
    <xf numFmtId="3" fontId="11" fillId="0" borderId="49" xfId="27" applyNumberFormat="1" applyFont="1" applyFill="1" applyBorder="1" applyAlignment="1">
      <alignment horizontal="center" vertical="center" textRotation="90"/>
    </xf>
    <xf numFmtId="0" fontId="14" fillId="0" borderId="167" xfId="40" applyFont="1" applyFill="1" applyBorder="1" applyAlignment="1">
      <alignment horizontal="center" vertical="center" wrapText="1"/>
    </xf>
    <xf numFmtId="0" fontId="14" fillId="0" borderId="202" xfId="40" applyFont="1" applyFill="1" applyBorder="1" applyAlignment="1">
      <alignment horizontal="center" vertical="center" wrapText="1"/>
    </xf>
    <xf numFmtId="0" fontId="14" fillId="0" borderId="157" xfId="40" applyFont="1" applyFill="1" applyBorder="1" applyAlignment="1">
      <alignment horizontal="center" vertical="center" wrapText="1"/>
    </xf>
    <xf numFmtId="3" fontId="11" fillId="0" borderId="150" xfId="40" applyNumberFormat="1" applyFont="1" applyFill="1" applyBorder="1" applyAlignment="1">
      <alignment horizontal="center" vertical="center" wrapText="1"/>
    </xf>
    <xf numFmtId="3" fontId="14" fillId="0" borderId="203" xfId="40" applyNumberFormat="1" applyFont="1" applyFill="1" applyBorder="1" applyAlignment="1">
      <alignment horizontal="center" vertical="center" wrapText="1"/>
    </xf>
    <xf numFmtId="3" fontId="14" fillId="0" borderId="204" xfId="40" applyNumberFormat="1" applyFont="1" applyFill="1" applyBorder="1" applyAlignment="1">
      <alignment horizontal="center" vertical="center" wrapText="1"/>
    </xf>
    <xf numFmtId="0" fontId="11" fillId="0" borderId="205" xfId="40" applyFont="1" applyFill="1" applyBorder="1" applyAlignment="1">
      <alignment horizontal="center" vertical="center" textRotation="90" wrapText="1"/>
    </xf>
    <xf numFmtId="0" fontId="11" fillId="0" borderId="206" xfId="40" applyFont="1" applyFill="1" applyBorder="1" applyAlignment="1">
      <alignment horizontal="center" vertical="center" textRotation="90" wrapText="1"/>
    </xf>
    <xf numFmtId="0" fontId="11" fillId="0" borderId="50" xfId="40" applyFont="1" applyFill="1" applyBorder="1" applyAlignment="1">
      <alignment horizontal="center" vertical="center" textRotation="90" wrapText="1"/>
    </xf>
    <xf numFmtId="3" fontId="11" fillId="0" borderId="68" xfId="40" applyNumberFormat="1" applyFont="1" applyFill="1" applyBorder="1" applyAlignment="1">
      <alignment horizontal="center" vertical="center" wrapText="1"/>
    </xf>
    <xf numFmtId="3" fontId="11" fillId="0" borderId="73" xfId="40" applyNumberFormat="1" applyFont="1" applyFill="1" applyBorder="1" applyAlignment="1">
      <alignment horizontal="center" vertical="center" wrapText="1"/>
    </xf>
    <xf numFmtId="3" fontId="11" fillId="0" borderId="192" xfId="40" applyNumberFormat="1" applyFont="1" applyFill="1" applyBorder="1" applyAlignment="1">
      <alignment horizontal="center" vertical="center" wrapText="1"/>
    </xf>
    <xf numFmtId="3" fontId="14" fillId="0" borderId="100" xfId="30" applyNumberFormat="1" applyFont="1" applyFill="1" applyBorder="1" applyAlignment="1">
      <alignment horizontal="center" vertical="center" wrapText="1"/>
    </xf>
    <xf numFmtId="3" fontId="14" fillId="0" borderId="95" xfId="30" applyNumberFormat="1" applyFont="1" applyFill="1" applyBorder="1" applyAlignment="1">
      <alignment horizontal="center" vertical="center" wrapText="1"/>
    </xf>
    <xf numFmtId="3" fontId="14" fillId="0" borderId="207" xfId="30" applyNumberFormat="1" applyFont="1" applyFill="1" applyBorder="1" applyAlignment="1">
      <alignment horizontal="center" vertical="center" wrapText="1"/>
    </xf>
    <xf numFmtId="3" fontId="34" fillId="0" borderId="111" xfId="37" applyNumberFormat="1" applyFont="1" applyFill="1" applyBorder="1" applyAlignment="1">
      <alignment horizontal="left"/>
    </xf>
    <xf numFmtId="3" fontId="34" fillId="0" borderId="187" xfId="37" applyNumberFormat="1" applyFont="1" applyFill="1" applyBorder="1" applyAlignment="1">
      <alignment horizontal="left"/>
    </xf>
    <xf numFmtId="3" fontId="14" fillId="0" borderId="11" xfId="30" applyNumberFormat="1" applyFont="1" applyFill="1" applyBorder="1" applyAlignment="1">
      <alignment horizontal="center" vertical="center" wrapText="1"/>
    </xf>
    <xf numFmtId="3" fontId="14" fillId="0" borderId="12" xfId="30" applyNumberFormat="1" applyFont="1" applyFill="1" applyBorder="1" applyAlignment="1">
      <alignment horizontal="center" vertical="center" wrapText="1"/>
    </xf>
    <xf numFmtId="3" fontId="14" fillId="0" borderId="195" xfId="30" applyNumberFormat="1" applyFont="1" applyFill="1" applyBorder="1" applyAlignment="1">
      <alignment horizontal="center" vertical="center" wrapText="1"/>
    </xf>
    <xf numFmtId="3" fontId="14" fillId="0" borderId="95" xfId="40" applyNumberFormat="1" applyFont="1" applyFill="1" applyBorder="1" applyAlignment="1">
      <alignment horizontal="center" vertical="center" wrapText="1"/>
    </xf>
    <xf numFmtId="3" fontId="14" fillId="0" borderId="207" xfId="40" applyNumberFormat="1" applyFont="1" applyFill="1" applyBorder="1" applyAlignment="1">
      <alignment horizontal="center" vertical="center" wrapText="1"/>
    </xf>
    <xf numFmtId="0" fontId="3" fillId="0" borderId="0" xfId="40" applyFont="1" applyFill="1" applyBorder="1" applyAlignment="1">
      <alignment horizontal="center"/>
    </xf>
    <xf numFmtId="3" fontId="3" fillId="0" borderId="199" xfId="27" applyNumberFormat="1" applyFont="1" applyFill="1" applyBorder="1" applyAlignment="1">
      <alignment horizontal="center" vertical="center" textRotation="90"/>
    </xf>
    <xf numFmtId="3" fontId="3" fillId="0" borderId="200" xfId="27" applyNumberFormat="1" applyFont="1" applyFill="1" applyBorder="1" applyAlignment="1">
      <alignment horizontal="center" vertical="center" textRotation="90"/>
    </xf>
    <xf numFmtId="3" fontId="3" fillId="0" borderId="201" xfId="27" applyNumberFormat="1" applyFont="1" applyFill="1" applyBorder="1" applyAlignment="1">
      <alignment horizontal="center" vertical="center" textRotation="90"/>
    </xf>
    <xf numFmtId="3" fontId="3" fillId="0" borderId="193" xfId="40" applyNumberFormat="1" applyFont="1" applyFill="1" applyBorder="1" applyAlignment="1">
      <alignment horizontal="center" vertical="center" wrapText="1"/>
    </xf>
    <xf numFmtId="3" fontId="3" fillId="0" borderId="194" xfId="40" applyNumberFormat="1" applyFont="1" applyFill="1" applyBorder="1" applyAlignment="1">
      <alignment horizontal="center" vertical="center" wrapText="1"/>
    </xf>
    <xf numFmtId="3" fontId="3" fillId="0" borderId="49" xfId="40" applyNumberFormat="1" applyFont="1" applyFill="1" applyBorder="1" applyAlignment="1">
      <alignment horizontal="center" vertical="center" wrapText="1"/>
    </xf>
    <xf numFmtId="0" fontId="5" fillId="0" borderId="0" xfId="41" applyFont="1" applyFill="1" applyBorder="1" applyAlignment="1">
      <alignment horizontal="center"/>
    </xf>
    <xf numFmtId="0" fontId="3" fillId="0" borderId="167" xfId="40" applyFont="1" applyFill="1" applyBorder="1" applyAlignment="1">
      <alignment horizontal="center" vertical="center"/>
    </xf>
    <xf numFmtId="0" fontId="3" fillId="0" borderId="202" xfId="40" applyFont="1" applyFill="1" applyBorder="1" applyAlignment="1">
      <alignment horizontal="center" vertical="center"/>
    </xf>
    <xf numFmtId="0" fontId="3" fillId="0" borderId="157" xfId="40" applyFont="1" applyFill="1" applyBorder="1" applyAlignment="1">
      <alignment horizontal="center" vertical="center"/>
    </xf>
    <xf numFmtId="3" fontId="3" fillId="0" borderId="68" xfId="40" applyNumberFormat="1" applyFont="1" applyFill="1" applyBorder="1" applyAlignment="1">
      <alignment horizontal="center" vertical="center" wrapText="1"/>
    </xf>
    <xf numFmtId="3" fontId="3" fillId="0" borderId="73" xfId="40" applyNumberFormat="1" applyFont="1" applyFill="1" applyBorder="1" applyAlignment="1">
      <alignment horizontal="center" vertical="center" wrapText="1"/>
    </xf>
    <xf numFmtId="3" fontId="3" fillId="0" borderId="192" xfId="40" applyNumberFormat="1" applyFont="1" applyFill="1" applyBorder="1" applyAlignment="1">
      <alignment horizontal="center" vertical="center" wrapText="1"/>
    </xf>
    <xf numFmtId="3" fontId="3" fillId="0" borderId="67" xfId="40" applyNumberFormat="1" applyFont="1" applyFill="1" applyBorder="1" applyAlignment="1">
      <alignment horizontal="center" vertical="center" wrapText="1"/>
    </xf>
    <xf numFmtId="3" fontId="3" fillId="0" borderId="209" xfId="40" applyNumberFormat="1" applyFont="1" applyFill="1" applyBorder="1" applyAlignment="1">
      <alignment horizontal="center" vertical="center" wrapText="1"/>
    </xf>
    <xf numFmtId="3" fontId="3" fillId="0" borderId="196" xfId="40" applyNumberFormat="1" applyFont="1" applyFill="1" applyBorder="1" applyAlignment="1">
      <alignment horizontal="center" vertical="center" wrapText="1"/>
    </xf>
    <xf numFmtId="3" fontId="3" fillId="0" borderId="197" xfId="40" applyNumberFormat="1" applyFont="1" applyFill="1" applyBorder="1" applyAlignment="1">
      <alignment horizontal="center" vertical="center" wrapText="1"/>
    </xf>
    <xf numFmtId="3" fontId="3" fillId="0" borderId="198" xfId="40" applyNumberFormat="1" applyFont="1" applyFill="1" applyBorder="1" applyAlignment="1">
      <alignment horizontal="center" vertical="center" wrapText="1"/>
    </xf>
    <xf numFmtId="3" fontId="3" fillId="0" borderId="210" xfId="40" applyNumberFormat="1" applyFont="1" applyFill="1" applyBorder="1" applyAlignment="1">
      <alignment horizontal="center" vertical="center" wrapText="1"/>
    </xf>
    <xf numFmtId="3" fontId="3" fillId="0" borderId="211" xfId="40" applyNumberFormat="1" applyFont="1" applyFill="1" applyBorder="1" applyAlignment="1">
      <alignment horizontal="center" vertical="center" wrapText="1"/>
    </xf>
    <xf numFmtId="3" fontId="3" fillId="0" borderId="212" xfId="40" applyNumberFormat="1" applyFont="1" applyFill="1" applyBorder="1" applyAlignment="1">
      <alignment horizontal="center" vertical="center" wrapText="1"/>
    </xf>
    <xf numFmtId="3" fontId="6" fillId="0" borderId="20" xfId="37" applyNumberFormat="1" applyFont="1" applyFill="1" applyBorder="1" applyAlignment="1">
      <alignment horizontal="left"/>
    </xf>
    <xf numFmtId="3" fontId="6" fillId="0" borderId="111" xfId="37" applyNumberFormat="1" applyFont="1" applyFill="1" applyBorder="1" applyAlignment="1">
      <alignment horizontal="left"/>
    </xf>
    <xf numFmtId="3" fontId="6" fillId="0" borderId="187" xfId="37" applyNumberFormat="1" applyFont="1" applyFill="1" applyBorder="1" applyAlignment="1">
      <alignment horizontal="left"/>
    </xf>
    <xf numFmtId="3" fontId="5" fillId="0" borderId="147" xfId="37" applyNumberFormat="1" applyFont="1" applyFill="1" applyBorder="1" applyAlignment="1">
      <alignment horizontal="left"/>
    </xf>
    <xf numFmtId="3" fontId="5" fillId="0" borderId="141" xfId="37" applyNumberFormat="1" applyFont="1" applyFill="1" applyBorder="1" applyAlignment="1">
      <alignment horizontal="left"/>
    </xf>
    <xf numFmtId="3" fontId="5" fillId="0" borderId="188" xfId="37" applyNumberFormat="1" applyFont="1" applyFill="1" applyBorder="1" applyAlignment="1">
      <alignment horizontal="left"/>
    </xf>
    <xf numFmtId="3" fontId="3" fillId="0" borderId="208" xfId="40" applyNumberFormat="1" applyFont="1" applyFill="1" applyBorder="1" applyAlignment="1">
      <alignment horizontal="center" vertical="center" wrapText="1"/>
    </xf>
    <xf numFmtId="3" fontId="5" fillId="0" borderId="105" xfId="40" applyNumberFormat="1" applyFont="1" applyFill="1" applyBorder="1" applyAlignment="1">
      <alignment horizontal="center" vertical="center" wrapText="1"/>
    </xf>
    <xf numFmtId="3" fontId="5" fillId="0" borderId="204" xfId="40" applyNumberFormat="1" applyFont="1" applyFill="1" applyBorder="1" applyAlignment="1">
      <alignment horizontal="center" vertical="center" wrapText="1"/>
    </xf>
    <xf numFmtId="3" fontId="5" fillId="0" borderId="169" xfId="30" applyNumberFormat="1" applyFont="1" applyFill="1" applyBorder="1" applyAlignment="1">
      <alignment horizontal="center" vertical="center" wrapText="1"/>
    </xf>
    <xf numFmtId="3" fontId="5" fillId="0" borderId="124" xfId="30" applyNumberFormat="1" applyFont="1" applyFill="1" applyBorder="1" applyAlignment="1">
      <alignment horizontal="center" vertical="center" wrapText="1"/>
    </xf>
    <xf numFmtId="3" fontId="5" fillId="0" borderId="263" xfId="30" applyNumberFormat="1" applyFont="1" applyFill="1" applyBorder="1" applyAlignment="1">
      <alignment horizontal="center" vertical="center" wrapText="1"/>
    </xf>
    <xf numFmtId="0" fontId="38" fillId="0" borderId="22" xfId="30" applyFont="1" applyFill="1" applyBorder="1" applyAlignment="1">
      <alignment horizontal="left"/>
    </xf>
    <xf numFmtId="0" fontId="38" fillId="0" borderId="123" xfId="30" applyFont="1" applyFill="1" applyBorder="1" applyAlignment="1">
      <alignment horizontal="left"/>
    </xf>
    <xf numFmtId="0" fontId="38" fillId="0" borderId="265" xfId="30" applyFont="1" applyFill="1" applyBorder="1" applyAlignment="1">
      <alignment horizontal="left"/>
    </xf>
    <xf numFmtId="3" fontId="3" fillId="0" borderId="193" xfId="27" applyNumberFormat="1" applyFont="1" applyFill="1" applyBorder="1" applyAlignment="1">
      <alignment horizontal="center" vertical="center" textRotation="90"/>
    </xf>
    <xf numFmtId="3" fontId="3" fillId="0" borderId="194" xfId="27" applyNumberFormat="1" applyFont="1" applyFill="1" applyBorder="1" applyAlignment="1">
      <alignment horizontal="center" vertical="center" textRotation="90"/>
    </xf>
    <xf numFmtId="3" fontId="3" fillId="0" borderId="49" xfId="27" applyNumberFormat="1" applyFont="1" applyFill="1" applyBorder="1" applyAlignment="1">
      <alignment horizontal="center" vertical="center" textRotation="90"/>
    </xf>
    <xf numFmtId="0" fontId="34" fillId="0" borderId="22" xfId="30" applyFont="1" applyFill="1" applyBorder="1" applyAlignment="1">
      <alignment horizontal="left"/>
    </xf>
    <xf numFmtId="0" fontId="34" fillId="0" borderId="123" xfId="30" applyFont="1" applyFill="1" applyBorder="1" applyAlignment="1">
      <alignment horizontal="left"/>
    </xf>
    <xf numFmtId="0" fontId="34" fillId="0" borderId="265" xfId="30" applyFont="1" applyFill="1" applyBorder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5" fillId="0" borderId="11" xfId="40" applyFont="1" applyFill="1" applyBorder="1" applyAlignment="1">
      <alignment horizontal="center" vertical="center"/>
    </xf>
    <xf numFmtId="0" fontId="5" fillId="0" borderId="117" xfId="40" applyFont="1" applyFill="1" applyBorder="1" applyAlignment="1">
      <alignment horizontal="center" vertical="center"/>
    </xf>
    <xf numFmtId="0" fontId="3" fillId="0" borderId="0" xfId="25" applyFont="1" applyFill="1" applyBorder="1" applyAlignment="1">
      <alignment horizontal="left" vertical="center"/>
    </xf>
    <xf numFmtId="3" fontId="5" fillId="0" borderId="116" xfId="28" applyNumberFormat="1" applyFont="1" applyFill="1" applyBorder="1" applyAlignment="1">
      <alignment horizontal="center" vertical="center" wrapText="1"/>
    </xf>
    <xf numFmtId="3" fontId="5" fillId="0" borderId="213" xfId="28" applyNumberFormat="1" applyFont="1" applyFill="1" applyBorder="1" applyAlignment="1">
      <alignment horizontal="center" vertical="center" wrapText="1"/>
    </xf>
    <xf numFmtId="0" fontId="5" fillId="0" borderId="0" xfId="40" applyFont="1" applyFill="1" applyBorder="1" applyAlignment="1">
      <alignment horizontal="center" vertical="center"/>
    </xf>
    <xf numFmtId="0" fontId="6" fillId="0" borderId="0" xfId="40" applyFont="1" applyFill="1" applyBorder="1" applyAlignment="1">
      <alignment horizontal="center" vertical="center"/>
    </xf>
    <xf numFmtId="0" fontId="3" fillId="0" borderId="165" xfId="28" applyFont="1" applyFill="1" applyBorder="1" applyAlignment="1">
      <alignment horizontal="center" vertical="center" textRotation="90"/>
    </xf>
    <xf numFmtId="0" fontId="3" fillId="0" borderId="166" xfId="28" applyFont="1" applyFill="1" applyBorder="1" applyAlignment="1">
      <alignment horizontal="center" vertical="center" textRotation="90"/>
    </xf>
    <xf numFmtId="0" fontId="5" fillId="0" borderId="214" xfId="28" applyFont="1" applyFill="1" applyBorder="1" applyAlignment="1">
      <alignment horizontal="center" vertical="center" wrapText="1"/>
    </xf>
    <xf numFmtId="0" fontId="5" fillId="0" borderId="215" xfId="28" applyFont="1" applyFill="1" applyBorder="1" applyAlignment="1">
      <alignment horizontal="center" vertical="center" wrapText="1"/>
    </xf>
    <xf numFmtId="3" fontId="5" fillId="0" borderId="106" xfId="28" applyNumberFormat="1" applyFont="1" applyFill="1" applyBorder="1" applyAlignment="1">
      <alignment horizontal="center" vertical="center" wrapText="1"/>
    </xf>
    <xf numFmtId="3" fontId="5" fillId="0" borderId="99" xfId="28" applyNumberFormat="1" applyFont="1" applyFill="1" applyBorder="1" applyAlignment="1">
      <alignment horizontal="center" vertical="center" wrapText="1"/>
    </xf>
    <xf numFmtId="3" fontId="5" fillId="0" borderId="66" xfId="28" applyNumberFormat="1" applyFont="1" applyFill="1" applyBorder="1" applyAlignment="1">
      <alignment horizontal="center" vertical="center" wrapText="1"/>
    </xf>
    <xf numFmtId="0" fontId="3" fillId="0" borderId="147" xfId="22" applyFont="1" applyFill="1" applyBorder="1" applyAlignment="1">
      <alignment horizontal="center" vertical="center" wrapText="1"/>
    </xf>
    <xf numFmtId="3" fontId="5" fillId="0" borderId="161" xfId="28" applyNumberFormat="1" applyFont="1" applyFill="1" applyBorder="1" applyAlignment="1">
      <alignment horizontal="center" vertical="center" wrapText="1"/>
    </xf>
    <xf numFmtId="3" fontId="5" fillId="0" borderId="121" xfId="28" applyNumberFormat="1" applyFont="1" applyFill="1" applyBorder="1" applyAlignment="1">
      <alignment horizontal="center" vertical="center" wrapText="1"/>
    </xf>
    <xf numFmtId="0" fontId="3" fillId="0" borderId="6" xfId="34" applyFont="1" applyFill="1" applyBorder="1" applyAlignment="1">
      <alignment horizontal="center"/>
    </xf>
    <xf numFmtId="0" fontId="3" fillId="0" borderId="216" xfId="33" applyFont="1" applyFill="1" applyBorder="1" applyAlignment="1">
      <alignment horizontal="center" vertical="center" wrapText="1"/>
    </xf>
    <xf numFmtId="0" fontId="3" fillId="0" borderId="217" xfId="33" applyFont="1" applyFill="1" applyBorder="1" applyAlignment="1">
      <alignment horizontal="center" vertical="center" wrapText="1"/>
    </xf>
    <xf numFmtId="0" fontId="5" fillId="0" borderId="0" xfId="33" applyFont="1" applyFill="1" applyAlignment="1">
      <alignment horizontal="center" vertical="center"/>
    </xf>
    <xf numFmtId="0" fontId="6" fillId="0" borderId="0" xfId="36" applyFont="1" applyFill="1" applyAlignment="1">
      <alignment horizontal="right"/>
    </xf>
    <xf numFmtId="0" fontId="41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11" fillId="0" borderId="95" xfId="32" applyFont="1" applyFill="1" applyBorder="1" applyAlignment="1">
      <alignment horizontal="center" vertical="center" wrapText="1"/>
    </xf>
    <xf numFmtId="3" fontId="40" fillId="0" borderId="170" xfId="0" applyNumberFormat="1" applyFont="1" applyFill="1" applyBorder="1" applyAlignment="1">
      <alignment horizontal="right" vertical="center"/>
    </xf>
    <xf numFmtId="3" fontId="40" fillId="0" borderId="150" xfId="0" applyNumberFormat="1" applyFont="1" applyFill="1" applyBorder="1" applyAlignment="1">
      <alignment horizontal="right" vertical="center"/>
    </xf>
    <xf numFmtId="0" fontId="40" fillId="0" borderId="18" xfId="0" applyFont="1" applyBorder="1" applyAlignment="1">
      <alignment horizontal="center" vertical="center"/>
    </xf>
    <xf numFmtId="0" fontId="40" fillId="0" borderId="100" xfId="0" applyFont="1" applyBorder="1" applyAlignment="1">
      <alignment horizontal="center" vertical="center"/>
    </xf>
    <xf numFmtId="0" fontId="40" fillId="0" borderId="4" xfId="0" applyFont="1" applyBorder="1" applyAlignment="1">
      <alignment horizontal="center" vertical="center"/>
    </xf>
    <xf numFmtId="0" fontId="42" fillId="0" borderId="100" xfId="0" applyFont="1" applyBorder="1" applyAlignment="1">
      <alignment horizontal="left" vertical="center" wrapText="1"/>
    </xf>
    <xf numFmtId="0" fontId="0" fillId="0" borderId="101" xfId="0" applyBorder="1" applyAlignment="1">
      <alignment horizontal="left" vertical="center" wrapText="1"/>
    </xf>
    <xf numFmtId="3" fontId="40" fillId="0" borderId="7" xfId="0" applyNumberFormat="1" applyFont="1" applyFill="1" applyBorder="1" applyAlignment="1">
      <alignment horizontal="right" vertical="center"/>
    </xf>
    <xf numFmtId="0" fontId="40" fillId="0" borderId="100" xfId="0" applyFont="1" applyBorder="1" applyAlignment="1">
      <alignment horizontal="left" vertical="center" wrapText="1"/>
    </xf>
    <xf numFmtId="0" fontId="40" fillId="0" borderId="5" xfId="0" applyFont="1" applyBorder="1" applyAlignment="1">
      <alignment horizontal="center" vertical="center"/>
    </xf>
    <xf numFmtId="0" fontId="3" fillId="0" borderId="0" xfId="7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6" xfId="32" applyFont="1" applyFill="1" applyBorder="1" applyAlignment="1">
      <alignment horizontal="center"/>
    </xf>
    <xf numFmtId="0" fontId="41" fillId="0" borderId="100" xfId="0" applyFont="1" applyBorder="1" applyAlignment="1">
      <alignment horizontal="center" vertical="center" wrapText="1"/>
    </xf>
    <xf numFmtId="0" fontId="41" fillId="0" borderId="95" xfId="0" applyFont="1" applyBorder="1" applyAlignment="1">
      <alignment horizontal="center" vertical="center" wrapText="1"/>
    </xf>
    <xf numFmtId="0" fontId="45" fillId="0" borderId="101" xfId="0" applyFont="1" applyBorder="1" applyAlignment="1">
      <alignment horizontal="center" vertical="center" wrapText="1"/>
    </xf>
    <xf numFmtId="0" fontId="5" fillId="0" borderId="0" xfId="32" applyFont="1" applyFill="1" applyBorder="1" applyAlignment="1">
      <alignment horizontal="center" wrapText="1"/>
    </xf>
    <xf numFmtId="0" fontId="5" fillId="0" borderId="55" xfId="32" applyFont="1" applyFill="1" applyBorder="1" applyAlignment="1">
      <alignment horizontal="center" vertical="center" wrapText="1"/>
    </xf>
    <xf numFmtId="0" fontId="5" fillId="0" borderId="33" xfId="32" applyFont="1" applyFill="1" applyBorder="1" applyAlignment="1">
      <alignment horizontal="center" vertical="center" wrapText="1"/>
    </xf>
    <xf numFmtId="0" fontId="5" fillId="0" borderId="220" xfId="32" applyFont="1" applyFill="1" applyBorder="1" applyAlignment="1">
      <alignment horizontal="center" vertical="center" wrapText="1"/>
    </xf>
    <xf numFmtId="0" fontId="3" fillId="0" borderId="18" xfId="32" applyFont="1" applyFill="1" applyBorder="1" applyAlignment="1">
      <alignment horizontal="center" vertical="center"/>
    </xf>
    <xf numFmtId="0" fontId="3" fillId="0" borderId="233" xfId="40" applyFont="1" applyFill="1" applyBorder="1" applyAlignment="1">
      <alignment horizontal="center" vertical="center" wrapText="1"/>
    </xf>
    <xf numFmtId="0" fontId="3" fillId="0" borderId="85" xfId="40" applyFont="1" applyFill="1" applyBorder="1" applyAlignment="1">
      <alignment horizontal="center" vertical="center" wrapText="1"/>
    </xf>
    <xf numFmtId="0" fontId="3" fillId="0" borderId="234" xfId="40" applyFont="1" applyFill="1" applyBorder="1" applyAlignment="1">
      <alignment horizontal="left" vertical="center" wrapText="1"/>
    </xf>
    <xf numFmtId="0" fontId="3" fillId="0" borderId="210" xfId="40" applyFont="1" applyFill="1" applyBorder="1" applyAlignment="1">
      <alignment horizontal="left" vertical="center" wrapText="1"/>
    </xf>
    <xf numFmtId="0" fontId="40" fillId="0" borderId="233" xfId="32" applyFont="1" applyFill="1" applyBorder="1" applyAlignment="1">
      <alignment horizontal="center" vertical="center" wrapText="1"/>
    </xf>
    <xf numFmtId="0" fontId="40" fillId="0" borderId="85" xfId="32" applyFont="1" applyFill="1" applyBorder="1" applyAlignment="1">
      <alignment horizontal="center" vertical="center" wrapText="1"/>
    </xf>
    <xf numFmtId="0" fontId="40" fillId="0" borderId="234" xfId="32" applyFont="1" applyFill="1" applyBorder="1" applyAlignment="1">
      <alignment horizontal="left" vertical="center" wrapText="1"/>
    </xf>
    <xf numFmtId="0" fontId="40" fillId="0" borderId="210" xfId="32" applyFont="1" applyFill="1" applyBorder="1" applyAlignment="1">
      <alignment horizontal="left" vertical="center" wrapText="1"/>
    </xf>
    <xf numFmtId="0" fontId="5" fillId="0" borderId="0" xfId="32" applyFont="1" applyFill="1" applyBorder="1" applyAlignment="1">
      <alignment horizontal="center"/>
    </xf>
    <xf numFmtId="0" fontId="5" fillId="0" borderId="0" xfId="32" applyFont="1" applyFill="1" applyBorder="1" applyAlignment="1">
      <alignment horizontal="center" vertical="center"/>
    </xf>
    <xf numFmtId="3" fontId="3" fillId="0" borderId="235" xfId="0" applyNumberFormat="1" applyFont="1" applyBorder="1" applyAlignment="1">
      <alignment horizontal="right" vertical="center" wrapText="1"/>
    </xf>
    <xf numFmtId="3" fontId="3" fillId="0" borderId="94" xfId="0" applyNumberFormat="1" applyFont="1" applyBorder="1" applyAlignment="1">
      <alignment horizontal="right" vertical="center" wrapText="1"/>
    </xf>
    <xf numFmtId="0" fontId="3" fillId="0" borderId="233" xfId="32" applyFont="1" applyFill="1" applyBorder="1" applyAlignment="1">
      <alignment horizontal="center" vertical="center" wrapText="1"/>
    </xf>
    <xf numFmtId="0" fontId="3" fillId="0" borderId="85" xfId="32" applyFont="1" applyFill="1" applyBorder="1" applyAlignment="1">
      <alignment horizontal="center" vertical="center" wrapText="1"/>
    </xf>
    <xf numFmtId="0" fontId="3" fillId="0" borderId="234" xfId="32" applyFont="1" applyFill="1" applyBorder="1" applyAlignment="1">
      <alignment horizontal="left" vertical="center" wrapText="1"/>
    </xf>
    <xf numFmtId="0" fontId="3" fillId="0" borderId="210" xfId="32" applyFont="1" applyFill="1" applyBorder="1" applyAlignment="1">
      <alignment horizontal="left" vertical="center" wrapText="1"/>
    </xf>
    <xf numFmtId="2" fontId="5" fillId="0" borderId="11" xfId="32" applyNumberFormat="1" applyFont="1" applyFill="1" applyBorder="1" applyAlignment="1">
      <alignment horizontal="center" vertical="center" wrapText="1"/>
    </xf>
    <xf numFmtId="2" fontId="5" fillId="0" borderId="12" xfId="32" applyNumberFormat="1" applyFont="1" applyFill="1" applyBorder="1" applyAlignment="1">
      <alignment horizontal="center" vertical="center" wrapText="1"/>
    </xf>
    <xf numFmtId="2" fontId="5" fillId="0" borderId="29" xfId="32" applyNumberFormat="1" applyFont="1" applyFill="1" applyBorder="1" applyAlignment="1">
      <alignment horizontal="center" vertical="center" wrapText="1"/>
    </xf>
    <xf numFmtId="0" fontId="3" fillId="0" borderId="100" xfId="30" applyFont="1" applyFill="1" applyBorder="1" applyAlignment="1">
      <alignment horizontal="center" vertical="center" wrapText="1"/>
    </xf>
    <xf numFmtId="0" fontId="3" fillId="0" borderId="85" xfId="30" applyFont="1" applyFill="1" applyBorder="1" applyAlignment="1">
      <alignment horizontal="center" vertical="center" wrapText="1"/>
    </xf>
    <xf numFmtId="0" fontId="3" fillId="0" borderId="95" xfId="30" applyFont="1" applyFill="1" applyBorder="1" applyAlignment="1">
      <alignment horizontal="left" vertical="center" wrapText="1"/>
    </xf>
    <xf numFmtId="0" fontId="3" fillId="0" borderId="172" xfId="30" applyFont="1" applyFill="1" applyBorder="1" applyAlignment="1">
      <alignment horizontal="left" vertical="center" wrapText="1"/>
    </xf>
    <xf numFmtId="3" fontId="3" fillId="0" borderId="27" xfId="0" applyNumberFormat="1" applyFont="1" applyBorder="1" applyAlignment="1">
      <alignment horizontal="right" vertical="center" wrapText="1"/>
    </xf>
    <xf numFmtId="0" fontId="3" fillId="0" borderId="0" xfId="32" applyFont="1" applyFill="1" applyBorder="1" applyAlignment="1">
      <alignment horizontal="center" vertical="center" wrapText="1"/>
    </xf>
    <xf numFmtId="3" fontId="5" fillId="0" borderId="0" xfId="31" applyNumberFormat="1" applyFont="1" applyAlignment="1">
      <alignment horizontal="center"/>
    </xf>
    <xf numFmtId="3" fontId="13" fillId="0" borderId="0" xfId="31" applyNumberFormat="1" applyFont="1" applyBorder="1" applyAlignment="1">
      <alignment horizontal="right"/>
    </xf>
    <xf numFmtId="3" fontId="3" fillId="0" borderId="0" xfId="31" applyNumberFormat="1" applyFont="1" applyBorder="1" applyAlignment="1">
      <alignment horizontal="left" wrapText="1"/>
    </xf>
    <xf numFmtId="3" fontId="3" fillId="0" borderId="0" xfId="31" applyNumberFormat="1" applyFont="1" applyAlignment="1">
      <alignment horizontal="left" wrapText="1"/>
    </xf>
    <xf numFmtId="3" fontId="5" fillId="0" borderId="11" xfId="31" applyNumberFormat="1" applyFont="1" applyBorder="1" applyAlignment="1">
      <alignment horizontal="center" vertical="center"/>
    </xf>
    <xf numFmtId="3" fontId="5" fillId="0" borderId="12" xfId="31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top"/>
    </xf>
    <xf numFmtId="3" fontId="3" fillId="0" borderId="70" xfId="31" applyNumberFormat="1" applyFont="1" applyBorder="1" applyAlignment="1">
      <alignment horizontal="center" vertical="center" wrapText="1"/>
    </xf>
    <xf numFmtId="3" fontId="3" fillId="0" borderId="75" xfId="31" applyNumberFormat="1" applyFont="1" applyBorder="1" applyAlignment="1">
      <alignment horizontal="center" vertical="center" wrapText="1"/>
    </xf>
    <xf numFmtId="3" fontId="3" fillId="0" borderId="218" xfId="31" applyNumberFormat="1" applyFont="1" applyBorder="1" applyAlignment="1">
      <alignment horizontal="center" vertical="center" wrapText="1"/>
    </xf>
    <xf numFmtId="3" fontId="3" fillId="0" borderId="219" xfId="31" applyNumberFormat="1" applyFont="1" applyBorder="1" applyAlignment="1">
      <alignment horizontal="center" vertical="center" wrapText="1"/>
    </xf>
    <xf numFmtId="3" fontId="3" fillId="0" borderId="220" xfId="31" applyNumberFormat="1" applyFont="1" applyBorder="1" applyAlignment="1">
      <alignment horizontal="center" vertical="center" wrapText="1"/>
    </xf>
    <xf numFmtId="3" fontId="3" fillId="0" borderId="211" xfId="31" applyNumberFormat="1" applyFont="1" applyFill="1" applyBorder="1" applyAlignment="1">
      <alignment horizontal="center" vertical="center" wrapText="1"/>
    </xf>
    <xf numFmtId="3" fontId="3" fillId="0" borderId="157" xfId="31" applyNumberFormat="1" applyFont="1" applyFill="1" applyBorder="1" applyAlignment="1">
      <alignment horizontal="center" vertical="center" wrapText="1"/>
    </xf>
    <xf numFmtId="0" fontId="3" fillId="0" borderId="194" xfId="31" applyNumberFormat="1" applyFont="1" applyBorder="1" applyAlignment="1">
      <alignment horizontal="center" vertical="center" wrapText="1"/>
    </xf>
    <xf numFmtId="3" fontId="3" fillId="0" borderId="221" xfId="31" applyNumberFormat="1" applyFont="1" applyBorder="1" applyAlignment="1">
      <alignment horizontal="center" vertical="center" wrapText="1"/>
    </xf>
    <xf numFmtId="3" fontId="3" fillId="0" borderId="222" xfId="31" applyNumberFormat="1" applyFont="1" applyBorder="1" applyAlignment="1">
      <alignment horizontal="center" vertical="center" wrapText="1"/>
    </xf>
    <xf numFmtId="3" fontId="3" fillId="0" borderId="165" xfId="31" applyNumberFormat="1" applyFont="1" applyBorder="1" applyAlignment="1">
      <alignment horizontal="center" vertical="center" textRotation="90" wrapText="1"/>
    </xf>
    <xf numFmtId="3" fontId="3" fillId="0" borderId="223" xfId="31" applyNumberFormat="1" applyFont="1" applyBorder="1" applyAlignment="1">
      <alignment horizontal="center" vertical="center" textRotation="90" wrapText="1"/>
    </xf>
    <xf numFmtId="3" fontId="3" fillId="0" borderId="166" xfId="31" applyNumberFormat="1" applyFont="1" applyBorder="1" applyAlignment="1">
      <alignment horizontal="center" vertical="center" textRotation="90" wrapText="1"/>
    </xf>
    <xf numFmtId="3" fontId="3" fillId="0" borderId="167" xfId="31" applyNumberFormat="1" applyFont="1" applyBorder="1" applyAlignment="1">
      <alignment horizontal="center" vertical="center" textRotation="90" wrapText="1"/>
    </xf>
    <xf numFmtId="3" fontId="3" fillId="0" borderId="202" xfId="31" applyNumberFormat="1" applyFont="1" applyBorder="1" applyAlignment="1">
      <alignment horizontal="center" vertical="center" textRotation="90" wrapText="1"/>
    </xf>
    <xf numFmtId="3" fontId="3" fillId="0" borderId="157" xfId="31" applyNumberFormat="1" applyFont="1" applyBorder="1" applyAlignment="1">
      <alignment horizontal="center" vertical="center" textRotation="90" wrapText="1"/>
    </xf>
    <xf numFmtId="3" fontId="3" fillId="0" borderId="172" xfId="31" applyNumberFormat="1" applyFont="1" applyBorder="1" applyAlignment="1">
      <alignment horizontal="center" vertical="center" wrapText="1"/>
    </xf>
    <xf numFmtId="3" fontId="3" fillId="0" borderId="84" xfId="31" applyNumberFormat="1" applyFont="1" applyBorder="1" applyAlignment="1">
      <alignment horizontal="center" vertical="center" wrapText="1"/>
    </xf>
    <xf numFmtId="3" fontId="3" fillId="0" borderId="173" xfId="31" applyNumberFormat="1" applyFont="1" applyBorder="1" applyAlignment="1">
      <alignment horizontal="center" vertical="center" wrapText="1"/>
    </xf>
    <xf numFmtId="14" fontId="3" fillId="0" borderId="171" xfId="31" applyNumberFormat="1" applyFont="1" applyBorder="1" applyAlignment="1">
      <alignment horizontal="center" vertical="center" wrapText="1"/>
    </xf>
    <xf numFmtId="14" fontId="3" fillId="0" borderId="71" xfId="31" applyNumberFormat="1" applyFont="1" applyBorder="1" applyAlignment="1">
      <alignment horizontal="center" vertical="center" wrapText="1"/>
    </xf>
    <xf numFmtId="14" fontId="3" fillId="0" borderId="92" xfId="31" applyNumberFormat="1" applyFont="1" applyBorder="1" applyAlignment="1">
      <alignment horizontal="center" vertical="center" wrapText="1"/>
    </xf>
    <xf numFmtId="3" fontId="3" fillId="0" borderId="67" xfId="31" applyNumberFormat="1" applyFont="1" applyBorder="1" applyAlignment="1">
      <alignment horizontal="center" vertical="center" wrapText="1"/>
    </xf>
    <xf numFmtId="3" fontId="3" fillId="0" borderId="193" xfId="31" applyNumberFormat="1" applyFont="1" applyBorder="1" applyAlignment="1">
      <alignment horizontal="center" vertical="center" wrapText="1"/>
    </xf>
    <xf numFmtId="3" fontId="3" fillId="0" borderId="209" xfId="31" applyNumberFormat="1" applyFont="1" applyBorder="1" applyAlignment="1">
      <alignment horizontal="center" vertical="center" wrapText="1"/>
    </xf>
    <xf numFmtId="3" fontId="3" fillId="0" borderId="205" xfId="31" applyNumberFormat="1" applyFont="1" applyBorder="1" applyAlignment="1">
      <alignment horizontal="center" vertical="center" wrapText="1"/>
    </xf>
    <xf numFmtId="3" fontId="3" fillId="0" borderId="206" xfId="31" applyNumberFormat="1" applyFont="1" applyBorder="1" applyAlignment="1">
      <alignment horizontal="center" vertical="center" wrapText="1"/>
    </xf>
    <xf numFmtId="3" fontId="3" fillId="0" borderId="194" xfId="31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224" xfId="0" applyFont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5" fillId="0" borderId="224" xfId="0" applyFont="1" applyBorder="1" applyAlignment="1">
      <alignment horizontal="center" vertical="center" wrapText="1"/>
    </xf>
  </cellXfs>
  <cellStyles count="53">
    <cellStyle name="Ezres 2" xfId="1"/>
    <cellStyle name="Ezres 3" xfId="2"/>
    <cellStyle name="Ezres 4" xfId="3"/>
    <cellStyle name="Ezres 4 2" xfId="4"/>
    <cellStyle name="Ezres 4 3" xfId="5"/>
    <cellStyle name="Ezres 5" xfId="6"/>
    <cellStyle name="Normál" xfId="0" builtinId="0"/>
    <cellStyle name="Normál 10" xfId="7"/>
    <cellStyle name="Normál 10 2" xfId="46"/>
    <cellStyle name="Normál 11" xfId="47"/>
    <cellStyle name="Normál 11 2" xfId="48"/>
    <cellStyle name="Normál 12" xfId="49"/>
    <cellStyle name="Normál 2" xfId="8"/>
    <cellStyle name="Normál 3" xfId="9"/>
    <cellStyle name="Normál 4" xfId="10"/>
    <cellStyle name="Normál 5" xfId="11"/>
    <cellStyle name="Normál 6" xfId="12"/>
    <cellStyle name="Normál 6 2" xfId="13"/>
    <cellStyle name="Normál 6 3" xfId="14"/>
    <cellStyle name="Normál 6 3 2" xfId="15"/>
    <cellStyle name="Normál 6 3 2 2" xfId="16"/>
    <cellStyle name="Normál 6 3 2 3" xfId="17"/>
    <cellStyle name="Normál 6 3 2 3 2" xfId="50"/>
    <cellStyle name="Normál 6 3 2 4" xfId="51"/>
    <cellStyle name="Normál 6 3 2 5" xfId="52"/>
    <cellStyle name="Normál 7" xfId="18"/>
    <cellStyle name="Normál 8" xfId="19"/>
    <cellStyle name="Normál 8 2" xfId="20"/>
    <cellStyle name="Normál 8 2 2" xfId="21"/>
    <cellStyle name="Normál 8 2 3" xfId="22"/>
    <cellStyle name="Normál 9" xfId="23"/>
    <cellStyle name="Normál 9 2" xfId="24"/>
    <cellStyle name="Normál 9 3" xfId="25"/>
    <cellStyle name="Normál_2007.évi konc. összefoglaló bevétel" xfId="26"/>
    <cellStyle name="Normál_2007.évi konc. összefoglaló bevétel 2" xfId="27"/>
    <cellStyle name="Normál_2008.évi költségvetési javaslat" xfId="28"/>
    <cellStyle name="Normál_2011koltsegvetes (2) 2" xfId="29"/>
    <cellStyle name="Normál_Beruházási tábla 2007" xfId="30"/>
    <cellStyle name="Normál_EU-s tábla kv-hez_EU projektek tábla" xfId="31"/>
    <cellStyle name="Normál_fejlesztesi hitel" xfId="32"/>
    <cellStyle name="Normál_Hitel tábla 2012 terv" xfId="33"/>
    <cellStyle name="Normál_Hitel tábla 2012 terv (2)" xfId="34"/>
    <cellStyle name="Normál_hitelállomány07_12" xfId="35"/>
    <cellStyle name="Normál_hiteltörl költségvetés 2014" xfId="36"/>
    <cellStyle name="Normál_Intézményi bevétel-kiadás" xfId="37"/>
    <cellStyle name="Normál_Intézményi bevétel-kiadás 2" xfId="38"/>
    <cellStyle name="Normál_irodai végleges intézményekkel" xfId="39"/>
    <cellStyle name="Normál_Városfejlesztési Iroda - 2008. kv. tervezés" xfId="40"/>
    <cellStyle name="Normál_Városfejlesztési Iroda - 2008. kv. tervezés_2014.évi eredeti előirányzat 2" xfId="41"/>
    <cellStyle name="Százalék" xfId="42" builtinId="5"/>
    <cellStyle name="Százalék 2" xfId="43"/>
    <cellStyle name="Százalék 3" xfId="44"/>
    <cellStyle name="Százalék 3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koltsegvetes2021\K&#246;lts&#233;gvet&#233;s_m&#243;dos&#237;t&#225;sok\&#193;prilis\K&#246;zgy&#369;l&#233;si%20anyag\Bettit&#337;l_vissza_&#233;s%20pdf\02_01_2021_evi_koltsegvetes_tablazat%20&#193;PRIL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Onbe"/>
      <sheetName val="2.Onki"/>
      <sheetName val="3.Inbe "/>
      <sheetName val="3.A Inbe"/>
      <sheetName val="4.Inki"/>
      <sheetName val="5.Infelhki"/>
      <sheetName val="6.Önk.műk."/>
      <sheetName val="6.A Alapítv"/>
      <sheetName val="7.Beruh."/>
      <sheetName val="8.Projekt"/>
      <sheetName val="9.MVP és hazai"/>
      <sheetName val="10.EKF"/>
      <sheetName val="11.Mérleg"/>
      <sheetName val="12.Létszám"/>
      <sheetName val="13.EU"/>
    </sheetNames>
    <sheetDataSet>
      <sheetData sheetId="0"/>
      <sheetData sheetId="1">
        <row r="34">
          <cell r="G34">
            <v>19935413</v>
          </cell>
          <cell r="H34">
            <v>37552274</v>
          </cell>
          <cell r="I34">
            <v>21967156</v>
          </cell>
          <cell r="J34">
            <v>46102993</v>
          </cell>
          <cell r="K34">
            <v>2437432</v>
          </cell>
          <cell r="L34">
            <v>48540425</v>
          </cell>
        </row>
      </sheetData>
      <sheetData sheetId="2">
        <row r="129">
          <cell r="L129">
            <v>332417</v>
          </cell>
        </row>
        <row r="133">
          <cell r="L133">
            <v>81050</v>
          </cell>
        </row>
        <row r="142">
          <cell r="G142">
            <v>167470</v>
          </cell>
          <cell r="I142">
            <v>0</v>
          </cell>
          <cell r="K14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63"/>
  <sheetViews>
    <sheetView view="pageBreakPreview" zoomScaleNormal="100" zoomScaleSheetLayoutView="100" workbookViewId="0">
      <selection activeCell="B4" sqref="B4:L4"/>
    </sheetView>
  </sheetViews>
  <sheetFormatPr defaultColWidth="9.140625" defaultRowHeight="16.5" x14ac:dyDescent="0.3"/>
  <cols>
    <col min="1" max="1" width="3.7109375" style="126" customWidth="1"/>
    <col min="2" max="5" width="5.7109375" style="258" customWidth="1"/>
    <col min="6" max="6" width="59.7109375" style="141" customWidth="1"/>
    <col min="7" max="9" width="13.7109375" style="65" customWidth="1"/>
    <col min="10" max="10" width="15.7109375" style="283" customWidth="1"/>
    <col min="11" max="11" width="11.85546875" style="141" bestFit="1" customWidth="1"/>
    <col min="12" max="12" width="19.140625" style="141" customWidth="1"/>
    <col min="13" max="16384" width="9.140625" style="141"/>
  </cols>
  <sheetData>
    <row r="1" spans="1:21" x14ac:dyDescent="0.3">
      <c r="B1" s="1896" t="s">
        <v>901</v>
      </c>
      <c r="C1" s="1896"/>
      <c r="D1" s="1896"/>
      <c r="E1" s="1896"/>
      <c r="F1" s="1896"/>
      <c r="G1" s="118"/>
      <c r="H1" s="118"/>
      <c r="I1" s="118"/>
      <c r="J1" s="282"/>
    </row>
    <row r="2" spans="1:21" x14ac:dyDescent="0.3">
      <c r="B2" s="1896"/>
      <c r="C2" s="1896"/>
      <c r="D2" s="1896"/>
      <c r="E2" s="1896"/>
      <c r="F2" s="1896"/>
      <c r="G2" s="118"/>
      <c r="H2" s="118"/>
      <c r="I2" s="118"/>
      <c r="J2" s="282"/>
    </row>
    <row r="3" spans="1:21" s="17" customFormat="1" ht="25.15" customHeight="1" x14ac:dyDescent="0.3">
      <c r="A3" s="126"/>
      <c r="B3" s="1897" t="s">
        <v>162</v>
      </c>
      <c r="C3" s="1897"/>
      <c r="D3" s="1897"/>
      <c r="E3" s="1897"/>
      <c r="F3" s="1897"/>
      <c r="G3" s="1897"/>
      <c r="H3" s="1897"/>
      <c r="I3" s="1897"/>
      <c r="J3" s="1897"/>
      <c r="K3" s="1897"/>
      <c r="L3" s="1897"/>
    </row>
    <row r="4" spans="1:21" s="17" customFormat="1" ht="25.15" customHeight="1" x14ac:dyDescent="0.3">
      <c r="A4" s="126"/>
      <c r="B4" s="1898" t="s">
        <v>634</v>
      </c>
      <c r="C4" s="1898"/>
      <c r="D4" s="1898"/>
      <c r="E4" s="1898"/>
      <c r="F4" s="1898"/>
      <c r="G4" s="1898"/>
      <c r="H4" s="1898"/>
      <c r="I4" s="1898"/>
      <c r="J4" s="1898"/>
      <c r="K4" s="1898"/>
      <c r="L4" s="1898"/>
    </row>
    <row r="5" spans="1:21" s="746" customFormat="1" ht="15" x14ac:dyDescent="0.3">
      <c r="A5" s="126"/>
      <c r="B5" s="745"/>
      <c r="C5" s="745"/>
      <c r="D5" s="745"/>
      <c r="E5" s="745"/>
      <c r="F5" s="745"/>
      <c r="G5" s="430"/>
      <c r="H5" s="430"/>
      <c r="I5" s="267"/>
      <c r="J5" s="270"/>
      <c r="L5" s="270" t="s">
        <v>0</v>
      </c>
    </row>
    <row r="6" spans="1:21" s="749" customFormat="1" ht="15" thickBot="1" x14ac:dyDescent="0.35">
      <c r="A6" s="126"/>
      <c r="B6" s="747" t="s">
        <v>1</v>
      </c>
      <c r="C6" s="747" t="s">
        <v>3</v>
      </c>
      <c r="D6" s="747" t="s">
        <v>2</v>
      </c>
      <c r="E6" s="747" t="s">
        <v>4</v>
      </c>
      <c r="F6" s="747" t="s">
        <v>5</v>
      </c>
      <c r="G6" s="748" t="s">
        <v>15</v>
      </c>
      <c r="H6" s="748" t="s">
        <v>16</v>
      </c>
      <c r="I6" s="748" t="s">
        <v>17</v>
      </c>
      <c r="J6" s="748" t="s">
        <v>34</v>
      </c>
      <c r="K6" s="125" t="s">
        <v>30</v>
      </c>
      <c r="L6" s="125" t="s">
        <v>23</v>
      </c>
    </row>
    <row r="7" spans="1:21" s="66" customFormat="1" ht="80.099999999999994" customHeight="1" thickBot="1" x14ac:dyDescent="0.35">
      <c r="A7" s="843"/>
      <c r="B7" s="377" t="s">
        <v>18</v>
      </c>
      <c r="C7" s="378" t="s">
        <v>19</v>
      </c>
      <c r="D7" s="376" t="s">
        <v>501</v>
      </c>
      <c r="E7" s="376" t="s">
        <v>502</v>
      </c>
      <c r="F7" s="379" t="s">
        <v>6</v>
      </c>
      <c r="G7" s="380" t="s">
        <v>635</v>
      </c>
      <c r="H7" s="284" t="s">
        <v>636</v>
      </c>
      <c r="I7" s="381" t="s">
        <v>727</v>
      </c>
      <c r="J7" s="1376" t="s">
        <v>923</v>
      </c>
      <c r="K7" s="1377" t="s">
        <v>114</v>
      </c>
      <c r="L7" s="1378" t="s">
        <v>924</v>
      </c>
      <c r="M7" s="78"/>
      <c r="N7" s="78"/>
      <c r="O7" s="78"/>
      <c r="P7" s="78"/>
      <c r="Q7" s="78"/>
      <c r="R7" s="78"/>
      <c r="S7" s="78"/>
      <c r="T7" s="78"/>
      <c r="U7" s="78"/>
    </row>
    <row r="8" spans="1:21" s="229" customFormat="1" ht="36" customHeight="1" x14ac:dyDescent="0.35">
      <c r="A8" s="843">
        <v>1</v>
      </c>
      <c r="B8" s="362"/>
      <c r="C8" s="225"/>
      <c r="D8" s="226">
        <v>1</v>
      </c>
      <c r="E8" s="226"/>
      <c r="F8" s="227" t="s">
        <v>134</v>
      </c>
      <c r="G8" s="382">
        <f t="shared" ref="G8:L8" si="0">SUM(G9,G16,G26,G32,G33,G15,G31)</f>
        <v>14853364</v>
      </c>
      <c r="H8" s="382">
        <f t="shared" si="0"/>
        <v>15115259</v>
      </c>
      <c r="I8" s="382">
        <f t="shared" si="0"/>
        <v>17277678</v>
      </c>
      <c r="J8" s="1379">
        <f t="shared" si="0"/>
        <v>14802459</v>
      </c>
      <c r="K8" s="1380">
        <f t="shared" si="0"/>
        <v>207386</v>
      </c>
      <c r="L8" s="1381">
        <f t="shared" si="0"/>
        <v>15009845</v>
      </c>
      <c r="M8" s="228"/>
      <c r="N8" s="228"/>
      <c r="O8" s="228"/>
      <c r="P8" s="228"/>
      <c r="Q8" s="228"/>
      <c r="R8" s="228"/>
      <c r="S8" s="228"/>
      <c r="T8" s="228"/>
      <c r="U8" s="228"/>
    </row>
    <row r="9" spans="1:21" s="229" customFormat="1" ht="36" customHeight="1" x14ac:dyDescent="0.35">
      <c r="A9" s="843">
        <v>2</v>
      </c>
      <c r="B9" s="363">
        <v>18</v>
      </c>
      <c r="C9" s="230"/>
      <c r="D9" s="231"/>
      <c r="E9" s="231">
        <v>1</v>
      </c>
      <c r="F9" s="230" t="s">
        <v>163</v>
      </c>
      <c r="G9" s="59">
        <f>SUM(G10,G13:G13)</f>
        <v>4483032</v>
      </c>
      <c r="H9" s="59">
        <f>SUM(H10,H13:H13)</f>
        <v>4404208</v>
      </c>
      <c r="I9" s="59">
        <f>SUM(I10,I13:I13)</f>
        <v>6718637</v>
      </c>
      <c r="J9" s="1382">
        <f>SUM(J10,J13:J13)</f>
        <v>6578954</v>
      </c>
      <c r="K9" s="1383">
        <f t="shared" ref="K9:L9" si="1">SUM(K10,K13:K13)</f>
        <v>-234589</v>
      </c>
      <c r="L9" s="1384">
        <f t="shared" si="1"/>
        <v>6344365</v>
      </c>
      <c r="M9" s="228"/>
      <c r="N9" s="228"/>
      <c r="O9" s="228"/>
      <c r="P9" s="228"/>
      <c r="Q9" s="228"/>
      <c r="R9" s="228"/>
      <c r="S9" s="228"/>
      <c r="T9" s="228"/>
      <c r="U9" s="228"/>
    </row>
    <row r="10" spans="1:21" s="233" customFormat="1" ht="17.25" x14ac:dyDescent="0.35">
      <c r="A10" s="843">
        <v>3</v>
      </c>
      <c r="B10" s="116"/>
      <c r="C10" s="177"/>
      <c r="D10" s="140"/>
      <c r="E10" s="140"/>
      <c r="F10" s="232" t="s">
        <v>164</v>
      </c>
      <c r="G10" s="10">
        <f>SUM(G11:G12)</f>
        <v>3563207</v>
      </c>
      <c r="H10" s="10">
        <f>SUM(H11:H12)</f>
        <v>3066627</v>
      </c>
      <c r="I10" s="10">
        <f>SUM(I11:I12)</f>
        <v>4955542</v>
      </c>
      <c r="J10" s="1385">
        <f>SUM(J11:J12)</f>
        <v>4544959</v>
      </c>
      <c r="K10" s="1386">
        <f t="shared" ref="K10:L10" si="2">SUM(K11:K12)</f>
        <v>53845</v>
      </c>
      <c r="L10" s="1387">
        <f t="shared" si="2"/>
        <v>4598804</v>
      </c>
    </row>
    <row r="11" spans="1:21" ht="33" customHeight="1" x14ac:dyDescent="0.35">
      <c r="A11" s="845">
        <v>4</v>
      </c>
      <c r="B11" s="119"/>
      <c r="C11" s="234"/>
      <c r="D11" s="234"/>
      <c r="E11" s="234"/>
      <c r="F11" s="61" t="s">
        <v>282</v>
      </c>
      <c r="G11" s="2">
        <v>3533067</v>
      </c>
      <c r="H11" s="2">
        <v>3066627</v>
      </c>
      <c r="I11" s="2">
        <v>3388864</v>
      </c>
      <c r="J11" s="1388">
        <v>4544959</v>
      </c>
      <c r="K11" s="1389">
        <v>46909</v>
      </c>
      <c r="L11" s="1390">
        <f>SUM(J11:K11)</f>
        <v>4591868</v>
      </c>
    </row>
    <row r="12" spans="1:21" ht="33.75" x14ac:dyDescent="0.35">
      <c r="A12" s="845">
        <v>5</v>
      </c>
      <c r="B12" s="116"/>
      <c r="C12" s="234"/>
      <c r="D12" s="234"/>
      <c r="E12" s="234"/>
      <c r="F12" s="61" t="s">
        <v>165</v>
      </c>
      <c r="G12" s="2">
        <v>30140</v>
      </c>
      <c r="H12" s="2"/>
      <c r="I12" s="2">
        <v>1566678</v>
      </c>
      <c r="J12" s="1388"/>
      <c r="K12" s="1389">
        <v>6936</v>
      </c>
      <c r="L12" s="1390">
        <f>SUM(J12:K12)</f>
        <v>6936</v>
      </c>
    </row>
    <row r="13" spans="1:21" s="233" customFormat="1" ht="17.25" x14ac:dyDescent="0.35">
      <c r="A13" s="843">
        <v>6</v>
      </c>
      <c r="B13" s="116"/>
      <c r="C13" s="235"/>
      <c r="D13" s="234"/>
      <c r="E13" s="234"/>
      <c r="F13" s="60" t="s">
        <v>166</v>
      </c>
      <c r="G13" s="10">
        <v>919825</v>
      </c>
      <c r="H13" s="10">
        <v>1337581</v>
      </c>
      <c r="I13" s="10">
        <v>1763095</v>
      </c>
      <c r="J13" s="1385">
        <v>2033995</v>
      </c>
      <c r="K13" s="1386">
        <v>-288434</v>
      </c>
      <c r="L13" s="1391">
        <f>SUM(J13:K13)</f>
        <v>1745561</v>
      </c>
    </row>
    <row r="14" spans="1:21" ht="16.5" customHeight="1" x14ac:dyDescent="0.35">
      <c r="A14" s="843">
        <v>7</v>
      </c>
      <c r="B14" s="116"/>
      <c r="C14" s="234"/>
      <c r="D14" s="234"/>
      <c r="E14" s="234"/>
      <c r="F14" s="61" t="s">
        <v>167</v>
      </c>
      <c r="G14" s="2">
        <v>160234</v>
      </c>
      <c r="H14" s="2">
        <v>180000</v>
      </c>
      <c r="I14" s="2">
        <v>222056</v>
      </c>
      <c r="J14" s="1388">
        <v>201000</v>
      </c>
      <c r="K14" s="1392"/>
      <c r="L14" s="1390">
        <f>SUM(J14:K14)</f>
        <v>201000</v>
      </c>
    </row>
    <row r="15" spans="1:21" ht="36" customHeight="1" x14ac:dyDescent="0.35">
      <c r="A15" s="842">
        <v>8</v>
      </c>
      <c r="B15" s="364" t="s">
        <v>438</v>
      </c>
      <c r="C15" s="234"/>
      <c r="D15" s="234"/>
      <c r="E15" s="285">
        <v>2</v>
      </c>
      <c r="F15" s="230" t="s">
        <v>168</v>
      </c>
      <c r="G15" s="10">
        <v>317352</v>
      </c>
      <c r="H15" s="10">
        <f>192858+43191</f>
        <v>236049</v>
      </c>
      <c r="I15" s="10">
        <v>214615</v>
      </c>
      <c r="J15" s="1385">
        <f>+'[1]3.Inbe '!G142</f>
        <v>167470</v>
      </c>
      <c r="K15" s="1389">
        <v>-2306</v>
      </c>
      <c r="L15" s="1391">
        <f>SUM(J15:K15)</f>
        <v>165164</v>
      </c>
    </row>
    <row r="16" spans="1:21" s="143" customFormat="1" ht="36" customHeight="1" x14ac:dyDescent="0.35">
      <c r="A16" s="843">
        <v>9</v>
      </c>
      <c r="B16" s="116">
        <v>18</v>
      </c>
      <c r="C16" s="177"/>
      <c r="D16" s="140"/>
      <c r="E16" s="140">
        <v>3</v>
      </c>
      <c r="F16" s="178" t="s">
        <v>169</v>
      </c>
      <c r="G16" s="62">
        <f>SUM(G17,G25:G25)</f>
        <v>8108452</v>
      </c>
      <c r="H16" s="62">
        <f>SUM(H17,H25:H25)</f>
        <v>7945120</v>
      </c>
      <c r="I16" s="62">
        <f>SUM(I17,I25:I25)</f>
        <v>8663683</v>
      </c>
      <c r="J16" s="1385">
        <f>SUM(J17,J25:J25)</f>
        <v>6242200</v>
      </c>
      <c r="K16" s="1386">
        <f t="shared" ref="K16:L16" si="3">SUM(K17,K25:K25)</f>
        <v>0</v>
      </c>
      <c r="L16" s="1387">
        <f t="shared" si="3"/>
        <v>6242200</v>
      </c>
    </row>
    <row r="17" spans="1:12" s="233" customFormat="1" ht="17.25" x14ac:dyDescent="0.35">
      <c r="A17" s="843">
        <v>10</v>
      </c>
      <c r="B17" s="116"/>
      <c r="C17" s="177"/>
      <c r="D17" s="140"/>
      <c r="E17" s="140"/>
      <c r="F17" s="60" t="s">
        <v>170</v>
      </c>
      <c r="G17" s="10">
        <f>SUM(G18:G24)</f>
        <v>8100342</v>
      </c>
      <c r="H17" s="10">
        <f>SUM(H18:H24)</f>
        <v>7940000</v>
      </c>
      <c r="I17" s="10">
        <f>SUM(I18:I24)</f>
        <v>8656603</v>
      </c>
      <c r="J17" s="1385">
        <f>SUM(J18:J24)</f>
        <v>6237000</v>
      </c>
      <c r="K17" s="1386">
        <f t="shared" ref="K17:L17" si="4">SUM(K18:K24)</f>
        <v>0</v>
      </c>
      <c r="L17" s="1387">
        <f t="shared" si="4"/>
        <v>6237000</v>
      </c>
    </row>
    <row r="18" spans="1:12" ht="17.25" x14ac:dyDescent="0.35">
      <c r="A18" s="843">
        <v>11</v>
      </c>
      <c r="B18" s="116"/>
      <c r="C18" s="140"/>
      <c r="D18" s="140"/>
      <c r="E18" s="140"/>
      <c r="F18" s="61" t="s">
        <v>123</v>
      </c>
      <c r="G18" s="2">
        <v>1353716</v>
      </c>
      <c r="H18" s="2">
        <v>1320000</v>
      </c>
      <c r="I18" s="2">
        <v>1301931</v>
      </c>
      <c r="J18" s="1388">
        <v>1300000</v>
      </c>
      <c r="K18" s="1392"/>
      <c r="L18" s="1390">
        <f t="shared" ref="L18:L24" si="5">SUM(J18:K18)</f>
        <v>1300000</v>
      </c>
    </row>
    <row r="19" spans="1:12" ht="17.25" x14ac:dyDescent="0.35">
      <c r="A19" s="843">
        <v>12</v>
      </c>
      <c r="B19" s="116"/>
      <c r="C19" s="140"/>
      <c r="D19" s="140"/>
      <c r="E19" s="140"/>
      <c r="F19" s="61" t="s">
        <v>126</v>
      </c>
      <c r="G19" s="2">
        <v>45085</v>
      </c>
      <c r="H19" s="2">
        <v>55000</v>
      </c>
      <c r="I19" s="2">
        <v>11646</v>
      </c>
      <c r="J19" s="1388">
        <v>42000</v>
      </c>
      <c r="K19" s="1392"/>
      <c r="L19" s="1390">
        <f t="shared" si="5"/>
        <v>42000</v>
      </c>
    </row>
    <row r="20" spans="1:12" ht="17.25" x14ac:dyDescent="0.35">
      <c r="A20" s="843">
        <v>13</v>
      </c>
      <c r="B20" s="116"/>
      <c r="C20" s="140"/>
      <c r="D20" s="140"/>
      <c r="E20" s="140"/>
      <c r="F20" s="61" t="s">
        <v>125</v>
      </c>
      <c r="G20" s="2">
        <v>142925</v>
      </c>
      <c r="H20" s="2">
        <v>143000</v>
      </c>
      <c r="I20" s="2">
        <v>141440</v>
      </c>
      <c r="J20" s="1388">
        <v>143000</v>
      </c>
      <c r="K20" s="1392"/>
      <c r="L20" s="1390">
        <f t="shared" si="5"/>
        <v>143000</v>
      </c>
    </row>
    <row r="21" spans="1:12" ht="17.25" x14ac:dyDescent="0.35">
      <c r="A21" s="843">
        <v>14</v>
      </c>
      <c r="B21" s="116"/>
      <c r="C21" s="140"/>
      <c r="D21" s="140"/>
      <c r="E21" s="140"/>
      <c r="F21" s="61" t="s">
        <v>124</v>
      </c>
      <c r="G21" s="2">
        <v>91186</v>
      </c>
      <c r="H21" s="2">
        <v>92000</v>
      </c>
      <c r="I21" s="2">
        <v>96484</v>
      </c>
      <c r="J21" s="1388">
        <v>92000</v>
      </c>
      <c r="K21" s="1392"/>
      <c r="L21" s="1390">
        <f t="shared" si="5"/>
        <v>92000</v>
      </c>
    </row>
    <row r="22" spans="1:12" ht="17.25" x14ac:dyDescent="0.35">
      <c r="A22" s="843">
        <v>15</v>
      </c>
      <c r="B22" s="116"/>
      <c r="C22" s="140"/>
      <c r="D22" s="140"/>
      <c r="E22" s="140"/>
      <c r="F22" s="61" t="s">
        <v>122</v>
      </c>
      <c r="G22" s="2">
        <v>6222920</v>
      </c>
      <c r="H22" s="2">
        <v>6100000</v>
      </c>
      <c r="I22" s="2">
        <v>7090255</v>
      </c>
      <c r="J22" s="1388">
        <v>4650000</v>
      </c>
      <c r="K22" s="1392"/>
      <c r="L22" s="1390">
        <f t="shared" si="5"/>
        <v>4650000</v>
      </c>
    </row>
    <row r="23" spans="1:12" ht="17.25" x14ac:dyDescent="0.35">
      <c r="A23" s="843">
        <v>16</v>
      </c>
      <c r="B23" s="116"/>
      <c r="C23" s="140"/>
      <c r="D23" s="140"/>
      <c r="E23" s="140"/>
      <c r="F23" s="61" t="s">
        <v>127</v>
      </c>
      <c r="G23" s="2">
        <v>230151</v>
      </c>
      <c r="H23" s="2">
        <v>220000</v>
      </c>
      <c r="I23" s="2"/>
      <c r="J23" s="1388"/>
      <c r="K23" s="1392"/>
      <c r="L23" s="1390"/>
    </row>
    <row r="24" spans="1:12" ht="17.25" x14ac:dyDescent="0.35">
      <c r="A24" s="843">
        <v>17</v>
      </c>
      <c r="B24" s="116"/>
      <c r="C24" s="140"/>
      <c r="D24" s="140"/>
      <c r="E24" s="140"/>
      <c r="F24" s="61" t="s">
        <v>171</v>
      </c>
      <c r="G24" s="2">
        <v>14359</v>
      </c>
      <c r="H24" s="2">
        <v>10000</v>
      </c>
      <c r="I24" s="2">
        <v>14847</v>
      </c>
      <c r="J24" s="1388">
        <v>10000</v>
      </c>
      <c r="K24" s="1392"/>
      <c r="L24" s="1390">
        <f t="shared" si="5"/>
        <v>10000</v>
      </c>
    </row>
    <row r="25" spans="1:12" s="233" customFormat="1" ht="34.5" x14ac:dyDescent="0.35">
      <c r="A25" s="845">
        <v>18</v>
      </c>
      <c r="B25" s="116"/>
      <c r="C25" s="177"/>
      <c r="D25" s="140"/>
      <c r="E25" s="140"/>
      <c r="F25" s="60" t="s">
        <v>172</v>
      </c>
      <c r="G25" s="10">
        <v>8110</v>
      </c>
      <c r="H25" s="10">
        <v>5120</v>
      </c>
      <c r="I25" s="10">
        <v>7080</v>
      </c>
      <c r="J25" s="1385">
        <v>5200</v>
      </c>
      <c r="K25" s="1393"/>
      <c r="L25" s="1391">
        <f>SUM(J25:K25)</f>
        <v>5200</v>
      </c>
    </row>
    <row r="26" spans="1:12" s="143" customFormat="1" ht="36" customHeight="1" x14ac:dyDescent="0.35">
      <c r="A26" s="843">
        <v>19</v>
      </c>
      <c r="B26" s="116">
        <v>18</v>
      </c>
      <c r="C26" s="177"/>
      <c r="D26" s="140"/>
      <c r="E26" s="140">
        <v>4</v>
      </c>
      <c r="F26" s="178" t="s">
        <v>137</v>
      </c>
      <c r="G26" s="62">
        <f>SUM(G27:G30)</f>
        <v>818620</v>
      </c>
      <c r="H26" s="62">
        <f>SUM(H27:H30)</f>
        <v>1501270</v>
      </c>
      <c r="I26" s="62">
        <f>SUM(I27:I30)</f>
        <v>846221</v>
      </c>
      <c r="J26" s="1385">
        <f>SUM(J27:J30)</f>
        <v>951251</v>
      </c>
      <c r="K26" s="1386">
        <f t="shared" ref="K26:L26" si="6">SUM(K27:K30)</f>
        <v>90</v>
      </c>
      <c r="L26" s="1387">
        <f t="shared" si="6"/>
        <v>951341</v>
      </c>
    </row>
    <row r="27" spans="1:12" ht="16.5" customHeight="1" x14ac:dyDescent="0.35">
      <c r="A27" s="843">
        <v>20</v>
      </c>
      <c r="B27" s="116"/>
      <c r="C27" s="140"/>
      <c r="D27" s="140"/>
      <c r="E27" s="140"/>
      <c r="F27" s="61" t="s">
        <v>278</v>
      </c>
      <c r="G27" s="2">
        <v>335480</v>
      </c>
      <c r="H27" s="2">
        <v>327392</v>
      </c>
      <c r="I27" s="2">
        <v>290126</v>
      </c>
      <c r="J27" s="1388">
        <v>243317</v>
      </c>
      <c r="K27" s="1392">
        <v>71</v>
      </c>
      <c r="L27" s="1390">
        <f t="shared" ref="L27:L30" si="7">SUM(J27:K27)</f>
        <v>243388</v>
      </c>
    </row>
    <row r="28" spans="1:12" ht="16.5" customHeight="1" x14ac:dyDescent="0.35">
      <c r="A28" s="843">
        <v>21</v>
      </c>
      <c r="B28" s="116"/>
      <c r="C28" s="140"/>
      <c r="D28" s="140"/>
      <c r="E28" s="140"/>
      <c r="F28" s="61" t="s">
        <v>279</v>
      </c>
      <c r="G28" s="2">
        <v>219462</v>
      </c>
      <c r="H28" s="2">
        <v>280770</v>
      </c>
      <c r="I28" s="2">
        <v>208134</v>
      </c>
      <c r="J28" s="1388">
        <v>234064</v>
      </c>
      <c r="K28" s="1392"/>
      <c r="L28" s="1390">
        <f t="shared" si="7"/>
        <v>234064</v>
      </c>
    </row>
    <row r="29" spans="1:12" ht="16.5" customHeight="1" x14ac:dyDescent="0.35">
      <c r="A29" s="843">
        <v>22</v>
      </c>
      <c r="B29" s="116"/>
      <c r="C29" s="140"/>
      <c r="D29" s="140"/>
      <c r="E29" s="140"/>
      <c r="F29" s="61" t="s">
        <v>280</v>
      </c>
      <c r="G29" s="2">
        <v>219034</v>
      </c>
      <c r="H29" s="2">
        <f>783817+20250+6804+78300</f>
        <v>889171</v>
      </c>
      <c r="I29" s="2">
        <v>280298</v>
      </c>
      <c r="J29" s="1388">
        <v>469933</v>
      </c>
      <c r="K29" s="1394">
        <v>19</v>
      </c>
      <c r="L29" s="1390">
        <f t="shared" si="7"/>
        <v>469952</v>
      </c>
    </row>
    <row r="30" spans="1:12" ht="16.5" customHeight="1" x14ac:dyDescent="0.35">
      <c r="A30" s="843">
        <v>23</v>
      </c>
      <c r="B30" s="116"/>
      <c r="C30" s="140"/>
      <c r="D30" s="140"/>
      <c r="E30" s="140"/>
      <c r="F30" s="61" t="s">
        <v>281</v>
      </c>
      <c r="G30" s="2">
        <v>44644</v>
      </c>
      <c r="H30" s="2">
        <v>3937</v>
      </c>
      <c r="I30" s="2">
        <v>67663</v>
      </c>
      <c r="J30" s="1388">
        <v>3937</v>
      </c>
      <c r="K30" s="1395"/>
      <c r="L30" s="1390">
        <f t="shared" si="7"/>
        <v>3937</v>
      </c>
    </row>
    <row r="31" spans="1:12" s="143" customFormat="1" ht="36" customHeight="1" x14ac:dyDescent="0.35">
      <c r="A31" s="843">
        <v>24</v>
      </c>
      <c r="B31" s="365" t="s">
        <v>438</v>
      </c>
      <c r="C31" s="177"/>
      <c r="D31" s="140"/>
      <c r="E31" s="140">
        <v>5</v>
      </c>
      <c r="F31" s="178" t="s">
        <v>173</v>
      </c>
      <c r="G31" s="62">
        <v>1111879</v>
      </c>
      <c r="H31" s="62">
        <v>1028612</v>
      </c>
      <c r="I31" s="62">
        <v>754985</v>
      </c>
      <c r="J31" s="1385">
        <v>858015</v>
      </c>
      <c r="K31" s="1386">
        <v>-79962</v>
      </c>
      <c r="L31" s="1391">
        <f>SUM(J31:K31)</f>
        <v>778053</v>
      </c>
    </row>
    <row r="32" spans="1:12" s="143" customFormat="1" ht="36" customHeight="1" x14ac:dyDescent="0.35">
      <c r="A32" s="843">
        <v>25</v>
      </c>
      <c r="B32" s="116">
        <v>18</v>
      </c>
      <c r="C32" s="177"/>
      <c r="D32" s="140"/>
      <c r="E32" s="140">
        <v>6</v>
      </c>
      <c r="F32" s="178" t="s">
        <v>174</v>
      </c>
      <c r="G32" s="62">
        <v>5713</v>
      </c>
      <c r="H32" s="62"/>
      <c r="I32" s="62">
        <v>62697</v>
      </c>
      <c r="J32" s="1385"/>
      <c r="K32" s="1396">
        <v>524153</v>
      </c>
      <c r="L32" s="1391">
        <f>SUM(J32:K32)</f>
        <v>524153</v>
      </c>
    </row>
    <row r="33" spans="1:21" s="233" customFormat="1" ht="36" customHeight="1" x14ac:dyDescent="0.35">
      <c r="A33" s="845">
        <v>26</v>
      </c>
      <c r="B33" s="366" t="s">
        <v>438</v>
      </c>
      <c r="C33" s="236"/>
      <c r="D33" s="236"/>
      <c r="E33" s="237">
        <v>7</v>
      </c>
      <c r="F33" s="238" t="s">
        <v>175</v>
      </c>
      <c r="G33" s="383">
        <v>8316</v>
      </c>
      <c r="H33" s="383"/>
      <c r="I33" s="383">
        <v>16840</v>
      </c>
      <c r="J33" s="1397">
        <v>4569</v>
      </c>
      <c r="K33" s="1393"/>
      <c r="L33" s="1391">
        <f>SUM(J33:K33)</f>
        <v>4569</v>
      </c>
    </row>
    <row r="34" spans="1:21" s="229" customFormat="1" ht="36" customHeight="1" x14ac:dyDescent="0.35">
      <c r="A34" s="843">
        <v>27</v>
      </c>
      <c r="B34" s="367"/>
      <c r="C34" s="239"/>
      <c r="D34" s="240">
        <v>2</v>
      </c>
      <c r="E34" s="240"/>
      <c r="F34" s="241" t="s">
        <v>135</v>
      </c>
      <c r="G34" s="384">
        <f>SUM(G35,G38:G39,G41:G43)</f>
        <v>6259786</v>
      </c>
      <c r="H34" s="384">
        <f>SUM(H35,H38:H39,H41:H43)</f>
        <v>8363612</v>
      </c>
      <c r="I34" s="560">
        <f>SUM(I35,I38:I39,I41:I43)</f>
        <v>9155087</v>
      </c>
      <c r="J34" s="384">
        <f>SUM(J35,J38:J39,J41:J43)</f>
        <v>13046355</v>
      </c>
      <c r="K34" s="1398">
        <f t="shared" ref="K34:L34" si="8">SUM(K35,K38:K39,K41:K43)</f>
        <v>561083</v>
      </c>
      <c r="L34" s="1399">
        <f t="shared" si="8"/>
        <v>13607438</v>
      </c>
      <c r="M34" s="228"/>
      <c r="N34" s="228"/>
      <c r="O34" s="228"/>
      <c r="P34" s="228"/>
      <c r="Q34" s="228"/>
      <c r="R34" s="228"/>
      <c r="S34" s="228"/>
      <c r="T34" s="228"/>
      <c r="U34" s="228"/>
    </row>
    <row r="35" spans="1:21" s="143" customFormat="1" ht="36" customHeight="1" x14ac:dyDescent="0.35">
      <c r="A35" s="845">
        <v>28</v>
      </c>
      <c r="B35" s="116"/>
      <c r="C35" s="177"/>
      <c r="D35" s="140"/>
      <c r="E35" s="140">
        <v>8</v>
      </c>
      <c r="F35" s="178" t="s">
        <v>176</v>
      </c>
      <c r="G35" s="62">
        <f>SUM(G36,G37)</f>
        <v>5463793</v>
      </c>
      <c r="H35" s="62">
        <f>SUM(H36,H37)</f>
        <v>8162019</v>
      </c>
      <c r="I35" s="62">
        <f>SUM(I36,I37)</f>
        <v>9111564</v>
      </c>
      <c r="J35" s="1385">
        <f>SUM(J36,J37)</f>
        <v>12122305</v>
      </c>
      <c r="K35" s="1386">
        <f t="shared" ref="K35:L35" si="9">SUM(K36,K37)</f>
        <v>-971396</v>
      </c>
      <c r="L35" s="1387">
        <f t="shared" si="9"/>
        <v>11150909</v>
      </c>
    </row>
    <row r="36" spans="1:21" ht="17.25" x14ac:dyDescent="0.35">
      <c r="A36" s="843">
        <v>29</v>
      </c>
      <c r="B36" s="116">
        <v>18</v>
      </c>
      <c r="C36" s="140"/>
      <c r="D36" s="140"/>
      <c r="E36" s="140"/>
      <c r="F36" s="1143" t="s">
        <v>177</v>
      </c>
      <c r="G36" s="2">
        <v>6456</v>
      </c>
      <c r="H36" s="2"/>
      <c r="I36" s="2"/>
      <c r="J36" s="1388"/>
      <c r="K36" s="1392"/>
      <c r="L36" s="1400"/>
    </row>
    <row r="37" spans="1:21" ht="17.25" x14ac:dyDescent="0.35">
      <c r="A37" s="845">
        <v>30</v>
      </c>
      <c r="B37" s="116">
        <v>18</v>
      </c>
      <c r="C37" s="234"/>
      <c r="D37" s="234"/>
      <c r="E37" s="234"/>
      <c r="F37" s="1143" t="s">
        <v>178</v>
      </c>
      <c r="G37" s="2">
        <v>5457337</v>
      </c>
      <c r="H37" s="2">
        <v>8162019</v>
      </c>
      <c r="I37" s="2">
        <v>9111564</v>
      </c>
      <c r="J37" s="1388">
        <v>12122305</v>
      </c>
      <c r="K37" s="1401">
        <v>-971396</v>
      </c>
      <c r="L37" s="1390">
        <f t="shared" ref="L37:L42" si="10">SUM(J37:K37)</f>
        <v>11150909</v>
      </c>
    </row>
    <row r="38" spans="1:21" s="233" customFormat="1" ht="36" customHeight="1" x14ac:dyDescent="0.35">
      <c r="A38" s="843">
        <v>31</v>
      </c>
      <c r="B38" s="366" t="s">
        <v>438</v>
      </c>
      <c r="C38" s="235"/>
      <c r="D38" s="235"/>
      <c r="E38" s="234">
        <v>9</v>
      </c>
      <c r="F38" s="60" t="s">
        <v>179</v>
      </c>
      <c r="G38" s="10">
        <v>14183</v>
      </c>
      <c r="H38" s="10">
        <v>4050</v>
      </c>
      <c r="I38" s="10">
        <v>335</v>
      </c>
      <c r="J38" s="1385">
        <v>4050</v>
      </c>
      <c r="K38" s="1393"/>
      <c r="L38" s="1391">
        <f t="shared" si="10"/>
        <v>4050</v>
      </c>
    </row>
    <row r="39" spans="1:21" s="143" customFormat="1" ht="36" customHeight="1" x14ac:dyDescent="0.35">
      <c r="A39" s="845">
        <v>32</v>
      </c>
      <c r="B39" s="116">
        <v>18</v>
      </c>
      <c r="C39" s="177"/>
      <c r="D39" s="140"/>
      <c r="E39" s="140">
        <v>10</v>
      </c>
      <c r="F39" s="178" t="s">
        <v>180</v>
      </c>
      <c r="G39" s="62">
        <f>SUM(G40:G40)</f>
        <v>153966</v>
      </c>
      <c r="H39" s="62">
        <f>SUM(H40:H40)</f>
        <v>190000</v>
      </c>
      <c r="I39" s="62">
        <f>SUM(I40:I40)</f>
        <v>37339</v>
      </c>
      <c r="J39" s="1385">
        <f>SUM(J40:J40)</f>
        <v>920000</v>
      </c>
      <c r="K39" s="1402"/>
      <c r="L39" s="1391">
        <f t="shared" si="10"/>
        <v>920000</v>
      </c>
    </row>
    <row r="40" spans="1:21" ht="17.25" x14ac:dyDescent="0.35">
      <c r="A40" s="843">
        <v>33</v>
      </c>
      <c r="B40" s="116"/>
      <c r="C40" s="140"/>
      <c r="D40" s="140"/>
      <c r="E40" s="140"/>
      <c r="F40" s="61" t="s">
        <v>181</v>
      </c>
      <c r="G40" s="2">
        <v>153966</v>
      </c>
      <c r="H40" s="2">
        <v>190000</v>
      </c>
      <c r="I40" s="2">
        <v>37339</v>
      </c>
      <c r="J40" s="1388">
        <v>920000</v>
      </c>
      <c r="K40" s="1392"/>
      <c r="L40" s="1390">
        <f t="shared" si="10"/>
        <v>920000</v>
      </c>
    </row>
    <row r="41" spans="1:21" ht="36" customHeight="1" x14ac:dyDescent="0.35">
      <c r="A41" s="845">
        <v>34</v>
      </c>
      <c r="B41" s="116"/>
      <c r="C41" s="140"/>
      <c r="D41" s="140"/>
      <c r="E41" s="140">
        <v>11</v>
      </c>
      <c r="F41" s="60" t="s">
        <v>182</v>
      </c>
      <c r="G41" s="10">
        <v>939</v>
      </c>
      <c r="H41" s="10">
        <v>7543</v>
      </c>
      <c r="I41" s="10">
        <v>5849</v>
      </c>
      <c r="J41" s="1385">
        <f>+'[1]3.Inbe '!I142</f>
        <v>0</v>
      </c>
      <c r="K41" s="1392"/>
      <c r="L41" s="1390">
        <f t="shared" si="10"/>
        <v>0</v>
      </c>
    </row>
    <row r="42" spans="1:21" s="143" customFormat="1" ht="36" customHeight="1" x14ac:dyDescent="0.35">
      <c r="A42" s="843">
        <v>35</v>
      </c>
      <c r="B42" s="116">
        <v>18</v>
      </c>
      <c r="C42" s="177"/>
      <c r="D42" s="140"/>
      <c r="E42" s="140">
        <v>12</v>
      </c>
      <c r="F42" s="178" t="s">
        <v>183</v>
      </c>
      <c r="G42" s="62">
        <v>626905</v>
      </c>
      <c r="H42" s="62"/>
      <c r="I42" s="62">
        <v>0</v>
      </c>
      <c r="J42" s="1385"/>
      <c r="K42" s="1401">
        <v>1526961</v>
      </c>
      <c r="L42" s="1391">
        <f t="shared" si="10"/>
        <v>1526961</v>
      </c>
    </row>
    <row r="43" spans="1:21" s="233" customFormat="1" ht="36" customHeight="1" x14ac:dyDescent="0.35">
      <c r="A43" s="845">
        <v>36</v>
      </c>
      <c r="B43" s="366" t="s">
        <v>438</v>
      </c>
      <c r="C43" s="235"/>
      <c r="D43" s="235"/>
      <c r="E43" s="234">
        <v>13</v>
      </c>
      <c r="F43" s="242" t="s">
        <v>184</v>
      </c>
      <c r="G43" s="10"/>
      <c r="H43" s="10"/>
      <c r="I43" s="10"/>
      <c r="J43" s="1385">
        <f>+'[1]3.Inbe '!K142</f>
        <v>0</v>
      </c>
      <c r="K43" s="1389">
        <v>5518</v>
      </c>
      <c r="L43" s="1391">
        <f t="shared" ref="L43" si="11">SUM(J43:K43)</f>
        <v>5518</v>
      </c>
    </row>
    <row r="44" spans="1:21" s="24" customFormat="1" ht="36" customHeight="1" x14ac:dyDescent="0.3">
      <c r="A44" s="843">
        <v>37</v>
      </c>
      <c r="B44" s="21">
        <v>18</v>
      </c>
      <c r="C44" s="243"/>
      <c r="D44" s="244"/>
      <c r="E44" s="244"/>
      <c r="F44" s="561" t="s">
        <v>185</v>
      </c>
      <c r="G44" s="63">
        <f>SUM(G45:G45)</f>
        <v>183</v>
      </c>
      <c r="H44" s="63">
        <f>SUM(H45:H45)</f>
        <v>0</v>
      </c>
      <c r="I44" s="63">
        <f>SUM(I45:I45)</f>
        <v>256</v>
      </c>
      <c r="J44" s="1403">
        <f>SUM(J45:J45)</f>
        <v>0</v>
      </c>
      <c r="K44" s="1404">
        <f t="shared" ref="K44:L44" si="12">SUM(K45:K45)</f>
        <v>0</v>
      </c>
      <c r="L44" s="1405">
        <f t="shared" si="12"/>
        <v>0</v>
      </c>
    </row>
    <row r="45" spans="1:21" ht="33.75" x14ac:dyDescent="0.35">
      <c r="A45" s="845">
        <v>38</v>
      </c>
      <c r="B45" s="116"/>
      <c r="C45" s="245"/>
      <c r="D45" s="245"/>
      <c r="E45" s="245"/>
      <c r="F45" s="562" t="s">
        <v>249</v>
      </c>
      <c r="G45" s="64">
        <v>183</v>
      </c>
      <c r="H45" s="64"/>
      <c r="I45" s="64">
        <v>256</v>
      </c>
      <c r="J45" s="1406"/>
      <c r="K45" s="1392"/>
      <c r="L45" s="1400"/>
    </row>
    <row r="46" spans="1:21" s="24" customFormat="1" ht="40.15" customHeight="1" thickBot="1" x14ac:dyDescent="0.35">
      <c r="A46" s="843">
        <v>39</v>
      </c>
      <c r="B46" s="368"/>
      <c r="C46" s="246"/>
      <c r="D46" s="247"/>
      <c r="E46" s="247"/>
      <c r="F46" s="248" t="s">
        <v>186</v>
      </c>
      <c r="G46" s="385">
        <f>SUM(G8,G34,G44)</f>
        <v>21113333</v>
      </c>
      <c r="H46" s="385">
        <f>SUM(H8,H34,H44)</f>
        <v>23478871</v>
      </c>
      <c r="I46" s="385">
        <f>SUM(I8,I34,I44)</f>
        <v>26433021</v>
      </c>
      <c r="J46" s="1407">
        <f>SUM(J8,J34,J44)</f>
        <v>27848814</v>
      </c>
      <c r="K46" s="1408">
        <f t="shared" ref="K46:L46" si="13">SUM(K8,K34,K44)</f>
        <v>768469</v>
      </c>
      <c r="L46" s="1409">
        <f t="shared" si="13"/>
        <v>28617283</v>
      </c>
    </row>
    <row r="47" spans="1:21" s="24" customFormat="1" ht="40.15" customHeight="1" thickTop="1" thickBot="1" x14ac:dyDescent="0.25">
      <c r="A47" s="845">
        <v>40</v>
      </c>
      <c r="B47" s="369"/>
      <c r="C47" s="249"/>
      <c r="D47" s="250"/>
      <c r="E47" s="250"/>
      <c r="F47" s="251" t="s">
        <v>187</v>
      </c>
      <c r="G47" s="981">
        <f>+G46-'[1]2.Onki'!G34</f>
        <v>1177920</v>
      </c>
      <c r="H47" s="981">
        <f>+H46-'[1]2.Onki'!H34</f>
        <v>-14073403</v>
      </c>
      <c r="I47" s="981">
        <f>+I46-'[1]2.Onki'!I34</f>
        <v>4465865</v>
      </c>
      <c r="J47" s="1410">
        <f>+J46-'[1]2.Onki'!J34</f>
        <v>-18254179</v>
      </c>
      <c r="K47" s="1411">
        <f>+K46-'[1]2.Onki'!K34</f>
        <v>-1668963</v>
      </c>
      <c r="L47" s="1412">
        <f>+L46-'[1]2.Onki'!L34</f>
        <v>-19923142</v>
      </c>
    </row>
    <row r="48" spans="1:21" s="24" customFormat="1" ht="36" customHeight="1" x14ac:dyDescent="0.3">
      <c r="A48" s="843">
        <v>41</v>
      </c>
      <c r="B48" s="21"/>
      <c r="C48" s="1370"/>
      <c r="D48" s="224"/>
      <c r="E48" s="224">
        <v>14</v>
      </c>
      <c r="F48" s="189" t="s">
        <v>188</v>
      </c>
      <c r="G48" s="386">
        <f>SUM(G50,G59)+G49</f>
        <v>13278366</v>
      </c>
      <c r="H48" s="386">
        <f>SUM(H50,H59)+H49</f>
        <v>14293174</v>
      </c>
      <c r="I48" s="386">
        <f>SUM(I50,I59)+I49</f>
        <v>14967054</v>
      </c>
      <c r="J48" s="1413">
        <f>SUM(J50,J59)+J49</f>
        <v>18573201</v>
      </c>
      <c r="K48" s="1414">
        <f t="shared" ref="K48:L48" si="14">SUM(K50,K59)+K49</f>
        <v>1668963</v>
      </c>
      <c r="L48" s="1415">
        <f t="shared" si="14"/>
        <v>20242164</v>
      </c>
    </row>
    <row r="49" spans="1:12" s="24" customFormat="1" ht="36" customHeight="1" x14ac:dyDescent="0.2">
      <c r="A49" s="845">
        <v>42</v>
      </c>
      <c r="B49" s="21"/>
      <c r="C49" s="1370"/>
      <c r="D49" s="224">
        <v>1</v>
      </c>
      <c r="E49" s="224"/>
      <c r="F49" s="189" t="s">
        <v>253</v>
      </c>
      <c r="G49" s="386">
        <v>143801</v>
      </c>
      <c r="H49" s="386"/>
      <c r="I49" s="386">
        <v>328363</v>
      </c>
      <c r="J49" s="1413"/>
      <c r="K49" s="1416"/>
      <c r="L49" s="1417">
        <f t="shared" ref="L49" si="15">SUM(J49:K49)</f>
        <v>0</v>
      </c>
    </row>
    <row r="50" spans="1:12" s="24" customFormat="1" ht="33" customHeight="1" x14ac:dyDescent="0.3">
      <c r="A50" s="843">
        <v>43</v>
      </c>
      <c r="B50" s="370"/>
      <c r="C50" s="243"/>
      <c r="D50" s="244"/>
      <c r="E50" s="244"/>
      <c r="F50" s="252" t="s">
        <v>283</v>
      </c>
      <c r="G50" s="63">
        <f>SUM(G51,G55)</f>
        <v>13087077</v>
      </c>
      <c r="H50" s="63">
        <f>SUM(H51,H55)</f>
        <v>12883374</v>
      </c>
      <c r="I50" s="63">
        <f>SUM(I51,I55)</f>
        <v>13993317</v>
      </c>
      <c r="J50" s="1403">
        <f>SUM(J51,J55)</f>
        <v>17396684</v>
      </c>
      <c r="K50" s="1404">
        <f t="shared" ref="K50:L50" si="16">SUM(K51,K55)</f>
        <v>1668963</v>
      </c>
      <c r="L50" s="1405">
        <f t="shared" si="16"/>
        <v>19065647</v>
      </c>
    </row>
    <row r="51" spans="1:12" s="143" customFormat="1" ht="24" customHeight="1" x14ac:dyDescent="0.35">
      <c r="A51" s="845">
        <v>44</v>
      </c>
      <c r="B51" s="116"/>
      <c r="C51" s="177"/>
      <c r="D51" s="140">
        <v>1</v>
      </c>
      <c r="E51" s="140"/>
      <c r="F51" s="178" t="s">
        <v>251</v>
      </c>
      <c r="G51" s="62">
        <f>SUM(G52:G54)</f>
        <v>2879946</v>
      </c>
      <c r="H51" s="62">
        <f>SUM(H52:H54)</f>
        <v>1081085</v>
      </c>
      <c r="I51" s="62">
        <f>SUM(I52:I54)</f>
        <v>2162285</v>
      </c>
      <c r="J51" s="1385">
        <f>SUM(J52:J54)</f>
        <v>1391913</v>
      </c>
      <c r="K51" s="1386">
        <f t="shared" ref="K51:L51" si="17">SUM(K52:K54)</f>
        <v>1505104</v>
      </c>
      <c r="L51" s="1387">
        <f t="shared" si="17"/>
        <v>2897017</v>
      </c>
    </row>
    <row r="52" spans="1:12" ht="17.25" x14ac:dyDescent="0.35">
      <c r="A52" s="843">
        <v>45</v>
      </c>
      <c r="B52" s="364" t="s">
        <v>370</v>
      </c>
      <c r="C52" s="140"/>
      <c r="D52" s="140"/>
      <c r="E52" s="140"/>
      <c r="F52" s="61" t="s">
        <v>189</v>
      </c>
      <c r="G52" s="2">
        <v>573305</v>
      </c>
      <c r="H52" s="2">
        <f>29539+9983-8221</f>
        <v>31301</v>
      </c>
      <c r="I52" s="2">
        <v>661871</v>
      </c>
      <c r="J52" s="1388">
        <f>+'[1]3.Inbe '!L129-106203</f>
        <v>226214</v>
      </c>
      <c r="K52" s="1389">
        <v>401912</v>
      </c>
      <c r="L52" s="1390">
        <f t="shared" ref="L52:L53" si="18">SUM(J52:K52)</f>
        <v>628126</v>
      </c>
    </row>
    <row r="53" spans="1:12" ht="17.25" x14ac:dyDescent="0.35">
      <c r="A53" s="845">
        <v>46</v>
      </c>
      <c r="B53" s="116">
        <v>17</v>
      </c>
      <c r="C53" s="140"/>
      <c r="D53" s="140"/>
      <c r="E53" s="140"/>
      <c r="F53" s="61" t="s">
        <v>190</v>
      </c>
      <c r="G53" s="2">
        <v>294771</v>
      </c>
      <c r="H53" s="2">
        <v>75474</v>
      </c>
      <c r="I53" s="2">
        <v>360345</v>
      </c>
      <c r="J53" s="1388">
        <f>+'[1]3.Inbe '!L133-95</f>
        <v>80955</v>
      </c>
      <c r="K53" s="1389">
        <v>361246</v>
      </c>
      <c r="L53" s="1390">
        <f t="shared" si="18"/>
        <v>442201</v>
      </c>
    </row>
    <row r="54" spans="1:12" ht="17.25" x14ac:dyDescent="0.35">
      <c r="A54" s="843">
        <v>47</v>
      </c>
      <c r="B54" s="116">
        <v>18</v>
      </c>
      <c r="C54" s="140"/>
      <c r="D54" s="140"/>
      <c r="E54" s="140"/>
      <c r="F54" s="61" t="s">
        <v>118</v>
      </c>
      <c r="G54" s="2">
        <v>2011870</v>
      </c>
      <c r="H54" s="2">
        <v>974310</v>
      </c>
      <c r="I54" s="2">
        <v>1140069</v>
      </c>
      <c r="J54" s="1388">
        <v>1084744</v>
      </c>
      <c r="K54" s="1389">
        <f>742199-253</f>
        <v>741946</v>
      </c>
      <c r="L54" s="1390">
        <f>SUM(J54:K54)</f>
        <v>1826690</v>
      </c>
    </row>
    <row r="55" spans="1:12" s="143" customFormat="1" ht="24" customHeight="1" x14ac:dyDescent="0.35">
      <c r="A55" s="845">
        <v>48</v>
      </c>
      <c r="B55" s="116"/>
      <c r="C55" s="177"/>
      <c r="D55" s="140">
        <v>2</v>
      </c>
      <c r="E55" s="140"/>
      <c r="F55" s="178" t="s">
        <v>250</v>
      </c>
      <c r="G55" s="62">
        <f>SUM(G56:G58)</f>
        <v>10207131</v>
      </c>
      <c r="H55" s="62">
        <f>SUM(H56:H58)</f>
        <v>11802289</v>
      </c>
      <c r="I55" s="62">
        <f>SUM(I56:I58)</f>
        <v>11831032</v>
      </c>
      <c r="J55" s="1385">
        <f>SUM(J56:J58)</f>
        <v>16004771</v>
      </c>
      <c r="K55" s="1386">
        <f t="shared" ref="K55:L55" si="19">SUM(K56:K58)</f>
        <v>163859</v>
      </c>
      <c r="L55" s="1387">
        <f t="shared" si="19"/>
        <v>16168630</v>
      </c>
    </row>
    <row r="56" spans="1:12" s="233" customFormat="1" ht="17.25" x14ac:dyDescent="0.35">
      <c r="A56" s="843">
        <v>49</v>
      </c>
      <c r="B56" s="365" t="s">
        <v>370</v>
      </c>
      <c r="C56" s="140"/>
      <c r="D56" s="140"/>
      <c r="E56" s="140"/>
      <c r="F56" s="253" t="s">
        <v>189</v>
      </c>
      <c r="G56" s="2">
        <v>127144</v>
      </c>
      <c r="H56" s="2">
        <f>2400+2000+8221</f>
        <v>12621</v>
      </c>
      <c r="I56" s="2">
        <v>27970</v>
      </c>
      <c r="J56" s="1388">
        <v>106203</v>
      </c>
      <c r="K56" s="1389">
        <v>23446</v>
      </c>
      <c r="L56" s="1390">
        <f t="shared" ref="L56:L58" si="20">SUM(J56:K56)</f>
        <v>129649</v>
      </c>
    </row>
    <row r="57" spans="1:12" s="233" customFormat="1" ht="17.25" x14ac:dyDescent="0.35">
      <c r="A57" s="845">
        <v>50</v>
      </c>
      <c r="B57" s="365" t="s">
        <v>300</v>
      </c>
      <c r="C57" s="140"/>
      <c r="D57" s="140"/>
      <c r="E57" s="140"/>
      <c r="F57" s="61" t="s">
        <v>190</v>
      </c>
      <c r="G57" s="2">
        <v>24251</v>
      </c>
      <c r="H57" s="2">
        <f>16985</f>
        <v>16985</v>
      </c>
      <c r="I57" s="2">
        <v>24177</v>
      </c>
      <c r="J57" s="1388">
        <v>95</v>
      </c>
      <c r="K57" s="1389">
        <v>15686</v>
      </c>
      <c r="L57" s="1390">
        <f t="shared" si="20"/>
        <v>15781</v>
      </c>
    </row>
    <row r="58" spans="1:12" s="233" customFormat="1" ht="17.25" x14ac:dyDescent="0.35">
      <c r="A58" s="843">
        <v>51</v>
      </c>
      <c r="B58" s="116">
        <v>18</v>
      </c>
      <c r="C58" s="140"/>
      <c r="D58" s="140"/>
      <c r="E58" s="140"/>
      <c r="F58" s="253" t="s">
        <v>360</v>
      </c>
      <c r="G58" s="2">
        <v>10055736</v>
      </c>
      <c r="H58" s="2">
        <v>11772683</v>
      </c>
      <c r="I58" s="2">
        <v>11778885</v>
      </c>
      <c r="J58" s="1388">
        <v>15898473</v>
      </c>
      <c r="K58" s="1389">
        <f>124474+253</f>
        <v>124727</v>
      </c>
      <c r="L58" s="1390">
        <f t="shared" si="20"/>
        <v>16023200</v>
      </c>
    </row>
    <row r="59" spans="1:12" s="24" customFormat="1" ht="30" customHeight="1" x14ac:dyDescent="0.2">
      <c r="A59" s="845">
        <v>52</v>
      </c>
      <c r="B59" s="370"/>
      <c r="C59" s="243"/>
      <c r="D59" s="244"/>
      <c r="E59" s="244"/>
      <c r="F59" s="252" t="s">
        <v>284</v>
      </c>
      <c r="G59" s="63">
        <f>SUM(G60:G62)</f>
        <v>47488</v>
      </c>
      <c r="H59" s="63">
        <f>SUM(H60:H62)</f>
        <v>1409800</v>
      </c>
      <c r="I59" s="63">
        <f>SUM(I60:I62)</f>
        <v>645374</v>
      </c>
      <c r="J59" s="1403">
        <f>SUM(J60:J62)</f>
        <v>1176517</v>
      </c>
      <c r="K59" s="1404">
        <f t="shared" ref="K59:L59" si="21">SUM(K60:K62)</f>
        <v>0</v>
      </c>
      <c r="L59" s="1405">
        <f t="shared" si="21"/>
        <v>1176517</v>
      </c>
    </row>
    <row r="60" spans="1:12" s="143" customFormat="1" ht="24" customHeight="1" x14ac:dyDescent="0.35">
      <c r="A60" s="843">
        <v>53</v>
      </c>
      <c r="B60" s="116">
        <v>18</v>
      </c>
      <c r="C60" s="177"/>
      <c r="D60" s="140">
        <v>2</v>
      </c>
      <c r="E60" s="140"/>
      <c r="F60" s="178" t="s">
        <v>191</v>
      </c>
      <c r="G60" s="62"/>
      <c r="H60" s="62"/>
      <c r="I60" s="62"/>
      <c r="J60" s="1385"/>
      <c r="K60" s="1402"/>
      <c r="L60" s="1418"/>
    </row>
    <row r="61" spans="1:12" ht="17.25" x14ac:dyDescent="0.35">
      <c r="A61" s="845">
        <v>54</v>
      </c>
      <c r="B61" s="116"/>
      <c r="C61" s="140"/>
      <c r="D61" s="140"/>
      <c r="E61" s="140"/>
      <c r="F61" s="61" t="s">
        <v>191</v>
      </c>
      <c r="G61" s="2"/>
      <c r="H61" s="2">
        <v>780800</v>
      </c>
      <c r="I61" s="2">
        <v>286988</v>
      </c>
      <c r="J61" s="1388">
        <f>601891-40000</f>
        <v>561891</v>
      </c>
      <c r="K61" s="1392"/>
      <c r="L61" s="1390">
        <f t="shared" ref="L61:L62" si="22">SUM(J61:K61)</f>
        <v>561891</v>
      </c>
    </row>
    <row r="62" spans="1:12" ht="17.25" x14ac:dyDescent="0.35">
      <c r="A62" s="843">
        <v>55</v>
      </c>
      <c r="B62" s="116"/>
      <c r="C62" s="140"/>
      <c r="D62" s="140"/>
      <c r="E62" s="140"/>
      <c r="F62" s="254" t="s">
        <v>192</v>
      </c>
      <c r="G62" s="64">
        <v>47488</v>
      </c>
      <c r="H62" s="64">
        <v>629000</v>
      </c>
      <c r="I62" s="64">
        <v>358386</v>
      </c>
      <c r="J62" s="1388">
        <v>614626</v>
      </c>
      <c r="K62" s="1392"/>
      <c r="L62" s="1390">
        <f t="shared" si="22"/>
        <v>614626</v>
      </c>
    </row>
    <row r="63" spans="1:12" s="24" customFormat="1" ht="36" customHeight="1" thickBot="1" x14ac:dyDescent="0.25">
      <c r="A63" s="845">
        <v>56</v>
      </c>
      <c r="B63" s="371"/>
      <c r="C63" s="255"/>
      <c r="D63" s="256"/>
      <c r="E63" s="256"/>
      <c r="F63" s="257" t="s">
        <v>193</v>
      </c>
      <c r="G63" s="387">
        <f>SUM(G46,G48)</f>
        <v>34391699</v>
      </c>
      <c r="H63" s="387">
        <f>SUM(H46,H48)</f>
        <v>37772045</v>
      </c>
      <c r="I63" s="387">
        <f>SUM(I46,I48)</f>
        <v>41400075</v>
      </c>
      <c r="J63" s="1419">
        <f>SUM(J46,J48)</f>
        <v>46422015</v>
      </c>
      <c r="K63" s="1420">
        <f t="shared" ref="K63" si="23">SUM(K46,K48)</f>
        <v>2437432</v>
      </c>
      <c r="L63" s="1421">
        <f>SUM(L46,L48)</f>
        <v>48859447</v>
      </c>
    </row>
  </sheetData>
  <mergeCells count="4">
    <mergeCell ref="B1:F1"/>
    <mergeCell ref="B2:F2"/>
    <mergeCell ref="B3:L3"/>
    <mergeCell ref="B4:L4"/>
  </mergeCells>
  <printOptions horizontalCentered="1"/>
  <pageMargins left="0.19685039370078741" right="0.19685039370078741" top="0.59055118110236227" bottom="0.59055118110236227" header="0.51181102362204722" footer="0.51181102362204722"/>
  <pageSetup paperSize="9" scale="58" fitToHeight="2" orientation="portrait" r:id="rId1"/>
  <headerFooter alignWithMargins="0">
    <oddFooter>&amp;C- &amp;P -</oddFooter>
  </headerFooter>
  <rowBreaks count="1" manualBreakCount="1">
    <brk id="41" max="11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183"/>
  <sheetViews>
    <sheetView view="pageBreakPreview" zoomScale="70" zoomScaleNormal="100" zoomScaleSheetLayoutView="70" workbookViewId="0">
      <pane ySplit="9" topLeftCell="A179" activePane="bottomLeft" state="frozen"/>
      <selection activeCell="B1" sqref="B1:F1"/>
      <selection pane="bottomLeft" activeCell="B2" sqref="B2:F2"/>
    </sheetView>
  </sheetViews>
  <sheetFormatPr defaultColWidth="9.140625" defaultRowHeight="15" x14ac:dyDescent="0.3"/>
  <cols>
    <col min="1" max="1" width="3.7109375" style="683" customWidth="1"/>
    <col min="2" max="2" width="5.7109375" style="671" customWidth="1"/>
    <col min="3" max="3" width="5.7109375" style="672" customWidth="1"/>
    <col min="4" max="4" width="59.7109375" style="673" customWidth="1"/>
    <col min="5" max="7" width="10.7109375" style="669" customWidth="1"/>
    <col min="8" max="8" width="6.7109375" style="674" customWidth="1"/>
    <col min="9" max="11" width="14.85546875" style="669" customWidth="1"/>
    <col min="12" max="12" width="15.7109375" style="669" customWidth="1"/>
    <col min="13" max="13" width="13.7109375" style="681" customWidth="1"/>
    <col min="14" max="16384" width="9.140625" style="670"/>
  </cols>
  <sheetData>
    <row r="1" spans="1:251" s="402" customFormat="1" ht="18" customHeight="1" x14ac:dyDescent="0.3">
      <c r="A1" s="682"/>
      <c r="B1" s="2080" t="s">
        <v>910</v>
      </c>
      <c r="C1" s="2080"/>
      <c r="D1" s="2080"/>
      <c r="E1" s="608"/>
      <c r="F1" s="608"/>
      <c r="G1" s="608"/>
      <c r="H1" s="607"/>
      <c r="I1" s="2081"/>
      <c r="J1" s="2081"/>
      <c r="K1" s="2081"/>
      <c r="L1" s="2081"/>
      <c r="M1" s="2081"/>
      <c r="N1" s="609"/>
      <c r="O1" s="609"/>
      <c r="P1" s="609"/>
      <c r="Q1" s="609"/>
      <c r="R1" s="609"/>
      <c r="S1" s="609"/>
      <c r="T1" s="609"/>
      <c r="U1" s="609"/>
      <c r="V1" s="609"/>
      <c r="W1" s="609"/>
      <c r="X1" s="609"/>
      <c r="Y1" s="609"/>
      <c r="Z1" s="609"/>
      <c r="AA1" s="609"/>
      <c r="AB1" s="609"/>
      <c r="AC1" s="609"/>
      <c r="AD1" s="609"/>
      <c r="AE1" s="609"/>
      <c r="AF1" s="609"/>
      <c r="AG1" s="609"/>
      <c r="AH1" s="609"/>
      <c r="AI1" s="609"/>
      <c r="AJ1" s="609"/>
      <c r="AK1" s="609"/>
      <c r="AL1" s="609"/>
      <c r="AM1" s="609"/>
      <c r="AN1" s="609"/>
      <c r="AO1" s="609"/>
      <c r="AP1" s="609"/>
      <c r="AQ1" s="609"/>
      <c r="AR1" s="609"/>
      <c r="AS1" s="609"/>
      <c r="AT1" s="609"/>
      <c r="AU1" s="609"/>
      <c r="AV1" s="609"/>
      <c r="AW1" s="609"/>
      <c r="AX1" s="609"/>
      <c r="AY1" s="609"/>
      <c r="AZ1" s="609"/>
      <c r="BA1" s="609"/>
      <c r="BB1" s="609"/>
      <c r="BC1" s="609"/>
      <c r="BD1" s="609"/>
      <c r="BE1" s="609"/>
      <c r="BF1" s="609"/>
      <c r="BG1" s="609"/>
      <c r="BH1" s="609"/>
      <c r="BI1" s="609"/>
      <c r="BJ1" s="609"/>
      <c r="BK1" s="609"/>
      <c r="BL1" s="609"/>
      <c r="BM1" s="609"/>
      <c r="BN1" s="609"/>
      <c r="BO1" s="609"/>
      <c r="BP1" s="609"/>
      <c r="BQ1" s="609"/>
      <c r="BR1" s="609"/>
      <c r="BS1" s="609"/>
      <c r="BT1" s="609"/>
      <c r="BU1" s="609"/>
      <c r="BV1" s="609"/>
      <c r="BW1" s="609"/>
      <c r="BX1" s="609"/>
      <c r="BY1" s="609"/>
      <c r="BZ1" s="609"/>
      <c r="CA1" s="609"/>
      <c r="CB1" s="609"/>
      <c r="CC1" s="609"/>
      <c r="CD1" s="609"/>
      <c r="CE1" s="609"/>
      <c r="CF1" s="609"/>
      <c r="CG1" s="609"/>
      <c r="CH1" s="609"/>
      <c r="CI1" s="609"/>
      <c r="CJ1" s="609"/>
      <c r="CK1" s="609"/>
      <c r="CL1" s="609"/>
      <c r="CM1" s="609"/>
      <c r="CN1" s="609"/>
      <c r="CO1" s="609"/>
      <c r="CP1" s="609"/>
      <c r="CQ1" s="609"/>
      <c r="CR1" s="609"/>
      <c r="CS1" s="609"/>
      <c r="CT1" s="609"/>
      <c r="CU1" s="609"/>
      <c r="CV1" s="609"/>
      <c r="CW1" s="609"/>
      <c r="CX1" s="609"/>
      <c r="CY1" s="609"/>
      <c r="CZ1" s="609"/>
      <c r="DA1" s="609"/>
      <c r="DB1" s="609"/>
      <c r="DC1" s="609"/>
      <c r="DD1" s="609"/>
      <c r="DE1" s="609"/>
      <c r="DF1" s="609"/>
      <c r="DG1" s="609"/>
      <c r="DH1" s="609"/>
      <c r="DI1" s="609"/>
      <c r="DJ1" s="609"/>
      <c r="DK1" s="609"/>
      <c r="DL1" s="609"/>
      <c r="DM1" s="609"/>
      <c r="DN1" s="609"/>
      <c r="DO1" s="609"/>
      <c r="DP1" s="609"/>
      <c r="DQ1" s="609"/>
      <c r="DR1" s="609"/>
      <c r="DS1" s="609"/>
      <c r="DT1" s="609"/>
      <c r="DU1" s="609"/>
      <c r="DV1" s="609"/>
      <c r="DW1" s="609"/>
      <c r="DX1" s="609"/>
      <c r="DY1" s="609"/>
      <c r="DZ1" s="609"/>
      <c r="EA1" s="609"/>
      <c r="EB1" s="609"/>
      <c r="EC1" s="609"/>
      <c r="ED1" s="609"/>
      <c r="EE1" s="609"/>
      <c r="EF1" s="609"/>
      <c r="EG1" s="609"/>
      <c r="EH1" s="609"/>
      <c r="EI1" s="609"/>
      <c r="EJ1" s="609"/>
      <c r="EK1" s="609"/>
      <c r="EL1" s="609"/>
      <c r="EM1" s="609"/>
      <c r="EN1" s="609"/>
      <c r="EO1" s="609"/>
      <c r="EP1" s="609"/>
      <c r="EQ1" s="609"/>
      <c r="ER1" s="609"/>
      <c r="ES1" s="609"/>
      <c r="ET1" s="609"/>
      <c r="EU1" s="609"/>
      <c r="EV1" s="609"/>
      <c r="EW1" s="609"/>
      <c r="EX1" s="609"/>
      <c r="EY1" s="609"/>
      <c r="EZ1" s="609"/>
      <c r="FA1" s="609"/>
      <c r="FB1" s="609"/>
      <c r="FC1" s="609"/>
      <c r="FD1" s="609"/>
      <c r="FE1" s="609"/>
      <c r="FF1" s="609"/>
      <c r="FG1" s="609"/>
      <c r="FH1" s="609"/>
      <c r="FI1" s="609"/>
      <c r="FJ1" s="609"/>
      <c r="FK1" s="609"/>
      <c r="FL1" s="609"/>
      <c r="FM1" s="609"/>
      <c r="FN1" s="609"/>
      <c r="FO1" s="609"/>
      <c r="FP1" s="609"/>
      <c r="FQ1" s="609"/>
      <c r="FR1" s="609"/>
      <c r="FS1" s="609"/>
      <c r="FT1" s="609"/>
      <c r="FU1" s="609"/>
      <c r="FV1" s="609"/>
      <c r="FW1" s="609"/>
      <c r="FX1" s="609"/>
      <c r="FY1" s="609"/>
      <c r="FZ1" s="609"/>
      <c r="GA1" s="609"/>
      <c r="GB1" s="609"/>
      <c r="GC1" s="609"/>
      <c r="GD1" s="609"/>
      <c r="GE1" s="609"/>
      <c r="GF1" s="609"/>
      <c r="GG1" s="609"/>
      <c r="GH1" s="609"/>
      <c r="GI1" s="609"/>
      <c r="GJ1" s="609"/>
      <c r="GK1" s="609"/>
      <c r="GL1" s="609"/>
      <c r="GM1" s="609"/>
      <c r="GN1" s="609"/>
      <c r="GO1" s="609"/>
      <c r="GP1" s="609"/>
      <c r="GQ1" s="609"/>
      <c r="GR1" s="609"/>
      <c r="GS1" s="609"/>
      <c r="GT1" s="609"/>
      <c r="GU1" s="609"/>
      <c r="GV1" s="609"/>
      <c r="GW1" s="609"/>
      <c r="GX1" s="609"/>
      <c r="GY1" s="609"/>
      <c r="GZ1" s="609"/>
      <c r="HA1" s="609"/>
      <c r="HB1" s="609"/>
      <c r="HC1" s="609"/>
      <c r="HD1" s="609"/>
      <c r="HE1" s="609"/>
      <c r="HF1" s="609"/>
      <c r="HG1" s="609"/>
      <c r="HH1" s="609"/>
      <c r="HI1" s="609"/>
      <c r="HJ1" s="609"/>
      <c r="HK1" s="609"/>
      <c r="HL1" s="609"/>
      <c r="HM1" s="609"/>
      <c r="HN1" s="609"/>
      <c r="HO1" s="609"/>
      <c r="HP1" s="609"/>
      <c r="HQ1" s="609"/>
      <c r="HR1" s="609"/>
      <c r="HS1" s="609"/>
      <c r="HT1" s="609"/>
      <c r="HU1" s="609"/>
      <c r="HV1" s="609"/>
      <c r="HW1" s="609"/>
      <c r="HX1" s="609"/>
      <c r="HY1" s="609"/>
      <c r="HZ1" s="609"/>
      <c r="IA1" s="609"/>
      <c r="IB1" s="609"/>
      <c r="IC1" s="609"/>
      <c r="ID1" s="609"/>
      <c r="IE1" s="609"/>
      <c r="IF1" s="609"/>
      <c r="IG1" s="609"/>
      <c r="IH1" s="609"/>
      <c r="II1" s="609"/>
      <c r="IJ1" s="609"/>
      <c r="IK1" s="609"/>
      <c r="IL1" s="609"/>
      <c r="IM1" s="609"/>
      <c r="IN1" s="609"/>
      <c r="IO1" s="609"/>
      <c r="IP1" s="609"/>
      <c r="IQ1" s="609"/>
    </row>
    <row r="2" spans="1:251" s="141" customFormat="1" ht="16.5" x14ac:dyDescent="0.3">
      <c r="A2" s="126"/>
      <c r="B2" s="1896"/>
      <c r="C2" s="1896"/>
      <c r="D2" s="1896"/>
      <c r="E2" s="1896"/>
      <c r="F2" s="1896"/>
      <c r="G2" s="118"/>
      <c r="H2" s="118"/>
      <c r="I2" s="118"/>
      <c r="J2" s="282"/>
    </row>
    <row r="3" spans="1:251" s="402" customFormat="1" ht="18" customHeight="1" x14ac:dyDescent="0.35">
      <c r="A3" s="683"/>
      <c r="B3" s="2082" t="s">
        <v>14</v>
      </c>
      <c r="C3" s="2082"/>
      <c r="D3" s="2082"/>
      <c r="E3" s="2082"/>
      <c r="F3" s="2082"/>
      <c r="G3" s="2082"/>
      <c r="H3" s="2082"/>
      <c r="I3" s="2082"/>
      <c r="J3" s="2082"/>
      <c r="K3" s="2082"/>
      <c r="L3" s="2082"/>
      <c r="M3" s="2082"/>
    </row>
    <row r="4" spans="1:251" s="402" customFormat="1" ht="18" customHeight="1" x14ac:dyDescent="0.3">
      <c r="A4" s="683"/>
      <c r="B4" s="2083" t="s">
        <v>739</v>
      </c>
      <c r="C4" s="2083"/>
      <c r="D4" s="2083"/>
      <c r="E4" s="2083"/>
      <c r="F4" s="2083"/>
      <c r="G4" s="2083"/>
      <c r="H4" s="2083"/>
      <c r="I4" s="2083"/>
      <c r="J4" s="2083"/>
      <c r="K4" s="2083"/>
      <c r="L4" s="2083"/>
      <c r="M4" s="2083"/>
    </row>
    <row r="5" spans="1:251" ht="18" customHeight="1" x14ac:dyDescent="0.3">
      <c r="M5" s="675" t="s">
        <v>0</v>
      </c>
    </row>
    <row r="6" spans="1:251" s="128" customFormat="1" ht="18" customHeight="1" thickBot="1" x14ac:dyDescent="0.25">
      <c r="A6" s="683"/>
      <c r="B6" s="705" t="s">
        <v>1</v>
      </c>
      <c r="C6" s="706" t="s">
        <v>3</v>
      </c>
      <c r="D6" s="706" t="s">
        <v>2</v>
      </c>
      <c r="E6" s="706" t="s">
        <v>4</v>
      </c>
      <c r="F6" s="706" t="s">
        <v>5</v>
      </c>
      <c r="G6" s="706" t="s">
        <v>15</v>
      </c>
      <c r="H6" s="706" t="s">
        <v>16</v>
      </c>
      <c r="I6" s="706" t="s">
        <v>17</v>
      </c>
      <c r="J6" s="706" t="s">
        <v>34</v>
      </c>
      <c r="K6" s="706" t="s">
        <v>30</v>
      </c>
      <c r="L6" s="706" t="s">
        <v>23</v>
      </c>
      <c r="M6" s="706" t="s">
        <v>35</v>
      </c>
      <c r="N6" s="683"/>
      <c r="O6" s="683"/>
      <c r="P6" s="683"/>
      <c r="Q6" s="683"/>
      <c r="R6" s="683"/>
      <c r="S6" s="683"/>
      <c r="T6" s="683"/>
      <c r="U6" s="683"/>
      <c r="V6" s="683"/>
      <c r="W6" s="683"/>
      <c r="X6" s="683"/>
      <c r="Y6" s="683"/>
      <c r="Z6" s="683"/>
      <c r="AA6" s="683"/>
      <c r="AB6" s="683"/>
      <c r="AC6" s="683"/>
      <c r="AD6" s="683"/>
      <c r="AE6" s="683"/>
      <c r="AF6" s="683"/>
      <c r="AG6" s="683"/>
      <c r="AH6" s="683"/>
      <c r="AI6" s="683"/>
      <c r="AJ6" s="683"/>
      <c r="AK6" s="683"/>
      <c r="AL6" s="683"/>
      <c r="AM6" s="683"/>
      <c r="AN6" s="683"/>
      <c r="AO6" s="683"/>
      <c r="AP6" s="683"/>
      <c r="AQ6" s="683"/>
      <c r="AR6" s="683"/>
      <c r="AS6" s="683"/>
      <c r="AT6" s="683"/>
      <c r="AU6" s="683"/>
      <c r="AV6" s="683"/>
      <c r="AW6" s="683"/>
      <c r="AX6" s="683"/>
      <c r="AY6" s="683"/>
      <c r="AZ6" s="683"/>
      <c r="BA6" s="683"/>
      <c r="BB6" s="683"/>
      <c r="BC6" s="683"/>
      <c r="BD6" s="683"/>
      <c r="BE6" s="683"/>
      <c r="BF6" s="683"/>
      <c r="BG6" s="683"/>
      <c r="BH6" s="683"/>
      <c r="BI6" s="683"/>
      <c r="BJ6" s="683"/>
      <c r="BK6" s="683"/>
      <c r="BL6" s="683"/>
      <c r="BM6" s="683"/>
      <c r="BN6" s="683"/>
      <c r="BO6" s="683"/>
      <c r="BP6" s="683"/>
      <c r="BQ6" s="683"/>
      <c r="BR6" s="683"/>
      <c r="BS6" s="683"/>
      <c r="BT6" s="683"/>
      <c r="BU6" s="683"/>
      <c r="BV6" s="683"/>
      <c r="BW6" s="683"/>
      <c r="BX6" s="683"/>
      <c r="BY6" s="683"/>
      <c r="BZ6" s="683"/>
      <c r="CA6" s="683"/>
      <c r="CB6" s="683"/>
      <c r="CC6" s="683"/>
      <c r="CD6" s="683"/>
      <c r="CE6" s="683"/>
      <c r="CF6" s="683"/>
      <c r="CG6" s="683"/>
      <c r="CH6" s="683"/>
      <c r="CI6" s="683"/>
      <c r="CJ6" s="683"/>
      <c r="CK6" s="683"/>
      <c r="CL6" s="683"/>
      <c r="CM6" s="683"/>
      <c r="CN6" s="683"/>
      <c r="CO6" s="683"/>
      <c r="CP6" s="683"/>
      <c r="CQ6" s="683"/>
      <c r="CR6" s="683"/>
      <c r="CS6" s="683"/>
      <c r="CT6" s="683"/>
      <c r="CU6" s="683"/>
      <c r="CV6" s="683"/>
      <c r="CW6" s="683"/>
      <c r="CX6" s="683"/>
      <c r="CY6" s="683"/>
      <c r="CZ6" s="683"/>
      <c r="DA6" s="683"/>
      <c r="DB6" s="683"/>
      <c r="DC6" s="683"/>
      <c r="DD6" s="683"/>
      <c r="DE6" s="683"/>
      <c r="DF6" s="683"/>
      <c r="DG6" s="683"/>
      <c r="DH6" s="683"/>
      <c r="DI6" s="683"/>
      <c r="DJ6" s="683"/>
      <c r="DK6" s="683"/>
      <c r="DL6" s="683"/>
      <c r="DM6" s="683"/>
      <c r="DN6" s="683"/>
      <c r="DO6" s="683"/>
      <c r="DP6" s="683"/>
      <c r="DQ6" s="683"/>
      <c r="DR6" s="683"/>
      <c r="DS6" s="683"/>
      <c r="DT6" s="683"/>
      <c r="DU6" s="683"/>
      <c r="DV6" s="683"/>
      <c r="DW6" s="683"/>
      <c r="DX6" s="683"/>
      <c r="DY6" s="683"/>
      <c r="DZ6" s="683"/>
      <c r="EA6" s="683"/>
      <c r="EB6" s="683"/>
      <c r="EC6" s="683"/>
      <c r="ED6" s="683"/>
      <c r="EE6" s="683"/>
      <c r="EF6" s="683"/>
      <c r="EG6" s="683"/>
      <c r="EH6" s="683"/>
      <c r="EI6" s="683"/>
      <c r="EJ6" s="683"/>
      <c r="EK6" s="683"/>
      <c r="EL6" s="683"/>
      <c r="EM6" s="683"/>
      <c r="EN6" s="683"/>
      <c r="EO6" s="683"/>
      <c r="EP6" s="683"/>
      <c r="EQ6" s="683"/>
      <c r="ER6" s="683"/>
      <c r="ES6" s="683"/>
      <c r="ET6" s="683"/>
      <c r="EU6" s="683"/>
      <c r="EV6" s="683"/>
      <c r="EW6" s="683"/>
      <c r="EX6" s="683"/>
      <c r="EY6" s="683"/>
      <c r="EZ6" s="683"/>
      <c r="FA6" s="683"/>
      <c r="FB6" s="683"/>
      <c r="FC6" s="683"/>
      <c r="FD6" s="683"/>
      <c r="FE6" s="683"/>
      <c r="FF6" s="683"/>
      <c r="FG6" s="683"/>
      <c r="FH6" s="683"/>
      <c r="FI6" s="683"/>
      <c r="FJ6" s="683"/>
      <c r="FK6" s="683"/>
      <c r="FL6" s="683"/>
      <c r="FM6" s="683"/>
      <c r="FN6" s="683"/>
      <c r="FO6" s="683"/>
      <c r="FP6" s="683"/>
      <c r="FQ6" s="683"/>
      <c r="FR6" s="683"/>
      <c r="FS6" s="683"/>
      <c r="FT6" s="683"/>
      <c r="FU6" s="683"/>
      <c r="FV6" s="683"/>
      <c r="FW6" s="683"/>
      <c r="FX6" s="683"/>
      <c r="FY6" s="683"/>
      <c r="FZ6" s="683"/>
      <c r="GA6" s="683"/>
      <c r="GB6" s="683"/>
      <c r="GC6" s="683"/>
      <c r="GD6" s="683"/>
      <c r="GE6" s="683"/>
      <c r="GF6" s="683"/>
      <c r="GG6" s="683"/>
      <c r="GH6" s="683"/>
      <c r="GI6" s="683"/>
      <c r="GJ6" s="683"/>
      <c r="GK6" s="683"/>
      <c r="GL6" s="683"/>
      <c r="GM6" s="683"/>
      <c r="GN6" s="683"/>
      <c r="GO6" s="683"/>
      <c r="GP6" s="683"/>
      <c r="GQ6" s="683"/>
      <c r="GR6" s="683"/>
      <c r="GS6" s="683"/>
      <c r="GT6" s="683"/>
      <c r="GU6" s="683"/>
      <c r="GV6" s="683"/>
      <c r="GW6" s="683"/>
      <c r="GX6" s="683"/>
      <c r="GY6" s="683"/>
      <c r="GZ6" s="683"/>
      <c r="HA6" s="683"/>
      <c r="HB6" s="683"/>
      <c r="HC6" s="683"/>
      <c r="HD6" s="683"/>
      <c r="HE6" s="683"/>
      <c r="HF6" s="683"/>
      <c r="HG6" s="683"/>
      <c r="HH6" s="683"/>
      <c r="HI6" s="683"/>
      <c r="HJ6" s="683"/>
      <c r="HK6" s="683"/>
      <c r="HL6" s="683"/>
      <c r="HM6" s="683"/>
      <c r="HN6" s="683"/>
      <c r="HO6" s="683"/>
      <c r="HP6" s="683"/>
      <c r="HQ6" s="683"/>
      <c r="HR6" s="683"/>
      <c r="HS6" s="683"/>
      <c r="HT6" s="683"/>
      <c r="HU6" s="683"/>
      <c r="HV6" s="683"/>
      <c r="HW6" s="683"/>
      <c r="HX6" s="683"/>
      <c r="HY6" s="683"/>
      <c r="HZ6" s="683"/>
      <c r="IA6" s="683"/>
      <c r="IB6" s="683"/>
      <c r="IC6" s="683"/>
      <c r="ID6" s="683"/>
      <c r="IE6" s="683"/>
      <c r="IF6" s="683"/>
      <c r="IG6" s="683"/>
      <c r="IH6" s="683"/>
      <c r="II6" s="683"/>
      <c r="IJ6" s="683"/>
      <c r="IK6" s="683"/>
      <c r="IL6" s="683"/>
      <c r="IM6" s="683"/>
      <c r="IN6" s="683"/>
      <c r="IO6" s="683"/>
      <c r="IP6" s="683"/>
      <c r="IQ6" s="683"/>
    </row>
    <row r="7" spans="1:251" ht="30" customHeight="1" x14ac:dyDescent="0.3">
      <c r="B7" s="2093" t="s">
        <v>18</v>
      </c>
      <c r="C7" s="2096" t="s">
        <v>19</v>
      </c>
      <c r="D7" s="2099" t="s">
        <v>6</v>
      </c>
      <c r="E7" s="2090" t="s">
        <v>21</v>
      </c>
      <c r="F7" s="2090" t="s">
        <v>754</v>
      </c>
      <c r="G7" s="2108" t="s">
        <v>1071</v>
      </c>
      <c r="H7" s="2105" t="s">
        <v>285</v>
      </c>
      <c r="I7" s="2084" t="s">
        <v>638</v>
      </c>
      <c r="J7" s="2085"/>
      <c r="K7" s="2085"/>
      <c r="L7" s="2086"/>
      <c r="M7" s="2087" t="s">
        <v>701</v>
      </c>
    </row>
    <row r="8" spans="1:251" ht="45.75" customHeight="1" x14ac:dyDescent="0.3">
      <c r="B8" s="2094"/>
      <c r="C8" s="2097"/>
      <c r="D8" s="2100"/>
      <c r="E8" s="2091"/>
      <c r="F8" s="2091"/>
      <c r="G8" s="2109"/>
      <c r="H8" s="2106"/>
      <c r="I8" s="674" t="s">
        <v>37</v>
      </c>
      <c r="J8" s="2102" t="s">
        <v>154</v>
      </c>
      <c r="K8" s="2102"/>
      <c r="L8" s="2103" t="s">
        <v>120</v>
      </c>
      <c r="M8" s="2088"/>
    </row>
    <row r="9" spans="1:251" ht="53.25" customHeight="1" thickBot="1" x14ac:dyDescent="0.35">
      <c r="B9" s="2095"/>
      <c r="C9" s="2098"/>
      <c r="D9" s="2101"/>
      <c r="E9" s="2092"/>
      <c r="F9" s="2092"/>
      <c r="G9" s="2110"/>
      <c r="H9" s="2107"/>
      <c r="I9" s="892" t="s">
        <v>40</v>
      </c>
      <c r="J9" s="707" t="s">
        <v>219</v>
      </c>
      <c r="K9" s="707" t="s">
        <v>155</v>
      </c>
      <c r="L9" s="2104"/>
      <c r="M9" s="2089"/>
    </row>
    <row r="10" spans="1:251" x14ac:dyDescent="0.3">
      <c r="A10" s="684">
        <v>1</v>
      </c>
      <c r="B10" s="891">
        <v>18</v>
      </c>
      <c r="C10" s="883" t="s">
        <v>31</v>
      </c>
      <c r="D10" s="695"/>
      <c r="E10" s="676"/>
      <c r="F10" s="696"/>
      <c r="G10" s="677"/>
      <c r="H10" s="924"/>
      <c r="I10" s="893"/>
      <c r="J10" s="708"/>
      <c r="K10" s="708"/>
      <c r="L10" s="709"/>
      <c r="M10" s="697"/>
    </row>
    <row r="11" spans="1:251" ht="33" x14ac:dyDescent="0.3">
      <c r="A11" s="684">
        <v>2</v>
      </c>
      <c r="B11" s="891"/>
      <c r="C11" s="704">
        <v>1</v>
      </c>
      <c r="D11" s="1230" t="s">
        <v>1072</v>
      </c>
      <c r="E11" s="700">
        <f>F11+G11+L14+M12</f>
        <v>20906</v>
      </c>
      <c r="F11" s="701">
        <v>5652</v>
      </c>
      <c r="G11" s="702">
        <v>4318</v>
      </c>
      <c r="H11" s="925" t="s">
        <v>24</v>
      </c>
      <c r="I11" s="1674"/>
      <c r="J11" s="1675"/>
      <c r="K11" s="1675"/>
      <c r="L11" s="1676"/>
      <c r="M11" s="697"/>
    </row>
    <row r="12" spans="1:251" x14ac:dyDescent="0.3">
      <c r="A12" s="684">
        <v>3</v>
      </c>
      <c r="B12" s="1677"/>
      <c r="C12" s="1678"/>
      <c r="D12" s="760" t="s">
        <v>292</v>
      </c>
      <c r="E12" s="1679"/>
      <c r="F12" s="1680"/>
      <c r="G12" s="1681"/>
      <c r="H12" s="1682"/>
      <c r="I12" s="1683"/>
      <c r="J12" s="1684">
        <f>5936+5000</f>
        <v>10936</v>
      </c>
      <c r="K12" s="1684"/>
      <c r="L12" s="1685">
        <f t="shared" ref="L12:L24" si="0">SUM(I12:K12)</f>
        <v>10936</v>
      </c>
      <c r="M12" s="1686"/>
    </row>
    <row r="13" spans="1:251" x14ac:dyDescent="0.3">
      <c r="A13" s="684">
        <v>4</v>
      </c>
      <c r="B13" s="698"/>
      <c r="C13" s="704"/>
      <c r="D13" s="1499" t="s">
        <v>929</v>
      </c>
      <c r="E13" s="700"/>
      <c r="F13" s="701"/>
      <c r="G13" s="702"/>
      <c r="H13" s="925"/>
      <c r="I13" s="894"/>
      <c r="J13" s="710"/>
      <c r="K13" s="710"/>
      <c r="L13" s="1611">
        <f>SUM(I13:K13)</f>
        <v>0</v>
      </c>
      <c r="M13" s="703"/>
    </row>
    <row r="14" spans="1:251" x14ac:dyDescent="0.3">
      <c r="A14" s="684">
        <v>5</v>
      </c>
      <c r="B14" s="698"/>
      <c r="C14" s="704"/>
      <c r="D14" s="641" t="s">
        <v>927</v>
      </c>
      <c r="E14" s="700"/>
      <c r="F14" s="701"/>
      <c r="G14" s="702"/>
      <c r="H14" s="925"/>
      <c r="I14" s="894"/>
      <c r="J14" s="1687">
        <f>SUM(J12:J13)</f>
        <v>10936</v>
      </c>
      <c r="K14" s="710"/>
      <c r="L14" s="1615">
        <f>SUM(I14:K14)</f>
        <v>10936</v>
      </c>
      <c r="M14" s="703"/>
    </row>
    <row r="15" spans="1:251" ht="33" x14ac:dyDescent="0.3">
      <c r="A15" s="684">
        <v>6</v>
      </c>
      <c r="B15" s="698"/>
      <c r="C15" s="704">
        <v>2</v>
      </c>
      <c r="D15" s="1230" t="s">
        <v>543</v>
      </c>
      <c r="E15" s="700">
        <f>F15+G15+L18+M16</f>
        <v>74372</v>
      </c>
      <c r="F15" s="700">
        <f>18391+26497</f>
        <v>44888</v>
      </c>
      <c r="G15" s="702">
        <v>29084</v>
      </c>
      <c r="H15" s="925" t="s">
        <v>24</v>
      </c>
      <c r="I15" s="894"/>
      <c r="J15" s="710"/>
      <c r="K15" s="710"/>
      <c r="L15" s="1688"/>
      <c r="M15" s="703"/>
    </row>
    <row r="16" spans="1:251" x14ac:dyDescent="0.3">
      <c r="A16" s="684">
        <v>7</v>
      </c>
      <c r="B16" s="1677"/>
      <c r="C16" s="1678"/>
      <c r="D16" s="760" t="s">
        <v>292</v>
      </c>
      <c r="E16" s="1679"/>
      <c r="F16" s="1679"/>
      <c r="G16" s="1681"/>
      <c r="H16" s="925"/>
      <c r="I16" s="1689"/>
      <c r="J16" s="1679">
        <v>400</v>
      </c>
      <c r="K16" s="1679"/>
      <c r="L16" s="1690">
        <f t="shared" si="0"/>
        <v>400</v>
      </c>
      <c r="M16" s="1686"/>
    </row>
    <row r="17" spans="1:23" x14ac:dyDescent="0.3">
      <c r="A17" s="684">
        <v>8</v>
      </c>
      <c r="B17" s="698"/>
      <c r="C17" s="704"/>
      <c r="D17" s="1499" t="s">
        <v>929</v>
      </c>
      <c r="E17" s="700"/>
      <c r="F17" s="700"/>
      <c r="G17" s="702"/>
      <c r="H17" s="925"/>
      <c r="I17" s="895"/>
      <c r="J17" s="700"/>
      <c r="K17" s="700"/>
      <c r="L17" s="1611">
        <f>SUM(I17:K17)</f>
        <v>0</v>
      </c>
      <c r="M17" s="703"/>
    </row>
    <row r="18" spans="1:23" x14ac:dyDescent="0.3">
      <c r="A18" s="684">
        <v>9</v>
      </c>
      <c r="B18" s="698"/>
      <c r="C18" s="704"/>
      <c r="D18" s="641" t="s">
        <v>927</v>
      </c>
      <c r="E18" s="700"/>
      <c r="F18" s="700"/>
      <c r="G18" s="702"/>
      <c r="H18" s="925"/>
      <c r="I18" s="895"/>
      <c r="J18" s="700">
        <f>SUM(J16:J17)</f>
        <v>400</v>
      </c>
      <c r="K18" s="700"/>
      <c r="L18" s="1615">
        <f>SUM(I18:K18)</f>
        <v>400</v>
      </c>
      <c r="M18" s="703"/>
    </row>
    <row r="19" spans="1:23" ht="16.5" x14ac:dyDescent="0.3">
      <c r="A19" s="684">
        <v>10</v>
      </c>
      <c r="B19" s="698"/>
      <c r="C19" s="699">
        <v>3</v>
      </c>
      <c r="D19" s="1230" t="s">
        <v>544</v>
      </c>
      <c r="E19" s="700">
        <f>F19+G19+L22+M20</f>
        <v>9675</v>
      </c>
      <c r="F19" s="700"/>
      <c r="G19" s="702">
        <v>2388</v>
      </c>
      <c r="H19" s="925" t="s">
        <v>24</v>
      </c>
      <c r="I19" s="895"/>
      <c r="J19" s="700"/>
      <c r="K19" s="700"/>
      <c r="L19" s="1688"/>
      <c r="M19" s="703"/>
    </row>
    <row r="20" spans="1:23" x14ac:dyDescent="0.3">
      <c r="A20" s="684">
        <v>11</v>
      </c>
      <c r="B20" s="1677"/>
      <c r="C20" s="1691"/>
      <c r="D20" s="760" t="s">
        <v>292</v>
      </c>
      <c r="E20" s="1679"/>
      <c r="F20" s="1679"/>
      <c r="G20" s="1681"/>
      <c r="H20" s="925"/>
      <c r="I20" s="1689"/>
      <c r="J20" s="1679">
        <v>7287</v>
      </c>
      <c r="K20" s="1679"/>
      <c r="L20" s="1690">
        <f t="shared" si="0"/>
        <v>7287</v>
      </c>
      <c r="M20" s="1686"/>
    </row>
    <row r="21" spans="1:23" x14ac:dyDescent="0.3">
      <c r="A21" s="684">
        <v>12</v>
      </c>
      <c r="B21" s="698"/>
      <c r="C21" s="699"/>
      <c r="D21" s="1499" t="s">
        <v>929</v>
      </c>
      <c r="E21" s="700"/>
      <c r="F21" s="700"/>
      <c r="G21" s="702"/>
      <c r="H21" s="925"/>
      <c r="I21" s="895"/>
      <c r="J21" s="700"/>
      <c r="K21" s="700"/>
      <c r="L21" s="1611">
        <f>SUM(I21:K21)</f>
        <v>0</v>
      </c>
      <c r="M21" s="703"/>
    </row>
    <row r="22" spans="1:23" x14ac:dyDescent="0.3">
      <c r="A22" s="684">
        <v>13</v>
      </c>
      <c r="B22" s="698"/>
      <c r="C22" s="699"/>
      <c r="D22" s="641" t="s">
        <v>927</v>
      </c>
      <c r="E22" s="700"/>
      <c r="F22" s="700"/>
      <c r="G22" s="702"/>
      <c r="H22" s="925"/>
      <c r="I22" s="895"/>
      <c r="J22" s="1692">
        <f>SUM(J20:J21)</f>
        <v>7287</v>
      </c>
      <c r="K22" s="700"/>
      <c r="L22" s="1615">
        <f>SUM(I22:K22)</f>
        <v>7287</v>
      </c>
      <c r="M22" s="703"/>
    </row>
    <row r="23" spans="1:23" ht="33" x14ac:dyDescent="0.3">
      <c r="A23" s="684">
        <v>14</v>
      </c>
      <c r="B23" s="698"/>
      <c r="C23" s="704">
        <v>4</v>
      </c>
      <c r="D23" s="1230" t="s">
        <v>545</v>
      </c>
      <c r="E23" s="700">
        <f>F23+G23+L26+M24</f>
        <v>4260</v>
      </c>
      <c r="F23" s="701">
        <v>305</v>
      </c>
      <c r="G23" s="702">
        <v>3557</v>
      </c>
      <c r="H23" s="925" t="s">
        <v>24</v>
      </c>
      <c r="I23" s="894"/>
      <c r="J23" s="710"/>
      <c r="K23" s="710"/>
      <c r="L23" s="711"/>
      <c r="M23" s="703"/>
    </row>
    <row r="24" spans="1:23" x14ac:dyDescent="0.3">
      <c r="A24" s="684">
        <v>15</v>
      </c>
      <c r="B24" s="1677"/>
      <c r="C24" s="1678"/>
      <c r="D24" s="760" t="s">
        <v>292</v>
      </c>
      <c r="E24" s="1679"/>
      <c r="F24" s="1680"/>
      <c r="G24" s="1681"/>
      <c r="H24" s="1682"/>
      <c r="I24" s="1683"/>
      <c r="J24" s="1684">
        <v>398</v>
      </c>
      <c r="K24" s="1684"/>
      <c r="L24" s="1685">
        <f t="shared" si="0"/>
        <v>398</v>
      </c>
      <c r="M24" s="1686"/>
    </row>
    <row r="25" spans="1:23" x14ac:dyDescent="0.3">
      <c r="A25" s="684">
        <v>16</v>
      </c>
      <c r="B25" s="698"/>
      <c r="C25" s="704"/>
      <c r="D25" s="1499" t="s">
        <v>929</v>
      </c>
      <c r="E25" s="700"/>
      <c r="F25" s="701"/>
      <c r="G25" s="702"/>
      <c r="H25" s="925"/>
      <c r="I25" s="894"/>
      <c r="J25" s="710"/>
      <c r="K25" s="710"/>
      <c r="L25" s="1611">
        <f>SUM(I25:K25)</f>
        <v>0</v>
      </c>
      <c r="M25" s="703"/>
    </row>
    <row r="26" spans="1:23" x14ac:dyDescent="0.3">
      <c r="A26" s="684">
        <v>17</v>
      </c>
      <c r="B26" s="698"/>
      <c r="C26" s="704"/>
      <c r="D26" s="641" t="s">
        <v>927</v>
      </c>
      <c r="E26" s="700"/>
      <c r="F26" s="701"/>
      <c r="G26" s="702"/>
      <c r="H26" s="925"/>
      <c r="I26" s="894"/>
      <c r="J26" s="1687">
        <f>SUM(J24:J25)</f>
        <v>398</v>
      </c>
      <c r="K26" s="710"/>
      <c r="L26" s="1615">
        <f>SUM(I26:K26)</f>
        <v>398</v>
      </c>
      <c r="M26" s="703"/>
    </row>
    <row r="27" spans="1:23" ht="16.5" x14ac:dyDescent="0.3">
      <c r="A27" s="684">
        <v>18</v>
      </c>
      <c r="B27" s="698"/>
      <c r="C27" s="704">
        <v>5</v>
      </c>
      <c r="D27" s="410" t="s">
        <v>554</v>
      </c>
      <c r="E27" s="700">
        <f>F27+G27+L30+M28</f>
        <v>3630</v>
      </c>
      <c r="F27" s="701">
        <f>3210+110+100+100</f>
        <v>3520</v>
      </c>
      <c r="G27" s="702">
        <v>100</v>
      </c>
      <c r="H27" s="925" t="s">
        <v>24</v>
      </c>
      <c r="I27" s="894"/>
      <c r="J27" s="710"/>
      <c r="K27" s="710"/>
      <c r="L27" s="711"/>
      <c r="M27" s="703"/>
    </row>
    <row r="28" spans="1:23" x14ac:dyDescent="0.3">
      <c r="A28" s="684">
        <v>19</v>
      </c>
      <c r="B28" s="1677"/>
      <c r="C28" s="1678"/>
      <c r="D28" s="760" t="s">
        <v>292</v>
      </c>
      <c r="E28" s="1679"/>
      <c r="F28" s="1680"/>
      <c r="G28" s="1681"/>
      <c r="H28" s="1682"/>
      <c r="I28" s="1683"/>
      <c r="J28" s="1684">
        <v>100</v>
      </c>
      <c r="K28" s="1684"/>
      <c r="L28" s="1685">
        <f t="shared" ref="L28" si="1">SUM(I28:K28)</f>
        <v>100</v>
      </c>
      <c r="M28" s="1686"/>
    </row>
    <row r="29" spans="1:23" x14ac:dyDescent="0.3">
      <c r="A29" s="684">
        <v>20</v>
      </c>
      <c r="B29" s="698"/>
      <c r="C29" s="704"/>
      <c r="D29" s="1499" t="s">
        <v>949</v>
      </c>
      <c r="E29" s="700"/>
      <c r="F29" s="701"/>
      <c r="G29" s="702"/>
      <c r="H29" s="925"/>
      <c r="I29" s="894"/>
      <c r="J29" s="1693">
        <v>-90</v>
      </c>
      <c r="K29" s="710"/>
      <c r="L29" s="1611">
        <f>SUM(I29:K29)</f>
        <v>-90</v>
      </c>
      <c r="M29" s="703"/>
    </row>
    <row r="30" spans="1:23" x14ac:dyDescent="0.3">
      <c r="A30" s="684">
        <v>21</v>
      </c>
      <c r="B30" s="698"/>
      <c r="C30" s="704"/>
      <c r="D30" s="641" t="s">
        <v>927</v>
      </c>
      <c r="E30" s="700"/>
      <c r="F30" s="701"/>
      <c r="G30" s="702"/>
      <c r="H30" s="925"/>
      <c r="I30" s="894"/>
      <c r="J30" s="1687">
        <f>SUM(J28:J29)</f>
        <v>10</v>
      </c>
      <c r="K30" s="710"/>
      <c r="L30" s="1615">
        <f>SUM(I30:K30)</f>
        <v>10</v>
      </c>
      <c r="M30" s="703"/>
    </row>
    <row r="31" spans="1:23" ht="16.5" x14ac:dyDescent="0.3">
      <c r="A31" s="684">
        <v>22</v>
      </c>
      <c r="B31" s="698"/>
      <c r="C31" s="704">
        <v>6</v>
      </c>
      <c r="D31" s="410" t="s">
        <v>555</v>
      </c>
      <c r="E31" s="700">
        <f>F31+G31+L34+M32</f>
        <v>188770</v>
      </c>
      <c r="F31" s="701">
        <f>84090+35890+22900</f>
        <v>142880</v>
      </c>
      <c r="G31" s="702">
        <v>22900</v>
      </c>
      <c r="H31" s="925" t="s">
        <v>24</v>
      </c>
      <c r="I31" s="894"/>
      <c r="J31" s="710"/>
      <c r="K31" s="710"/>
      <c r="L31" s="711"/>
      <c r="M31" s="703"/>
    </row>
    <row r="32" spans="1:23" x14ac:dyDescent="0.3">
      <c r="A32" s="684">
        <v>23</v>
      </c>
      <c r="B32" s="1677"/>
      <c r="C32" s="1678"/>
      <c r="D32" s="760" t="s">
        <v>292</v>
      </c>
      <c r="E32" s="1679"/>
      <c r="F32" s="1680"/>
      <c r="G32" s="1681"/>
      <c r="H32" s="1682"/>
      <c r="I32" s="1683"/>
      <c r="J32" s="1684">
        <v>22900</v>
      </c>
      <c r="K32" s="1684"/>
      <c r="L32" s="1685">
        <f t="shared" ref="L32" si="2">SUM(I32:K32)</f>
        <v>22900</v>
      </c>
      <c r="M32" s="1686"/>
      <c r="N32" s="685"/>
      <c r="O32" s="685"/>
      <c r="P32" s="685"/>
      <c r="Q32" s="685"/>
      <c r="R32" s="685"/>
      <c r="S32" s="685"/>
      <c r="T32" s="685"/>
      <c r="U32" s="685"/>
      <c r="V32" s="685"/>
      <c r="W32" s="685"/>
    </row>
    <row r="33" spans="1:251" x14ac:dyDescent="0.3">
      <c r="A33" s="684">
        <v>24</v>
      </c>
      <c r="B33" s="698"/>
      <c r="C33" s="704"/>
      <c r="D33" s="1499" t="s">
        <v>949</v>
      </c>
      <c r="E33" s="700"/>
      <c r="F33" s="701"/>
      <c r="G33" s="702"/>
      <c r="H33" s="925"/>
      <c r="I33" s="894"/>
      <c r="J33" s="1693">
        <v>90</v>
      </c>
      <c r="K33" s="710"/>
      <c r="L33" s="1611">
        <f>SUM(I33:K33)</f>
        <v>90</v>
      </c>
      <c r="M33" s="703"/>
    </row>
    <row r="34" spans="1:251" x14ac:dyDescent="0.3">
      <c r="A34" s="684">
        <v>25</v>
      </c>
      <c r="B34" s="698"/>
      <c r="C34" s="704"/>
      <c r="D34" s="641" t="s">
        <v>927</v>
      </c>
      <c r="E34" s="700"/>
      <c r="F34" s="701"/>
      <c r="G34" s="702"/>
      <c r="H34" s="925"/>
      <c r="I34" s="894"/>
      <c r="J34" s="1687">
        <f>SUM(J32:J33)</f>
        <v>22990</v>
      </c>
      <c r="K34" s="710"/>
      <c r="L34" s="1615">
        <f>SUM(I34:K34)</f>
        <v>22990</v>
      </c>
      <c r="M34" s="703"/>
    </row>
    <row r="35" spans="1:251" ht="16.5" x14ac:dyDescent="0.3">
      <c r="A35" s="684">
        <v>26</v>
      </c>
      <c r="B35" s="698"/>
      <c r="C35" s="704">
        <v>7</v>
      </c>
      <c r="D35" s="410" t="s">
        <v>556</v>
      </c>
      <c r="E35" s="700">
        <f>F35+G35+L38+M36</f>
        <v>100090</v>
      </c>
      <c r="F35" s="701">
        <f>100050+10+10</f>
        <v>100070</v>
      </c>
      <c r="G35" s="702">
        <v>10</v>
      </c>
      <c r="H35" s="925" t="s">
        <v>24</v>
      </c>
      <c r="I35" s="894"/>
      <c r="J35" s="710"/>
      <c r="K35" s="710"/>
      <c r="L35" s="711"/>
      <c r="M35" s="703"/>
    </row>
    <row r="36" spans="1:251" x14ac:dyDescent="0.3">
      <c r="A36" s="684">
        <v>27</v>
      </c>
      <c r="B36" s="1677"/>
      <c r="C36" s="1678"/>
      <c r="D36" s="760" t="s">
        <v>292</v>
      </c>
      <c r="E36" s="1679"/>
      <c r="F36" s="1680"/>
      <c r="G36" s="1681"/>
      <c r="H36" s="1682"/>
      <c r="I36" s="1683"/>
      <c r="J36" s="1684">
        <v>10</v>
      </c>
      <c r="K36" s="1684"/>
      <c r="L36" s="1685">
        <f t="shared" ref="L36" si="3">SUM(I36:K36)</f>
        <v>10</v>
      </c>
      <c r="M36" s="1686"/>
      <c r="N36" s="685"/>
      <c r="O36" s="685"/>
      <c r="P36" s="685"/>
      <c r="Q36" s="685"/>
      <c r="R36" s="685"/>
      <c r="S36" s="685"/>
      <c r="T36" s="685"/>
      <c r="U36" s="685"/>
      <c r="V36" s="685"/>
      <c r="W36" s="685"/>
      <c r="X36" s="685"/>
      <c r="Y36" s="685"/>
      <c r="Z36" s="685"/>
      <c r="AA36" s="685"/>
      <c r="AB36" s="685"/>
      <c r="AC36" s="685"/>
      <c r="AD36" s="685"/>
      <c r="AE36" s="685"/>
      <c r="AF36" s="685"/>
      <c r="AG36" s="685"/>
      <c r="AH36" s="685"/>
      <c r="AI36" s="685"/>
      <c r="AJ36" s="685"/>
      <c r="AK36" s="685"/>
      <c r="AL36" s="685"/>
      <c r="AM36" s="685"/>
      <c r="AN36" s="685"/>
      <c r="AO36" s="685"/>
      <c r="AP36" s="685"/>
      <c r="AQ36" s="685"/>
      <c r="AR36" s="685"/>
      <c r="AS36" s="685"/>
      <c r="AT36" s="685"/>
      <c r="AU36" s="685"/>
      <c r="AV36" s="685"/>
      <c r="AW36" s="685"/>
      <c r="AX36" s="685"/>
      <c r="AY36" s="685"/>
      <c r="AZ36" s="685"/>
      <c r="BA36" s="685"/>
      <c r="BB36" s="685"/>
      <c r="BC36" s="685"/>
      <c r="BD36" s="685"/>
      <c r="BE36" s="685"/>
      <c r="BF36" s="685"/>
      <c r="BG36" s="685"/>
      <c r="BH36" s="685"/>
      <c r="BI36" s="685"/>
      <c r="BJ36" s="685"/>
      <c r="BK36" s="685"/>
      <c r="BL36" s="685"/>
      <c r="BM36" s="685"/>
      <c r="BN36" s="685"/>
      <c r="BO36" s="685"/>
      <c r="BP36" s="685"/>
      <c r="BQ36" s="685"/>
      <c r="BR36" s="685"/>
      <c r="BS36" s="685"/>
      <c r="BT36" s="685"/>
      <c r="BU36" s="685"/>
      <c r="BV36" s="685"/>
      <c r="BW36" s="685"/>
      <c r="BX36" s="685"/>
      <c r="BY36" s="685"/>
      <c r="BZ36" s="685"/>
      <c r="CA36" s="685"/>
      <c r="CB36" s="685"/>
      <c r="CC36" s="685"/>
      <c r="CD36" s="685"/>
      <c r="CE36" s="685"/>
      <c r="CF36" s="685"/>
      <c r="CG36" s="685"/>
      <c r="CH36" s="685"/>
      <c r="CI36" s="685"/>
      <c r="CJ36" s="685"/>
      <c r="CK36" s="685"/>
      <c r="CL36" s="685"/>
      <c r="CM36" s="685"/>
      <c r="CN36" s="685"/>
      <c r="CO36" s="685"/>
      <c r="CP36" s="685"/>
      <c r="CQ36" s="685"/>
      <c r="CR36" s="685"/>
      <c r="CS36" s="685"/>
      <c r="CT36" s="685"/>
      <c r="CU36" s="685"/>
      <c r="CV36" s="685"/>
      <c r="CW36" s="685"/>
      <c r="CX36" s="685"/>
      <c r="CY36" s="685"/>
      <c r="CZ36" s="685"/>
      <c r="DA36" s="685"/>
      <c r="DB36" s="685"/>
      <c r="DC36" s="685"/>
      <c r="DD36" s="685"/>
      <c r="DE36" s="685"/>
      <c r="DF36" s="685"/>
      <c r="DG36" s="685"/>
      <c r="DH36" s="685"/>
      <c r="DI36" s="685"/>
      <c r="DJ36" s="685"/>
      <c r="DK36" s="685"/>
      <c r="DL36" s="685"/>
      <c r="DM36" s="685"/>
      <c r="DN36" s="685"/>
      <c r="DO36" s="685"/>
      <c r="DP36" s="685"/>
      <c r="DQ36" s="685"/>
      <c r="DR36" s="685"/>
      <c r="DS36" s="685"/>
      <c r="DT36" s="685"/>
      <c r="DU36" s="685"/>
      <c r="DV36" s="685"/>
      <c r="DW36" s="685"/>
      <c r="DX36" s="685"/>
      <c r="DY36" s="685"/>
      <c r="DZ36" s="685"/>
      <c r="EA36" s="685"/>
      <c r="EB36" s="685"/>
      <c r="EC36" s="685"/>
      <c r="ED36" s="685"/>
      <c r="EE36" s="685"/>
      <c r="EF36" s="685"/>
      <c r="EG36" s="685"/>
      <c r="EH36" s="685"/>
      <c r="EI36" s="685"/>
      <c r="EJ36" s="685"/>
      <c r="EK36" s="685"/>
      <c r="EL36" s="685"/>
      <c r="EM36" s="685"/>
      <c r="EN36" s="685"/>
      <c r="EO36" s="685"/>
      <c r="EP36" s="685"/>
      <c r="EQ36" s="685"/>
      <c r="ER36" s="685"/>
      <c r="ES36" s="685"/>
      <c r="ET36" s="685"/>
      <c r="EU36" s="685"/>
      <c r="EV36" s="685"/>
      <c r="EW36" s="685"/>
      <c r="EX36" s="685"/>
      <c r="EY36" s="685"/>
      <c r="EZ36" s="685"/>
      <c r="FA36" s="685"/>
      <c r="FB36" s="685"/>
      <c r="FC36" s="685"/>
      <c r="FD36" s="685"/>
      <c r="FE36" s="685"/>
      <c r="FF36" s="685"/>
      <c r="FG36" s="685"/>
      <c r="FH36" s="685"/>
      <c r="FI36" s="685"/>
      <c r="FJ36" s="685"/>
      <c r="FK36" s="685"/>
      <c r="FL36" s="685"/>
      <c r="FM36" s="685"/>
      <c r="FN36" s="685"/>
      <c r="FO36" s="685"/>
      <c r="FP36" s="685"/>
      <c r="FQ36" s="685"/>
      <c r="FR36" s="685"/>
      <c r="FS36" s="685"/>
      <c r="FT36" s="685"/>
      <c r="FU36" s="685"/>
      <c r="FV36" s="685"/>
      <c r="FW36" s="685"/>
      <c r="FX36" s="685"/>
      <c r="FY36" s="685"/>
      <c r="FZ36" s="685"/>
      <c r="GA36" s="685"/>
      <c r="GB36" s="685"/>
      <c r="GC36" s="685"/>
      <c r="GD36" s="685"/>
      <c r="GE36" s="685"/>
      <c r="GF36" s="685"/>
      <c r="GG36" s="685"/>
      <c r="GH36" s="685"/>
      <c r="GI36" s="685"/>
      <c r="GJ36" s="685"/>
      <c r="GK36" s="685"/>
      <c r="GL36" s="685"/>
      <c r="GM36" s="685"/>
      <c r="GN36" s="685"/>
      <c r="GO36" s="685"/>
      <c r="GP36" s="685"/>
      <c r="GQ36" s="685"/>
      <c r="GR36" s="685"/>
      <c r="GS36" s="685"/>
      <c r="GT36" s="685"/>
      <c r="GU36" s="685"/>
      <c r="GV36" s="685"/>
      <c r="GW36" s="685"/>
      <c r="GX36" s="685"/>
      <c r="GY36" s="685"/>
      <c r="GZ36" s="685"/>
      <c r="HA36" s="685"/>
      <c r="HB36" s="685"/>
      <c r="HC36" s="685"/>
      <c r="HD36" s="685"/>
      <c r="HE36" s="685"/>
      <c r="HF36" s="685"/>
      <c r="HG36" s="685"/>
      <c r="HH36" s="685"/>
      <c r="HI36" s="685"/>
      <c r="HJ36" s="685"/>
      <c r="HK36" s="685"/>
      <c r="HL36" s="685"/>
      <c r="HM36" s="685"/>
      <c r="HN36" s="685"/>
      <c r="HO36" s="685"/>
      <c r="HP36" s="685"/>
      <c r="HQ36" s="685"/>
      <c r="HR36" s="685"/>
      <c r="HS36" s="685"/>
      <c r="HT36" s="685"/>
      <c r="HU36" s="685"/>
      <c r="HV36" s="685"/>
      <c r="HW36" s="685"/>
      <c r="HX36" s="685"/>
      <c r="HY36" s="685"/>
      <c r="HZ36" s="685"/>
      <c r="IA36" s="685"/>
      <c r="IB36" s="685"/>
      <c r="IC36" s="685"/>
      <c r="ID36" s="685"/>
      <c r="IE36" s="685"/>
      <c r="IF36" s="685"/>
      <c r="IG36" s="685"/>
      <c r="IH36" s="685"/>
      <c r="II36" s="685"/>
      <c r="IJ36" s="685"/>
      <c r="IK36" s="685"/>
      <c r="IL36" s="685"/>
      <c r="IM36" s="685"/>
      <c r="IN36" s="685"/>
      <c r="IO36" s="685"/>
      <c r="IP36" s="685"/>
      <c r="IQ36" s="685"/>
    </row>
    <row r="37" spans="1:251" x14ac:dyDescent="0.3">
      <c r="A37" s="684">
        <v>28</v>
      </c>
      <c r="B37" s="698"/>
      <c r="C37" s="704"/>
      <c r="D37" s="1499" t="s">
        <v>929</v>
      </c>
      <c r="E37" s="700"/>
      <c r="F37" s="701"/>
      <c r="G37" s="702"/>
      <c r="H37" s="925"/>
      <c r="I37" s="894"/>
      <c r="J37" s="710"/>
      <c r="K37" s="710"/>
      <c r="L37" s="1611">
        <f>SUM(I37:K37)</f>
        <v>0</v>
      </c>
      <c r="M37" s="703"/>
      <c r="N37" s="685"/>
      <c r="O37" s="685"/>
      <c r="P37" s="685"/>
      <c r="Q37" s="685"/>
      <c r="R37" s="685"/>
      <c r="S37" s="685"/>
      <c r="T37" s="685"/>
      <c r="U37" s="685"/>
      <c r="V37" s="685"/>
      <c r="W37" s="685"/>
      <c r="X37" s="685"/>
      <c r="Y37" s="685"/>
      <c r="Z37" s="685"/>
      <c r="AA37" s="685"/>
      <c r="AB37" s="685"/>
      <c r="AC37" s="685"/>
      <c r="AD37" s="685"/>
      <c r="AE37" s="685"/>
      <c r="AF37" s="685"/>
      <c r="AG37" s="685"/>
      <c r="AH37" s="685"/>
      <c r="AI37" s="685"/>
      <c r="AJ37" s="685"/>
      <c r="AK37" s="685"/>
      <c r="AL37" s="685"/>
      <c r="AM37" s="685"/>
      <c r="AN37" s="685"/>
      <c r="AO37" s="685"/>
      <c r="AP37" s="685"/>
      <c r="AQ37" s="685"/>
      <c r="AR37" s="685"/>
      <c r="AS37" s="685"/>
      <c r="AT37" s="685"/>
      <c r="AU37" s="685"/>
      <c r="AV37" s="685"/>
      <c r="AW37" s="685"/>
      <c r="AX37" s="685"/>
      <c r="AY37" s="685"/>
      <c r="AZ37" s="685"/>
      <c r="BA37" s="685"/>
      <c r="BB37" s="685"/>
      <c r="BC37" s="685"/>
      <c r="BD37" s="685"/>
      <c r="BE37" s="685"/>
      <c r="BF37" s="685"/>
      <c r="BG37" s="685"/>
      <c r="BH37" s="685"/>
      <c r="BI37" s="685"/>
      <c r="BJ37" s="685"/>
      <c r="BK37" s="685"/>
      <c r="BL37" s="685"/>
      <c r="BM37" s="685"/>
      <c r="BN37" s="685"/>
      <c r="BO37" s="685"/>
      <c r="BP37" s="685"/>
      <c r="BQ37" s="685"/>
      <c r="BR37" s="685"/>
      <c r="BS37" s="685"/>
      <c r="BT37" s="685"/>
      <c r="BU37" s="685"/>
      <c r="BV37" s="685"/>
      <c r="BW37" s="685"/>
      <c r="BX37" s="685"/>
      <c r="BY37" s="685"/>
      <c r="BZ37" s="685"/>
      <c r="CA37" s="685"/>
      <c r="CB37" s="685"/>
      <c r="CC37" s="685"/>
      <c r="CD37" s="685"/>
      <c r="CE37" s="685"/>
      <c r="CF37" s="685"/>
      <c r="CG37" s="685"/>
      <c r="CH37" s="685"/>
      <c r="CI37" s="685"/>
      <c r="CJ37" s="685"/>
      <c r="CK37" s="685"/>
      <c r="CL37" s="685"/>
      <c r="CM37" s="685"/>
      <c r="CN37" s="685"/>
      <c r="CO37" s="685"/>
      <c r="CP37" s="685"/>
      <c r="CQ37" s="685"/>
      <c r="CR37" s="685"/>
      <c r="CS37" s="685"/>
      <c r="CT37" s="685"/>
      <c r="CU37" s="685"/>
      <c r="CV37" s="685"/>
      <c r="CW37" s="685"/>
      <c r="CX37" s="685"/>
      <c r="CY37" s="685"/>
      <c r="CZ37" s="685"/>
      <c r="DA37" s="685"/>
      <c r="DB37" s="685"/>
      <c r="DC37" s="685"/>
      <c r="DD37" s="685"/>
      <c r="DE37" s="685"/>
      <c r="DF37" s="685"/>
      <c r="DG37" s="685"/>
      <c r="DH37" s="685"/>
      <c r="DI37" s="685"/>
      <c r="DJ37" s="685"/>
      <c r="DK37" s="685"/>
      <c r="DL37" s="685"/>
      <c r="DM37" s="685"/>
      <c r="DN37" s="685"/>
      <c r="DO37" s="685"/>
      <c r="DP37" s="685"/>
      <c r="DQ37" s="685"/>
      <c r="DR37" s="685"/>
      <c r="DS37" s="685"/>
      <c r="DT37" s="685"/>
      <c r="DU37" s="685"/>
      <c r="DV37" s="685"/>
      <c r="DW37" s="685"/>
      <c r="DX37" s="685"/>
      <c r="DY37" s="685"/>
      <c r="DZ37" s="685"/>
      <c r="EA37" s="685"/>
      <c r="EB37" s="685"/>
      <c r="EC37" s="685"/>
      <c r="ED37" s="685"/>
      <c r="EE37" s="685"/>
      <c r="EF37" s="685"/>
      <c r="EG37" s="685"/>
      <c r="EH37" s="685"/>
      <c r="EI37" s="685"/>
      <c r="EJ37" s="685"/>
      <c r="EK37" s="685"/>
      <c r="EL37" s="685"/>
      <c r="EM37" s="685"/>
      <c r="EN37" s="685"/>
      <c r="EO37" s="685"/>
      <c r="EP37" s="685"/>
      <c r="EQ37" s="685"/>
      <c r="ER37" s="685"/>
      <c r="ES37" s="685"/>
      <c r="ET37" s="685"/>
      <c r="EU37" s="685"/>
      <c r="EV37" s="685"/>
      <c r="EW37" s="685"/>
      <c r="EX37" s="685"/>
      <c r="EY37" s="685"/>
      <c r="EZ37" s="685"/>
      <c r="FA37" s="685"/>
      <c r="FB37" s="685"/>
      <c r="FC37" s="685"/>
      <c r="FD37" s="685"/>
      <c r="FE37" s="685"/>
      <c r="FF37" s="685"/>
      <c r="FG37" s="685"/>
      <c r="FH37" s="685"/>
      <c r="FI37" s="685"/>
      <c r="FJ37" s="685"/>
      <c r="FK37" s="685"/>
      <c r="FL37" s="685"/>
      <c r="FM37" s="685"/>
      <c r="FN37" s="685"/>
      <c r="FO37" s="685"/>
      <c r="FP37" s="685"/>
      <c r="FQ37" s="685"/>
      <c r="FR37" s="685"/>
      <c r="FS37" s="685"/>
      <c r="FT37" s="685"/>
      <c r="FU37" s="685"/>
      <c r="FV37" s="685"/>
      <c r="FW37" s="685"/>
      <c r="FX37" s="685"/>
      <c r="FY37" s="685"/>
      <c r="FZ37" s="685"/>
      <c r="GA37" s="685"/>
      <c r="GB37" s="685"/>
      <c r="GC37" s="685"/>
      <c r="GD37" s="685"/>
      <c r="GE37" s="685"/>
      <c r="GF37" s="685"/>
      <c r="GG37" s="685"/>
      <c r="GH37" s="685"/>
      <c r="GI37" s="685"/>
      <c r="GJ37" s="685"/>
      <c r="GK37" s="685"/>
      <c r="GL37" s="685"/>
      <c r="GM37" s="685"/>
      <c r="GN37" s="685"/>
      <c r="GO37" s="685"/>
      <c r="GP37" s="685"/>
      <c r="GQ37" s="685"/>
      <c r="GR37" s="685"/>
      <c r="GS37" s="685"/>
      <c r="GT37" s="685"/>
      <c r="GU37" s="685"/>
      <c r="GV37" s="685"/>
      <c r="GW37" s="685"/>
      <c r="GX37" s="685"/>
      <c r="GY37" s="685"/>
      <c r="GZ37" s="685"/>
      <c r="HA37" s="685"/>
      <c r="HB37" s="685"/>
      <c r="HC37" s="685"/>
      <c r="HD37" s="685"/>
      <c r="HE37" s="685"/>
      <c r="HF37" s="685"/>
      <c r="HG37" s="685"/>
      <c r="HH37" s="685"/>
      <c r="HI37" s="685"/>
      <c r="HJ37" s="685"/>
      <c r="HK37" s="685"/>
      <c r="HL37" s="685"/>
      <c r="HM37" s="685"/>
      <c r="HN37" s="685"/>
      <c r="HO37" s="685"/>
      <c r="HP37" s="685"/>
      <c r="HQ37" s="685"/>
      <c r="HR37" s="685"/>
      <c r="HS37" s="685"/>
      <c r="HT37" s="685"/>
      <c r="HU37" s="685"/>
      <c r="HV37" s="685"/>
      <c r="HW37" s="685"/>
      <c r="HX37" s="685"/>
      <c r="HY37" s="685"/>
      <c r="HZ37" s="685"/>
      <c r="IA37" s="685"/>
      <c r="IB37" s="685"/>
      <c r="IC37" s="685"/>
      <c r="ID37" s="685"/>
      <c r="IE37" s="685"/>
      <c r="IF37" s="685"/>
      <c r="IG37" s="685"/>
      <c r="IH37" s="685"/>
      <c r="II37" s="685"/>
      <c r="IJ37" s="685"/>
      <c r="IK37" s="685"/>
      <c r="IL37" s="685"/>
      <c r="IM37" s="685"/>
      <c r="IN37" s="685"/>
      <c r="IO37" s="685"/>
      <c r="IP37" s="685"/>
      <c r="IQ37" s="685"/>
    </row>
    <row r="38" spans="1:251" x14ac:dyDescent="0.3">
      <c r="A38" s="684">
        <v>29</v>
      </c>
      <c r="B38" s="698"/>
      <c r="C38" s="704"/>
      <c r="D38" s="641" t="s">
        <v>927</v>
      </c>
      <c r="E38" s="700"/>
      <c r="F38" s="701"/>
      <c r="G38" s="702"/>
      <c r="H38" s="925"/>
      <c r="I38" s="894"/>
      <c r="J38" s="1687">
        <f>SUM(J36:J37)</f>
        <v>10</v>
      </c>
      <c r="K38" s="710"/>
      <c r="L38" s="1615">
        <f>SUM(I38:K38)</f>
        <v>10</v>
      </c>
      <c r="M38" s="703"/>
      <c r="N38" s="685"/>
      <c r="O38" s="685"/>
      <c r="P38" s="685"/>
      <c r="Q38" s="685"/>
      <c r="R38" s="685"/>
      <c r="S38" s="685"/>
      <c r="T38" s="685"/>
      <c r="U38" s="685"/>
      <c r="V38" s="685"/>
      <c r="W38" s="685"/>
      <c r="X38" s="685"/>
      <c r="Y38" s="685"/>
      <c r="Z38" s="685"/>
      <c r="AA38" s="685"/>
      <c r="AB38" s="685"/>
      <c r="AC38" s="685"/>
      <c r="AD38" s="685"/>
      <c r="AE38" s="685"/>
      <c r="AF38" s="685"/>
      <c r="AG38" s="685"/>
      <c r="AH38" s="685"/>
      <c r="AI38" s="685"/>
      <c r="AJ38" s="685"/>
      <c r="AK38" s="685"/>
      <c r="AL38" s="685"/>
      <c r="AM38" s="685"/>
      <c r="AN38" s="685"/>
      <c r="AO38" s="685"/>
      <c r="AP38" s="685"/>
      <c r="AQ38" s="685"/>
      <c r="AR38" s="685"/>
      <c r="AS38" s="685"/>
      <c r="AT38" s="685"/>
      <c r="AU38" s="685"/>
      <c r="AV38" s="685"/>
      <c r="AW38" s="685"/>
      <c r="AX38" s="685"/>
      <c r="AY38" s="685"/>
      <c r="AZ38" s="685"/>
      <c r="BA38" s="685"/>
      <c r="BB38" s="685"/>
      <c r="BC38" s="685"/>
      <c r="BD38" s="685"/>
      <c r="BE38" s="685"/>
      <c r="BF38" s="685"/>
      <c r="BG38" s="685"/>
      <c r="BH38" s="685"/>
      <c r="BI38" s="685"/>
      <c r="BJ38" s="685"/>
      <c r="BK38" s="685"/>
      <c r="BL38" s="685"/>
      <c r="BM38" s="685"/>
      <c r="BN38" s="685"/>
      <c r="BO38" s="685"/>
      <c r="BP38" s="685"/>
      <c r="BQ38" s="685"/>
      <c r="BR38" s="685"/>
      <c r="BS38" s="685"/>
      <c r="BT38" s="685"/>
      <c r="BU38" s="685"/>
      <c r="BV38" s="685"/>
      <c r="BW38" s="685"/>
      <c r="BX38" s="685"/>
      <c r="BY38" s="685"/>
      <c r="BZ38" s="685"/>
      <c r="CA38" s="685"/>
      <c r="CB38" s="685"/>
      <c r="CC38" s="685"/>
      <c r="CD38" s="685"/>
      <c r="CE38" s="685"/>
      <c r="CF38" s="685"/>
      <c r="CG38" s="685"/>
      <c r="CH38" s="685"/>
      <c r="CI38" s="685"/>
      <c r="CJ38" s="685"/>
      <c r="CK38" s="685"/>
      <c r="CL38" s="685"/>
      <c r="CM38" s="685"/>
      <c r="CN38" s="685"/>
      <c r="CO38" s="685"/>
      <c r="CP38" s="685"/>
      <c r="CQ38" s="685"/>
      <c r="CR38" s="685"/>
      <c r="CS38" s="685"/>
      <c r="CT38" s="685"/>
      <c r="CU38" s="685"/>
      <c r="CV38" s="685"/>
      <c r="CW38" s="685"/>
      <c r="CX38" s="685"/>
      <c r="CY38" s="685"/>
      <c r="CZ38" s="685"/>
      <c r="DA38" s="685"/>
      <c r="DB38" s="685"/>
      <c r="DC38" s="685"/>
      <c r="DD38" s="685"/>
      <c r="DE38" s="685"/>
      <c r="DF38" s="685"/>
      <c r="DG38" s="685"/>
      <c r="DH38" s="685"/>
      <c r="DI38" s="685"/>
      <c r="DJ38" s="685"/>
      <c r="DK38" s="685"/>
      <c r="DL38" s="685"/>
      <c r="DM38" s="685"/>
      <c r="DN38" s="685"/>
      <c r="DO38" s="685"/>
      <c r="DP38" s="685"/>
      <c r="DQ38" s="685"/>
      <c r="DR38" s="685"/>
      <c r="DS38" s="685"/>
      <c r="DT38" s="685"/>
      <c r="DU38" s="685"/>
      <c r="DV38" s="685"/>
      <c r="DW38" s="685"/>
      <c r="DX38" s="685"/>
      <c r="DY38" s="685"/>
      <c r="DZ38" s="685"/>
      <c r="EA38" s="685"/>
      <c r="EB38" s="685"/>
      <c r="EC38" s="685"/>
      <c r="ED38" s="685"/>
      <c r="EE38" s="685"/>
      <c r="EF38" s="685"/>
      <c r="EG38" s="685"/>
      <c r="EH38" s="685"/>
      <c r="EI38" s="685"/>
      <c r="EJ38" s="685"/>
      <c r="EK38" s="685"/>
      <c r="EL38" s="685"/>
      <c r="EM38" s="685"/>
      <c r="EN38" s="685"/>
      <c r="EO38" s="685"/>
      <c r="EP38" s="685"/>
      <c r="EQ38" s="685"/>
      <c r="ER38" s="685"/>
      <c r="ES38" s="685"/>
      <c r="ET38" s="685"/>
      <c r="EU38" s="685"/>
      <c r="EV38" s="685"/>
      <c r="EW38" s="685"/>
      <c r="EX38" s="685"/>
      <c r="EY38" s="685"/>
      <c r="EZ38" s="685"/>
      <c r="FA38" s="685"/>
      <c r="FB38" s="685"/>
      <c r="FC38" s="685"/>
      <c r="FD38" s="685"/>
      <c r="FE38" s="685"/>
      <c r="FF38" s="685"/>
      <c r="FG38" s="685"/>
      <c r="FH38" s="685"/>
      <c r="FI38" s="685"/>
      <c r="FJ38" s="685"/>
      <c r="FK38" s="685"/>
      <c r="FL38" s="685"/>
      <c r="FM38" s="685"/>
      <c r="FN38" s="685"/>
      <c r="FO38" s="685"/>
      <c r="FP38" s="685"/>
      <c r="FQ38" s="685"/>
      <c r="FR38" s="685"/>
      <c r="FS38" s="685"/>
      <c r="FT38" s="685"/>
      <c r="FU38" s="685"/>
      <c r="FV38" s="685"/>
      <c r="FW38" s="685"/>
      <c r="FX38" s="685"/>
      <c r="FY38" s="685"/>
      <c r="FZ38" s="685"/>
      <c r="GA38" s="685"/>
      <c r="GB38" s="685"/>
      <c r="GC38" s="685"/>
      <c r="GD38" s="685"/>
      <c r="GE38" s="685"/>
      <c r="GF38" s="685"/>
      <c r="GG38" s="685"/>
      <c r="GH38" s="685"/>
      <c r="GI38" s="685"/>
      <c r="GJ38" s="685"/>
      <c r="GK38" s="685"/>
      <c r="GL38" s="685"/>
      <c r="GM38" s="685"/>
      <c r="GN38" s="685"/>
      <c r="GO38" s="685"/>
      <c r="GP38" s="685"/>
      <c r="GQ38" s="685"/>
      <c r="GR38" s="685"/>
      <c r="GS38" s="685"/>
      <c r="GT38" s="685"/>
      <c r="GU38" s="685"/>
      <c r="GV38" s="685"/>
      <c r="GW38" s="685"/>
      <c r="GX38" s="685"/>
      <c r="GY38" s="685"/>
      <c r="GZ38" s="685"/>
      <c r="HA38" s="685"/>
      <c r="HB38" s="685"/>
      <c r="HC38" s="685"/>
      <c r="HD38" s="685"/>
      <c r="HE38" s="685"/>
      <c r="HF38" s="685"/>
      <c r="HG38" s="685"/>
      <c r="HH38" s="685"/>
      <c r="HI38" s="685"/>
      <c r="HJ38" s="685"/>
      <c r="HK38" s="685"/>
      <c r="HL38" s="685"/>
      <c r="HM38" s="685"/>
      <c r="HN38" s="685"/>
      <c r="HO38" s="685"/>
      <c r="HP38" s="685"/>
      <c r="HQ38" s="685"/>
      <c r="HR38" s="685"/>
      <c r="HS38" s="685"/>
      <c r="HT38" s="685"/>
      <c r="HU38" s="685"/>
      <c r="HV38" s="685"/>
      <c r="HW38" s="685"/>
      <c r="HX38" s="685"/>
      <c r="HY38" s="685"/>
      <c r="HZ38" s="685"/>
      <c r="IA38" s="685"/>
      <c r="IB38" s="685"/>
      <c r="IC38" s="685"/>
      <c r="ID38" s="685"/>
      <c r="IE38" s="685"/>
      <c r="IF38" s="685"/>
      <c r="IG38" s="685"/>
      <c r="IH38" s="685"/>
      <c r="II38" s="685"/>
      <c r="IJ38" s="685"/>
      <c r="IK38" s="685"/>
      <c r="IL38" s="685"/>
      <c r="IM38" s="685"/>
      <c r="IN38" s="685"/>
      <c r="IO38" s="685"/>
      <c r="IP38" s="685"/>
      <c r="IQ38" s="685"/>
    </row>
    <row r="39" spans="1:251" ht="16.5" x14ac:dyDescent="0.3">
      <c r="A39" s="684">
        <v>30</v>
      </c>
      <c r="B39" s="698"/>
      <c r="C39" s="704">
        <v>8</v>
      </c>
      <c r="D39" s="410" t="s">
        <v>557</v>
      </c>
      <c r="E39" s="700">
        <f>F39+G39+L42+M40</f>
        <v>859910</v>
      </c>
      <c r="F39" s="701">
        <f>379950+119990+119990</f>
        <v>619930</v>
      </c>
      <c r="G39" s="702">
        <v>119990</v>
      </c>
      <c r="H39" s="925" t="s">
        <v>24</v>
      </c>
      <c r="I39" s="894"/>
      <c r="J39" s="710"/>
      <c r="K39" s="710"/>
      <c r="L39" s="711"/>
      <c r="M39" s="703"/>
      <c r="N39" s="685"/>
      <c r="O39" s="685"/>
      <c r="P39" s="685"/>
      <c r="Q39" s="685"/>
      <c r="R39" s="685"/>
      <c r="S39" s="685"/>
      <c r="T39" s="685"/>
      <c r="U39" s="685"/>
      <c r="V39" s="685"/>
      <c r="W39" s="685"/>
      <c r="X39" s="685"/>
      <c r="Y39" s="685"/>
      <c r="Z39" s="685"/>
      <c r="AA39" s="685"/>
      <c r="AB39" s="685"/>
      <c r="AC39" s="685"/>
      <c r="AD39" s="685"/>
      <c r="AE39" s="685"/>
      <c r="AF39" s="685"/>
      <c r="AG39" s="685"/>
      <c r="AH39" s="685"/>
      <c r="AI39" s="685"/>
      <c r="AJ39" s="685"/>
      <c r="AK39" s="685"/>
      <c r="AL39" s="685"/>
      <c r="AM39" s="685"/>
      <c r="AN39" s="685"/>
      <c r="AO39" s="685"/>
      <c r="AP39" s="685"/>
      <c r="AQ39" s="685"/>
      <c r="AR39" s="685"/>
      <c r="AS39" s="685"/>
      <c r="AT39" s="685"/>
      <c r="AU39" s="685"/>
      <c r="AV39" s="685"/>
      <c r="AW39" s="685"/>
      <c r="AX39" s="685"/>
      <c r="AY39" s="685"/>
      <c r="AZ39" s="685"/>
      <c r="BA39" s="685"/>
      <c r="BB39" s="685"/>
      <c r="BC39" s="685"/>
      <c r="BD39" s="685"/>
      <c r="BE39" s="685"/>
      <c r="BF39" s="685"/>
      <c r="BG39" s="685"/>
      <c r="BH39" s="685"/>
      <c r="BI39" s="685"/>
      <c r="BJ39" s="685"/>
      <c r="BK39" s="685"/>
      <c r="BL39" s="685"/>
      <c r="BM39" s="685"/>
      <c r="BN39" s="685"/>
      <c r="BO39" s="685"/>
      <c r="BP39" s="685"/>
      <c r="BQ39" s="685"/>
      <c r="BR39" s="685"/>
      <c r="BS39" s="685"/>
      <c r="BT39" s="685"/>
      <c r="BU39" s="685"/>
      <c r="BV39" s="685"/>
      <c r="BW39" s="685"/>
      <c r="BX39" s="685"/>
      <c r="BY39" s="685"/>
      <c r="BZ39" s="685"/>
      <c r="CA39" s="685"/>
      <c r="CB39" s="685"/>
      <c r="CC39" s="685"/>
      <c r="CD39" s="685"/>
      <c r="CE39" s="685"/>
      <c r="CF39" s="685"/>
      <c r="CG39" s="685"/>
      <c r="CH39" s="685"/>
      <c r="CI39" s="685"/>
      <c r="CJ39" s="685"/>
      <c r="CK39" s="685"/>
      <c r="CL39" s="685"/>
      <c r="CM39" s="685"/>
      <c r="CN39" s="685"/>
      <c r="CO39" s="685"/>
      <c r="CP39" s="685"/>
      <c r="CQ39" s="685"/>
      <c r="CR39" s="685"/>
      <c r="CS39" s="685"/>
      <c r="CT39" s="685"/>
      <c r="CU39" s="685"/>
      <c r="CV39" s="685"/>
      <c r="CW39" s="685"/>
      <c r="CX39" s="685"/>
      <c r="CY39" s="685"/>
      <c r="CZ39" s="685"/>
      <c r="DA39" s="685"/>
      <c r="DB39" s="685"/>
      <c r="DC39" s="685"/>
      <c r="DD39" s="685"/>
      <c r="DE39" s="685"/>
      <c r="DF39" s="685"/>
      <c r="DG39" s="685"/>
      <c r="DH39" s="685"/>
      <c r="DI39" s="685"/>
      <c r="DJ39" s="685"/>
      <c r="DK39" s="685"/>
      <c r="DL39" s="685"/>
      <c r="DM39" s="685"/>
      <c r="DN39" s="685"/>
      <c r="DO39" s="685"/>
      <c r="DP39" s="685"/>
      <c r="DQ39" s="685"/>
      <c r="DR39" s="685"/>
      <c r="DS39" s="685"/>
      <c r="DT39" s="685"/>
      <c r="DU39" s="685"/>
      <c r="DV39" s="685"/>
      <c r="DW39" s="685"/>
      <c r="DX39" s="685"/>
      <c r="DY39" s="685"/>
      <c r="DZ39" s="685"/>
      <c r="EA39" s="685"/>
      <c r="EB39" s="685"/>
      <c r="EC39" s="685"/>
      <c r="ED39" s="685"/>
      <c r="EE39" s="685"/>
      <c r="EF39" s="685"/>
      <c r="EG39" s="685"/>
      <c r="EH39" s="685"/>
      <c r="EI39" s="685"/>
      <c r="EJ39" s="685"/>
      <c r="EK39" s="685"/>
      <c r="EL39" s="685"/>
      <c r="EM39" s="685"/>
      <c r="EN39" s="685"/>
      <c r="EO39" s="685"/>
      <c r="EP39" s="685"/>
      <c r="EQ39" s="685"/>
      <c r="ER39" s="685"/>
      <c r="ES39" s="685"/>
      <c r="ET39" s="685"/>
      <c r="EU39" s="685"/>
      <c r="EV39" s="685"/>
      <c r="EW39" s="685"/>
      <c r="EX39" s="685"/>
      <c r="EY39" s="685"/>
      <c r="EZ39" s="685"/>
      <c r="FA39" s="685"/>
      <c r="FB39" s="685"/>
      <c r="FC39" s="685"/>
      <c r="FD39" s="685"/>
      <c r="FE39" s="685"/>
      <c r="FF39" s="685"/>
      <c r="FG39" s="685"/>
      <c r="FH39" s="685"/>
      <c r="FI39" s="685"/>
      <c r="FJ39" s="685"/>
      <c r="FK39" s="685"/>
      <c r="FL39" s="685"/>
      <c r="FM39" s="685"/>
      <c r="FN39" s="685"/>
      <c r="FO39" s="685"/>
      <c r="FP39" s="685"/>
      <c r="FQ39" s="685"/>
      <c r="FR39" s="685"/>
      <c r="FS39" s="685"/>
      <c r="FT39" s="685"/>
      <c r="FU39" s="685"/>
      <c r="FV39" s="685"/>
      <c r="FW39" s="685"/>
      <c r="FX39" s="685"/>
      <c r="FY39" s="685"/>
      <c r="FZ39" s="685"/>
      <c r="GA39" s="685"/>
      <c r="GB39" s="685"/>
      <c r="GC39" s="685"/>
      <c r="GD39" s="685"/>
      <c r="GE39" s="685"/>
      <c r="GF39" s="685"/>
      <c r="GG39" s="685"/>
      <c r="GH39" s="685"/>
      <c r="GI39" s="685"/>
      <c r="GJ39" s="685"/>
      <c r="GK39" s="685"/>
      <c r="GL39" s="685"/>
      <c r="GM39" s="685"/>
      <c r="GN39" s="685"/>
      <c r="GO39" s="685"/>
      <c r="GP39" s="685"/>
      <c r="GQ39" s="685"/>
      <c r="GR39" s="685"/>
      <c r="GS39" s="685"/>
      <c r="GT39" s="685"/>
      <c r="GU39" s="685"/>
      <c r="GV39" s="685"/>
      <c r="GW39" s="685"/>
      <c r="GX39" s="685"/>
      <c r="GY39" s="685"/>
      <c r="GZ39" s="685"/>
      <c r="HA39" s="685"/>
      <c r="HB39" s="685"/>
      <c r="HC39" s="685"/>
      <c r="HD39" s="685"/>
      <c r="HE39" s="685"/>
      <c r="HF39" s="685"/>
      <c r="HG39" s="685"/>
      <c r="HH39" s="685"/>
      <c r="HI39" s="685"/>
      <c r="HJ39" s="685"/>
      <c r="HK39" s="685"/>
      <c r="HL39" s="685"/>
      <c r="HM39" s="685"/>
      <c r="HN39" s="685"/>
      <c r="HO39" s="685"/>
      <c r="HP39" s="685"/>
      <c r="HQ39" s="685"/>
      <c r="HR39" s="685"/>
      <c r="HS39" s="685"/>
      <c r="HT39" s="685"/>
      <c r="HU39" s="685"/>
      <c r="HV39" s="685"/>
      <c r="HW39" s="685"/>
      <c r="HX39" s="685"/>
      <c r="HY39" s="685"/>
      <c r="HZ39" s="685"/>
      <c r="IA39" s="685"/>
      <c r="IB39" s="685"/>
      <c r="IC39" s="685"/>
      <c r="ID39" s="685"/>
      <c r="IE39" s="685"/>
      <c r="IF39" s="685"/>
      <c r="IG39" s="685"/>
      <c r="IH39" s="685"/>
      <c r="II39" s="685"/>
      <c r="IJ39" s="685"/>
      <c r="IK39" s="685"/>
      <c r="IL39" s="685"/>
      <c r="IM39" s="685"/>
      <c r="IN39" s="685"/>
      <c r="IO39" s="685"/>
      <c r="IP39" s="685"/>
      <c r="IQ39" s="685"/>
    </row>
    <row r="40" spans="1:251" x14ac:dyDescent="0.3">
      <c r="A40" s="684">
        <v>31</v>
      </c>
      <c r="B40" s="1677"/>
      <c r="C40" s="1678"/>
      <c r="D40" s="760" t="s">
        <v>292</v>
      </c>
      <c r="E40" s="1679"/>
      <c r="F40" s="1680"/>
      <c r="G40" s="1681"/>
      <c r="H40" s="1682"/>
      <c r="I40" s="1683"/>
      <c r="J40" s="1684">
        <v>119990</v>
      </c>
      <c r="K40" s="1684"/>
      <c r="L40" s="1685">
        <f t="shared" ref="L40" si="4">SUM(I40:K40)</f>
        <v>119990</v>
      </c>
      <c r="M40" s="1686"/>
      <c r="N40" s="685"/>
      <c r="O40" s="685"/>
      <c r="P40" s="685"/>
      <c r="Q40" s="685"/>
      <c r="R40" s="685"/>
      <c r="S40" s="685"/>
      <c r="T40" s="685"/>
      <c r="U40" s="685"/>
      <c r="V40" s="685"/>
      <c r="W40" s="685"/>
      <c r="X40" s="685"/>
      <c r="Y40" s="685"/>
      <c r="Z40" s="685"/>
      <c r="AA40" s="685"/>
      <c r="AB40" s="685"/>
      <c r="AC40" s="685"/>
      <c r="AD40" s="685"/>
      <c r="AE40" s="685"/>
      <c r="AF40" s="685"/>
      <c r="AG40" s="685"/>
      <c r="AH40" s="685"/>
      <c r="AI40" s="685"/>
      <c r="AJ40" s="685"/>
      <c r="AK40" s="685"/>
      <c r="AL40" s="685"/>
      <c r="AM40" s="685"/>
      <c r="AN40" s="685"/>
      <c r="AO40" s="685"/>
      <c r="AP40" s="685"/>
      <c r="AQ40" s="685"/>
      <c r="AR40" s="685"/>
      <c r="AS40" s="685"/>
      <c r="AT40" s="685"/>
      <c r="AU40" s="685"/>
      <c r="AV40" s="685"/>
      <c r="AW40" s="685"/>
      <c r="AX40" s="685"/>
      <c r="AY40" s="685"/>
      <c r="AZ40" s="685"/>
      <c r="BA40" s="685"/>
      <c r="BB40" s="685"/>
      <c r="BC40" s="685"/>
      <c r="BD40" s="685"/>
      <c r="BE40" s="685"/>
      <c r="BF40" s="685"/>
      <c r="BG40" s="685"/>
      <c r="BH40" s="685"/>
      <c r="BI40" s="685"/>
      <c r="BJ40" s="685"/>
      <c r="BK40" s="685"/>
      <c r="BL40" s="685"/>
      <c r="BM40" s="685"/>
      <c r="BN40" s="685"/>
      <c r="BO40" s="685"/>
      <c r="BP40" s="685"/>
      <c r="BQ40" s="685"/>
      <c r="BR40" s="685"/>
      <c r="BS40" s="685"/>
      <c r="BT40" s="685"/>
      <c r="BU40" s="685"/>
      <c r="BV40" s="685"/>
      <c r="BW40" s="685"/>
      <c r="BX40" s="685"/>
      <c r="BY40" s="685"/>
      <c r="BZ40" s="685"/>
      <c r="CA40" s="685"/>
      <c r="CB40" s="685"/>
      <c r="CC40" s="685"/>
      <c r="CD40" s="685"/>
      <c r="CE40" s="685"/>
      <c r="CF40" s="685"/>
      <c r="CG40" s="685"/>
      <c r="CH40" s="685"/>
      <c r="CI40" s="685"/>
      <c r="CJ40" s="685"/>
      <c r="CK40" s="685"/>
      <c r="CL40" s="685"/>
      <c r="CM40" s="685"/>
      <c r="CN40" s="685"/>
      <c r="CO40" s="685"/>
      <c r="CP40" s="685"/>
      <c r="CQ40" s="685"/>
      <c r="CR40" s="685"/>
      <c r="CS40" s="685"/>
      <c r="CT40" s="685"/>
      <c r="CU40" s="685"/>
      <c r="CV40" s="685"/>
      <c r="CW40" s="685"/>
      <c r="CX40" s="685"/>
      <c r="CY40" s="685"/>
      <c r="CZ40" s="685"/>
      <c r="DA40" s="685"/>
      <c r="DB40" s="685"/>
      <c r="DC40" s="685"/>
      <c r="DD40" s="685"/>
      <c r="DE40" s="685"/>
      <c r="DF40" s="685"/>
      <c r="DG40" s="685"/>
      <c r="DH40" s="685"/>
      <c r="DI40" s="685"/>
      <c r="DJ40" s="685"/>
      <c r="DK40" s="685"/>
      <c r="DL40" s="685"/>
      <c r="DM40" s="685"/>
      <c r="DN40" s="685"/>
      <c r="DO40" s="685"/>
      <c r="DP40" s="685"/>
      <c r="DQ40" s="685"/>
      <c r="DR40" s="685"/>
      <c r="DS40" s="685"/>
      <c r="DT40" s="685"/>
      <c r="DU40" s="685"/>
      <c r="DV40" s="685"/>
      <c r="DW40" s="685"/>
      <c r="DX40" s="685"/>
      <c r="DY40" s="685"/>
      <c r="DZ40" s="685"/>
      <c r="EA40" s="685"/>
      <c r="EB40" s="685"/>
      <c r="EC40" s="685"/>
      <c r="ED40" s="685"/>
      <c r="EE40" s="685"/>
      <c r="EF40" s="685"/>
      <c r="EG40" s="685"/>
      <c r="EH40" s="685"/>
      <c r="EI40" s="685"/>
      <c r="EJ40" s="685"/>
      <c r="EK40" s="685"/>
      <c r="EL40" s="685"/>
      <c r="EM40" s="685"/>
      <c r="EN40" s="685"/>
      <c r="EO40" s="685"/>
      <c r="EP40" s="685"/>
      <c r="EQ40" s="685"/>
      <c r="ER40" s="685"/>
      <c r="ES40" s="685"/>
      <c r="ET40" s="685"/>
      <c r="EU40" s="685"/>
      <c r="EV40" s="685"/>
      <c r="EW40" s="685"/>
      <c r="EX40" s="685"/>
      <c r="EY40" s="685"/>
      <c r="EZ40" s="685"/>
      <c r="FA40" s="685"/>
      <c r="FB40" s="685"/>
      <c r="FC40" s="685"/>
      <c r="FD40" s="685"/>
      <c r="FE40" s="685"/>
      <c r="FF40" s="685"/>
      <c r="FG40" s="685"/>
      <c r="FH40" s="685"/>
      <c r="FI40" s="685"/>
      <c r="FJ40" s="685"/>
      <c r="FK40" s="685"/>
      <c r="FL40" s="685"/>
      <c r="FM40" s="685"/>
      <c r="FN40" s="685"/>
      <c r="FO40" s="685"/>
      <c r="FP40" s="685"/>
      <c r="FQ40" s="685"/>
      <c r="FR40" s="685"/>
      <c r="FS40" s="685"/>
      <c r="FT40" s="685"/>
      <c r="FU40" s="685"/>
      <c r="FV40" s="685"/>
      <c r="FW40" s="685"/>
      <c r="FX40" s="685"/>
      <c r="FY40" s="685"/>
      <c r="FZ40" s="685"/>
      <c r="GA40" s="685"/>
      <c r="GB40" s="685"/>
      <c r="GC40" s="685"/>
      <c r="GD40" s="685"/>
      <c r="GE40" s="685"/>
      <c r="GF40" s="685"/>
      <c r="GG40" s="685"/>
      <c r="GH40" s="685"/>
      <c r="GI40" s="685"/>
      <c r="GJ40" s="685"/>
      <c r="GK40" s="685"/>
      <c r="GL40" s="685"/>
      <c r="GM40" s="685"/>
      <c r="GN40" s="685"/>
      <c r="GO40" s="685"/>
      <c r="GP40" s="685"/>
      <c r="GQ40" s="685"/>
      <c r="GR40" s="685"/>
      <c r="GS40" s="685"/>
      <c r="GT40" s="685"/>
      <c r="GU40" s="685"/>
      <c r="GV40" s="685"/>
      <c r="GW40" s="685"/>
      <c r="GX40" s="685"/>
      <c r="GY40" s="685"/>
      <c r="GZ40" s="685"/>
      <c r="HA40" s="685"/>
      <c r="HB40" s="685"/>
      <c r="HC40" s="685"/>
      <c r="HD40" s="685"/>
      <c r="HE40" s="685"/>
      <c r="HF40" s="685"/>
      <c r="HG40" s="685"/>
      <c r="HH40" s="685"/>
      <c r="HI40" s="685"/>
      <c r="HJ40" s="685"/>
      <c r="HK40" s="685"/>
      <c r="HL40" s="685"/>
      <c r="HM40" s="685"/>
      <c r="HN40" s="685"/>
      <c r="HO40" s="685"/>
      <c r="HP40" s="685"/>
      <c r="HQ40" s="685"/>
      <c r="HR40" s="685"/>
      <c r="HS40" s="685"/>
      <c r="HT40" s="685"/>
      <c r="HU40" s="685"/>
      <c r="HV40" s="685"/>
      <c r="HW40" s="685"/>
      <c r="HX40" s="685"/>
      <c r="HY40" s="685"/>
      <c r="HZ40" s="685"/>
      <c r="IA40" s="685"/>
      <c r="IB40" s="685"/>
      <c r="IC40" s="685"/>
      <c r="ID40" s="685"/>
      <c r="IE40" s="685"/>
      <c r="IF40" s="685"/>
      <c r="IG40" s="685"/>
      <c r="IH40" s="685"/>
      <c r="II40" s="685"/>
      <c r="IJ40" s="685"/>
      <c r="IK40" s="685"/>
      <c r="IL40" s="685"/>
      <c r="IM40" s="685"/>
      <c r="IN40" s="685"/>
      <c r="IO40" s="685"/>
      <c r="IP40" s="685"/>
      <c r="IQ40" s="685"/>
    </row>
    <row r="41" spans="1:251" x14ac:dyDescent="0.3">
      <c r="A41" s="684">
        <v>32</v>
      </c>
      <c r="B41" s="698"/>
      <c r="C41" s="704"/>
      <c r="D41" s="1499" t="s">
        <v>929</v>
      </c>
      <c r="E41" s="700"/>
      <c r="F41" s="701"/>
      <c r="G41" s="702"/>
      <c r="H41" s="925"/>
      <c r="I41" s="894"/>
      <c r="J41" s="710"/>
      <c r="K41" s="710"/>
      <c r="L41" s="1611">
        <f>SUM(I41:K41)</f>
        <v>0</v>
      </c>
      <c r="M41" s="703"/>
      <c r="N41" s="685"/>
      <c r="O41" s="685"/>
      <c r="P41" s="685"/>
      <c r="Q41" s="685"/>
      <c r="R41" s="685"/>
      <c r="S41" s="685"/>
      <c r="T41" s="685"/>
      <c r="U41" s="685"/>
      <c r="V41" s="685"/>
      <c r="W41" s="685"/>
      <c r="X41" s="685"/>
      <c r="Y41" s="685"/>
      <c r="Z41" s="685"/>
      <c r="AA41" s="685"/>
      <c r="AB41" s="685"/>
      <c r="AC41" s="685"/>
      <c r="AD41" s="685"/>
      <c r="AE41" s="685"/>
      <c r="AF41" s="685"/>
      <c r="AG41" s="685"/>
      <c r="AH41" s="685"/>
      <c r="AI41" s="685"/>
      <c r="AJ41" s="685"/>
      <c r="AK41" s="685"/>
      <c r="AL41" s="685"/>
      <c r="AM41" s="685"/>
      <c r="AN41" s="685"/>
      <c r="AO41" s="685"/>
      <c r="AP41" s="685"/>
      <c r="AQ41" s="685"/>
      <c r="AR41" s="685"/>
      <c r="AS41" s="685"/>
      <c r="AT41" s="685"/>
      <c r="AU41" s="685"/>
      <c r="AV41" s="685"/>
      <c r="AW41" s="685"/>
      <c r="AX41" s="685"/>
      <c r="AY41" s="685"/>
      <c r="AZ41" s="685"/>
      <c r="BA41" s="685"/>
      <c r="BB41" s="685"/>
      <c r="BC41" s="685"/>
      <c r="BD41" s="685"/>
      <c r="BE41" s="685"/>
      <c r="BF41" s="685"/>
      <c r="BG41" s="685"/>
      <c r="BH41" s="685"/>
      <c r="BI41" s="685"/>
      <c r="BJ41" s="685"/>
      <c r="BK41" s="685"/>
      <c r="BL41" s="685"/>
      <c r="BM41" s="685"/>
      <c r="BN41" s="685"/>
      <c r="BO41" s="685"/>
      <c r="BP41" s="685"/>
      <c r="BQ41" s="685"/>
      <c r="BR41" s="685"/>
      <c r="BS41" s="685"/>
      <c r="BT41" s="685"/>
      <c r="BU41" s="685"/>
      <c r="BV41" s="685"/>
      <c r="BW41" s="685"/>
      <c r="BX41" s="685"/>
      <c r="BY41" s="685"/>
      <c r="BZ41" s="685"/>
      <c r="CA41" s="685"/>
      <c r="CB41" s="685"/>
      <c r="CC41" s="685"/>
      <c r="CD41" s="685"/>
      <c r="CE41" s="685"/>
      <c r="CF41" s="685"/>
      <c r="CG41" s="685"/>
      <c r="CH41" s="685"/>
      <c r="CI41" s="685"/>
      <c r="CJ41" s="685"/>
      <c r="CK41" s="685"/>
      <c r="CL41" s="685"/>
      <c r="CM41" s="685"/>
      <c r="CN41" s="685"/>
      <c r="CO41" s="685"/>
      <c r="CP41" s="685"/>
      <c r="CQ41" s="685"/>
      <c r="CR41" s="685"/>
      <c r="CS41" s="685"/>
      <c r="CT41" s="685"/>
      <c r="CU41" s="685"/>
      <c r="CV41" s="685"/>
      <c r="CW41" s="685"/>
      <c r="CX41" s="685"/>
      <c r="CY41" s="685"/>
      <c r="CZ41" s="685"/>
      <c r="DA41" s="685"/>
      <c r="DB41" s="685"/>
      <c r="DC41" s="685"/>
      <c r="DD41" s="685"/>
      <c r="DE41" s="685"/>
      <c r="DF41" s="685"/>
      <c r="DG41" s="685"/>
      <c r="DH41" s="685"/>
      <c r="DI41" s="685"/>
      <c r="DJ41" s="685"/>
      <c r="DK41" s="685"/>
      <c r="DL41" s="685"/>
      <c r="DM41" s="685"/>
      <c r="DN41" s="685"/>
      <c r="DO41" s="685"/>
      <c r="DP41" s="685"/>
      <c r="DQ41" s="685"/>
      <c r="DR41" s="685"/>
      <c r="DS41" s="685"/>
      <c r="DT41" s="685"/>
      <c r="DU41" s="685"/>
      <c r="DV41" s="685"/>
      <c r="DW41" s="685"/>
      <c r="DX41" s="685"/>
      <c r="DY41" s="685"/>
      <c r="DZ41" s="685"/>
      <c r="EA41" s="685"/>
      <c r="EB41" s="685"/>
      <c r="EC41" s="685"/>
      <c r="ED41" s="685"/>
      <c r="EE41" s="685"/>
      <c r="EF41" s="685"/>
      <c r="EG41" s="685"/>
      <c r="EH41" s="685"/>
      <c r="EI41" s="685"/>
      <c r="EJ41" s="685"/>
      <c r="EK41" s="685"/>
      <c r="EL41" s="685"/>
      <c r="EM41" s="685"/>
      <c r="EN41" s="685"/>
      <c r="EO41" s="685"/>
      <c r="EP41" s="685"/>
      <c r="EQ41" s="685"/>
      <c r="ER41" s="685"/>
      <c r="ES41" s="685"/>
      <c r="ET41" s="685"/>
      <c r="EU41" s="685"/>
      <c r="EV41" s="685"/>
      <c r="EW41" s="685"/>
      <c r="EX41" s="685"/>
      <c r="EY41" s="685"/>
      <c r="EZ41" s="685"/>
      <c r="FA41" s="685"/>
      <c r="FB41" s="685"/>
      <c r="FC41" s="685"/>
      <c r="FD41" s="685"/>
      <c r="FE41" s="685"/>
      <c r="FF41" s="685"/>
      <c r="FG41" s="685"/>
      <c r="FH41" s="685"/>
      <c r="FI41" s="685"/>
      <c r="FJ41" s="685"/>
      <c r="FK41" s="685"/>
      <c r="FL41" s="685"/>
      <c r="FM41" s="685"/>
      <c r="FN41" s="685"/>
      <c r="FO41" s="685"/>
      <c r="FP41" s="685"/>
      <c r="FQ41" s="685"/>
      <c r="FR41" s="685"/>
      <c r="FS41" s="685"/>
      <c r="FT41" s="685"/>
      <c r="FU41" s="685"/>
      <c r="FV41" s="685"/>
      <c r="FW41" s="685"/>
      <c r="FX41" s="685"/>
      <c r="FY41" s="685"/>
      <c r="FZ41" s="685"/>
      <c r="GA41" s="685"/>
      <c r="GB41" s="685"/>
      <c r="GC41" s="685"/>
      <c r="GD41" s="685"/>
      <c r="GE41" s="685"/>
      <c r="GF41" s="685"/>
      <c r="GG41" s="685"/>
      <c r="GH41" s="685"/>
      <c r="GI41" s="685"/>
      <c r="GJ41" s="685"/>
      <c r="GK41" s="685"/>
      <c r="GL41" s="685"/>
      <c r="GM41" s="685"/>
      <c r="GN41" s="685"/>
      <c r="GO41" s="685"/>
      <c r="GP41" s="685"/>
      <c r="GQ41" s="685"/>
      <c r="GR41" s="685"/>
      <c r="GS41" s="685"/>
      <c r="GT41" s="685"/>
      <c r="GU41" s="685"/>
      <c r="GV41" s="685"/>
      <c r="GW41" s="685"/>
      <c r="GX41" s="685"/>
      <c r="GY41" s="685"/>
      <c r="GZ41" s="685"/>
      <c r="HA41" s="685"/>
      <c r="HB41" s="685"/>
      <c r="HC41" s="685"/>
      <c r="HD41" s="685"/>
      <c r="HE41" s="685"/>
      <c r="HF41" s="685"/>
      <c r="HG41" s="685"/>
      <c r="HH41" s="685"/>
      <c r="HI41" s="685"/>
      <c r="HJ41" s="685"/>
      <c r="HK41" s="685"/>
      <c r="HL41" s="685"/>
      <c r="HM41" s="685"/>
      <c r="HN41" s="685"/>
      <c r="HO41" s="685"/>
      <c r="HP41" s="685"/>
      <c r="HQ41" s="685"/>
      <c r="HR41" s="685"/>
      <c r="HS41" s="685"/>
      <c r="HT41" s="685"/>
      <c r="HU41" s="685"/>
      <c r="HV41" s="685"/>
      <c r="HW41" s="685"/>
      <c r="HX41" s="685"/>
      <c r="HY41" s="685"/>
      <c r="HZ41" s="685"/>
      <c r="IA41" s="685"/>
      <c r="IB41" s="685"/>
      <c r="IC41" s="685"/>
      <c r="ID41" s="685"/>
      <c r="IE41" s="685"/>
      <c r="IF41" s="685"/>
      <c r="IG41" s="685"/>
      <c r="IH41" s="685"/>
      <c r="II41" s="685"/>
      <c r="IJ41" s="685"/>
      <c r="IK41" s="685"/>
      <c r="IL41" s="685"/>
      <c r="IM41" s="685"/>
      <c r="IN41" s="685"/>
      <c r="IO41" s="685"/>
      <c r="IP41" s="685"/>
      <c r="IQ41" s="685"/>
    </row>
    <row r="42" spans="1:251" x14ac:dyDescent="0.3">
      <c r="A42" s="684">
        <v>33</v>
      </c>
      <c r="B42" s="698"/>
      <c r="C42" s="704"/>
      <c r="D42" s="641" t="s">
        <v>927</v>
      </c>
      <c r="E42" s="700"/>
      <c r="F42" s="701"/>
      <c r="G42" s="702"/>
      <c r="H42" s="925"/>
      <c r="I42" s="894"/>
      <c r="J42" s="1687">
        <f>SUM(J40:J41)</f>
        <v>119990</v>
      </c>
      <c r="K42" s="710"/>
      <c r="L42" s="1615">
        <f>SUM(I42:K42)</f>
        <v>119990</v>
      </c>
      <c r="M42" s="703"/>
      <c r="N42" s="685"/>
      <c r="O42" s="685"/>
      <c r="P42" s="685"/>
      <c r="Q42" s="685"/>
      <c r="R42" s="685"/>
      <c r="S42" s="685"/>
      <c r="T42" s="685"/>
      <c r="U42" s="685"/>
      <c r="V42" s="685"/>
      <c r="W42" s="685"/>
      <c r="X42" s="685"/>
      <c r="Y42" s="685"/>
      <c r="Z42" s="685"/>
      <c r="AA42" s="685"/>
      <c r="AB42" s="685"/>
      <c r="AC42" s="685"/>
      <c r="AD42" s="685"/>
      <c r="AE42" s="685"/>
      <c r="AF42" s="685"/>
      <c r="AG42" s="685"/>
      <c r="AH42" s="685"/>
      <c r="AI42" s="685"/>
      <c r="AJ42" s="685"/>
      <c r="AK42" s="685"/>
      <c r="AL42" s="685"/>
      <c r="AM42" s="685"/>
      <c r="AN42" s="685"/>
      <c r="AO42" s="685"/>
      <c r="AP42" s="685"/>
      <c r="AQ42" s="685"/>
      <c r="AR42" s="685"/>
      <c r="AS42" s="685"/>
      <c r="AT42" s="685"/>
      <c r="AU42" s="685"/>
      <c r="AV42" s="685"/>
      <c r="AW42" s="685"/>
      <c r="AX42" s="685"/>
      <c r="AY42" s="685"/>
      <c r="AZ42" s="685"/>
      <c r="BA42" s="685"/>
      <c r="BB42" s="685"/>
      <c r="BC42" s="685"/>
      <c r="BD42" s="685"/>
      <c r="BE42" s="685"/>
      <c r="BF42" s="685"/>
      <c r="BG42" s="685"/>
      <c r="BH42" s="685"/>
      <c r="BI42" s="685"/>
      <c r="BJ42" s="685"/>
      <c r="BK42" s="685"/>
      <c r="BL42" s="685"/>
      <c r="BM42" s="685"/>
      <c r="BN42" s="685"/>
      <c r="BO42" s="685"/>
      <c r="BP42" s="685"/>
      <c r="BQ42" s="685"/>
      <c r="BR42" s="685"/>
      <c r="BS42" s="685"/>
      <c r="BT42" s="685"/>
      <c r="BU42" s="685"/>
      <c r="BV42" s="685"/>
      <c r="BW42" s="685"/>
      <c r="BX42" s="685"/>
      <c r="BY42" s="685"/>
      <c r="BZ42" s="685"/>
      <c r="CA42" s="685"/>
      <c r="CB42" s="685"/>
      <c r="CC42" s="685"/>
      <c r="CD42" s="685"/>
      <c r="CE42" s="685"/>
      <c r="CF42" s="685"/>
      <c r="CG42" s="685"/>
      <c r="CH42" s="685"/>
      <c r="CI42" s="685"/>
      <c r="CJ42" s="685"/>
      <c r="CK42" s="685"/>
      <c r="CL42" s="685"/>
      <c r="CM42" s="685"/>
      <c r="CN42" s="685"/>
      <c r="CO42" s="685"/>
      <c r="CP42" s="685"/>
      <c r="CQ42" s="685"/>
      <c r="CR42" s="685"/>
      <c r="CS42" s="685"/>
      <c r="CT42" s="685"/>
      <c r="CU42" s="685"/>
      <c r="CV42" s="685"/>
      <c r="CW42" s="685"/>
      <c r="CX42" s="685"/>
      <c r="CY42" s="685"/>
      <c r="CZ42" s="685"/>
      <c r="DA42" s="685"/>
      <c r="DB42" s="685"/>
      <c r="DC42" s="685"/>
      <c r="DD42" s="685"/>
      <c r="DE42" s="685"/>
      <c r="DF42" s="685"/>
      <c r="DG42" s="685"/>
      <c r="DH42" s="685"/>
      <c r="DI42" s="685"/>
      <c r="DJ42" s="685"/>
      <c r="DK42" s="685"/>
      <c r="DL42" s="685"/>
      <c r="DM42" s="685"/>
      <c r="DN42" s="685"/>
      <c r="DO42" s="685"/>
      <c r="DP42" s="685"/>
      <c r="DQ42" s="685"/>
      <c r="DR42" s="685"/>
      <c r="DS42" s="685"/>
      <c r="DT42" s="685"/>
      <c r="DU42" s="685"/>
      <c r="DV42" s="685"/>
      <c r="DW42" s="685"/>
      <c r="DX42" s="685"/>
      <c r="DY42" s="685"/>
      <c r="DZ42" s="685"/>
      <c r="EA42" s="685"/>
      <c r="EB42" s="685"/>
      <c r="EC42" s="685"/>
      <c r="ED42" s="685"/>
      <c r="EE42" s="685"/>
      <c r="EF42" s="685"/>
      <c r="EG42" s="685"/>
      <c r="EH42" s="685"/>
      <c r="EI42" s="685"/>
      <c r="EJ42" s="685"/>
      <c r="EK42" s="685"/>
      <c r="EL42" s="685"/>
      <c r="EM42" s="685"/>
      <c r="EN42" s="685"/>
      <c r="EO42" s="685"/>
      <c r="EP42" s="685"/>
      <c r="EQ42" s="685"/>
      <c r="ER42" s="685"/>
      <c r="ES42" s="685"/>
      <c r="ET42" s="685"/>
      <c r="EU42" s="685"/>
      <c r="EV42" s="685"/>
      <c r="EW42" s="685"/>
      <c r="EX42" s="685"/>
      <c r="EY42" s="685"/>
      <c r="EZ42" s="685"/>
      <c r="FA42" s="685"/>
      <c r="FB42" s="685"/>
      <c r="FC42" s="685"/>
      <c r="FD42" s="685"/>
      <c r="FE42" s="685"/>
      <c r="FF42" s="685"/>
      <c r="FG42" s="685"/>
      <c r="FH42" s="685"/>
      <c r="FI42" s="685"/>
      <c r="FJ42" s="685"/>
      <c r="FK42" s="685"/>
      <c r="FL42" s="685"/>
      <c r="FM42" s="685"/>
      <c r="FN42" s="685"/>
      <c r="FO42" s="685"/>
      <c r="FP42" s="685"/>
      <c r="FQ42" s="685"/>
      <c r="FR42" s="685"/>
      <c r="FS42" s="685"/>
      <c r="FT42" s="685"/>
      <c r="FU42" s="685"/>
      <c r="FV42" s="685"/>
      <c r="FW42" s="685"/>
      <c r="FX42" s="685"/>
      <c r="FY42" s="685"/>
      <c r="FZ42" s="685"/>
      <c r="GA42" s="685"/>
      <c r="GB42" s="685"/>
      <c r="GC42" s="685"/>
      <c r="GD42" s="685"/>
      <c r="GE42" s="685"/>
      <c r="GF42" s="685"/>
      <c r="GG42" s="685"/>
      <c r="GH42" s="685"/>
      <c r="GI42" s="685"/>
      <c r="GJ42" s="685"/>
      <c r="GK42" s="685"/>
      <c r="GL42" s="685"/>
      <c r="GM42" s="685"/>
      <c r="GN42" s="685"/>
      <c r="GO42" s="685"/>
      <c r="GP42" s="685"/>
      <c r="GQ42" s="685"/>
      <c r="GR42" s="685"/>
      <c r="GS42" s="685"/>
      <c r="GT42" s="685"/>
      <c r="GU42" s="685"/>
      <c r="GV42" s="685"/>
      <c r="GW42" s="685"/>
      <c r="GX42" s="685"/>
      <c r="GY42" s="685"/>
      <c r="GZ42" s="685"/>
      <c r="HA42" s="685"/>
      <c r="HB42" s="685"/>
      <c r="HC42" s="685"/>
      <c r="HD42" s="685"/>
      <c r="HE42" s="685"/>
      <c r="HF42" s="685"/>
      <c r="HG42" s="685"/>
      <c r="HH42" s="685"/>
      <c r="HI42" s="685"/>
      <c r="HJ42" s="685"/>
      <c r="HK42" s="685"/>
      <c r="HL42" s="685"/>
      <c r="HM42" s="685"/>
      <c r="HN42" s="685"/>
      <c r="HO42" s="685"/>
      <c r="HP42" s="685"/>
      <c r="HQ42" s="685"/>
      <c r="HR42" s="685"/>
      <c r="HS42" s="685"/>
      <c r="HT42" s="685"/>
      <c r="HU42" s="685"/>
      <c r="HV42" s="685"/>
      <c r="HW42" s="685"/>
      <c r="HX42" s="685"/>
      <c r="HY42" s="685"/>
      <c r="HZ42" s="685"/>
      <c r="IA42" s="685"/>
      <c r="IB42" s="685"/>
      <c r="IC42" s="685"/>
      <c r="ID42" s="685"/>
      <c r="IE42" s="685"/>
      <c r="IF42" s="685"/>
      <c r="IG42" s="685"/>
      <c r="IH42" s="685"/>
      <c r="II42" s="685"/>
      <c r="IJ42" s="685"/>
      <c r="IK42" s="685"/>
      <c r="IL42" s="685"/>
      <c r="IM42" s="685"/>
      <c r="IN42" s="685"/>
      <c r="IO42" s="685"/>
      <c r="IP42" s="685"/>
      <c r="IQ42" s="685"/>
    </row>
    <row r="43" spans="1:251" ht="16.5" x14ac:dyDescent="0.3">
      <c r="A43" s="684">
        <v>34</v>
      </c>
      <c r="B43" s="698"/>
      <c r="C43" s="704">
        <v>9</v>
      </c>
      <c r="D43" s="410" t="s">
        <v>584</v>
      </c>
      <c r="E43" s="700">
        <f>F43+G43+L46+M44</f>
        <v>302000</v>
      </c>
      <c r="F43" s="701"/>
      <c r="G43" s="702"/>
      <c r="H43" s="925" t="s">
        <v>24</v>
      </c>
      <c r="I43" s="894"/>
      <c r="J43" s="710"/>
      <c r="K43" s="710"/>
      <c r="L43" s="711"/>
      <c r="M43" s="703"/>
      <c r="N43" s="685"/>
      <c r="O43" s="685"/>
      <c r="P43" s="685"/>
      <c r="Q43" s="685"/>
      <c r="R43" s="685"/>
      <c r="S43" s="685"/>
      <c r="T43" s="685"/>
      <c r="U43" s="685"/>
      <c r="V43" s="685"/>
      <c r="W43" s="685"/>
      <c r="X43" s="685"/>
      <c r="Y43" s="685"/>
      <c r="Z43" s="685"/>
      <c r="AA43" s="685"/>
      <c r="AB43" s="685"/>
      <c r="AC43" s="685"/>
      <c r="AD43" s="685"/>
      <c r="AE43" s="685"/>
      <c r="AF43" s="685"/>
      <c r="AG43" s="685"/>
      <c r="AH43" s="685"/>
      <c r="AI43" s="685"/>
      <c r="AJ43" s="685"/>
      <c r="AK43" s="685"/>
      <c r="AL43" s="685"/>
      <c r="AM43" s="685"/>
      <c r="AN43" s="685"/>
      <c r="AO43" s="685"/>
      <c r="AP43" s="685"/>
      <c r="AQ43" s="685"/>
      <c r="AR43" s="685"/>
      <c r="AS43" s="685"/>
      <c r="AT43" s="685"/>
      <c r="AU43" s="685"/>
      <c r="AV43" s="685"/>
      <c r="AW43" s="685"/>
      <c r="AX43" s="685"/>
      <c r="AY43" s="685"/>
      <c r="AZ43" s="685"/>
      <c r="BA43" s="685"/>
      <c r="BB43" s="685"/>
      <c r="BC43" s="685"/>
      <c r="BD43" s="685"/>
      <c r="BE43" s="685"/>
      <c r="BF43" s="685"/>
      <c r="BG43" s="685"/>
      <c r="BH43" s="685"/>
      <c r="BI43" s="685"/>
      <c r="BJ43" s="685"/>
      <c r="BK43" s="685"/>
      <c r="BL43" s="685"/>
      <c r="BM43" s="685"/>
      <c r="BN43" s="685"/>
      <c r="BO43" s="685"/>
      <c r="BP43" s="685"/>
      <c r="BQ43" s="685"/>
      <c r="BR43" s="685"/>
      <c r="BS43" s="685"/>
      <c r="BT43" s="685"/>
      <c r="BU43" s="685"/>
      <c r="BV43" s="685"/>
      <c r="BW43" s="685"/>
      <c r="BX43" s="685"/>
      <c r="BY43" s="685"/>
      <c r="BZ43" s="685"/>
      <c r="CA43" s="685"/>
      <c r="CB43" s="685"/>
      <c r="CC43" s="685"/>
      <c r="CD43" s="685"/>
      <c r="CE43" s="685"/>
      <c r="CF43" s="685"/>
      <c r="CG43" s="685"/>
      <c r="CH43" s="685"/>
      <c r="CI43" s="685"/>
      <c r="CJ43" s="685"/>
      <c r="CK43" s="685"/>
      <c r="CL43" s="685"/>
      <c r="CM43" s="685"/>
      <c r="CN43" s="685"/>
      <c r="CO43" s="685"/>
      <c r="CP43" s="685"/>
      <c r="CQ43" s="685"/>
      <c r="CR43" s="685"/>
      <c r="CS43" s="685"/>
      <c r="CT43" s="685"/>
      <c r="CU43" s="685"/>
      <c r="CV43" s="685"/>
      <c r="CW43" s="685"/>
      <c r="CX43" s="685"/>
      <c r="CY43" s="685"/>
      <c r="CZ43" s="685"/>
      <c r="DA43" s="685"/>
      <c r="DB43" s="685"/>
      <c r="DC43" s="685"/>
      <c r="DD43" s="685"/>
      <c r="DE43" s="685"/>
      <c r="DF43" s="685"/>
      <c r="DG43" s="685"/>
      <c r="DH43" s="685"/>
      <c r="DI43" s="685"/>
      <c r="DJ43" s="685"/>
      <c r="DK43" s="685"/>
      <c r="DL43" s="685"/>
      <c r="DM43" s="685"/>
      <c r="DN43" s="685"/>
      <c r="DO43" s="685"/>
      <c r="DP43" s="685"/>
      <c r="DQ43" s="685"/>
      <c r="DR43" s="685"/>
      <c r="DS43" s="685"/>
      <c r="DT43" s="685"/>
      <c r="DU43" s="685"/>
      <c r="DV43" s="685"/>
      <c r="DW43" s="685"/>
      <c r="DX43" s="685"/>
      <c r="DY43" s="685"/>
      <c r="DZ43" s="685"/>
      <c r="EA43" s="685"/>
      <c r="EB43" s="685"/>
      <c r="EC43" s="685"/>
      <c r="ED43" s="685"/>
      <c r="EE43" s="685"/>
      <c r="EF43" s="685"/>
      <c r="EG43" s="685"/>
      <c r="EH43" s="685"/>
      <c r="EI43" s="685"/>
      <c r="EJ43" s="685"/>
      <c r="EK43" s="685"/>
      <c r="EL43" s="685"/>
      <c r="EM43" s="685"/>
      <c r="EN43" s="685"/>
      <c r="EO43" s="685"/>
      <c r="EP43" s="685"/>
      <c r="EQ43" s="685"/>
      <c r="ER43" s="685"/>
      <c r="ES43" s="685"/>
      <c r="ET43" s="685"/>
      <c r="EU43" s="685"/>
      <c r="EV43" s="685"/>
      <c r="EW43" s="685"/>
      <c r="EX43" s="685"/>
      <c r="EY43" s="685"/>
      <c r="EZ43" s="685"/>
      <c r="FA43" s="685"/>
      <c r="FB43" s="685"/>
      <c r="FC43" s="685"/>
      <c r="FD43" s="685"/>
      <c r="FE43" s="685"/>
      <c r="FF43" s="685"/>
      <c r="FG43" s="685"/>
      <c r="FH43" s="685"/>
      <c r="FI43" s="685"/>
      <c r="FJ43" s="685"/>
      <c r="FK43" s="685"/>
      <c r="FL43" s="685"/>
      <c r="FM43" s="685"/>
      <c r="FN43" s="685"/>
      <c r="FO43" s="685"/>
      <c r="FP43" s="685"/>
      <c r="FQ43" s="685"/>
      <c r="FR43" s="685"/>
      <c r="FS43" s="685"/>
      <c r="FT43" s="685"/>
      <c r="FU43" s="685"/>
      <c r="FV43" s="685"/>
      <c r="FW43" s="685"/>
      <c r="FX43" s="685"/>
      <c r="FY43" s="685"/>
      <c r="FZ43" s="685"/>
      <c r="GA43" s="685"/>
      <c r="GB43" s="685"/>
      <c r="GC43" s="685"/>
      <c r="GD43" s="685"/>
      <c r="GE43" s="685"/>
      <c r="GF43" s="685"/>
      <c r="GG43" s="685"/>
      <c r="GH43" s="685"/>
      <c r="GI43" s="685"/>
      <c r="GJ43" s="685"/>
      <c r="GK43" s="685"/>
      <c r="GL43" s="685"/>
      <c r="GM43" s="685"/>
      <c r="GN43" s="685"/>
      <c r="GO43" s="685"/>
      <c r="GP43" s="685"/>
      <c r="GQ43" s="685"/>
      <c r="GR43" s="685"/>
      <c r="GS43" s="685"/>
      <c r="GT43" s="685"/>
      <c r="GU43" s="685"/>
      <c r="GV43" s="685"/>
      <c r="GW43" s="685"/>
      <c r="GX43" s="685"/>
      <c r="GY43" s="685"/>
      <c r="GZ43" s="685"/>
      <c r="HA43" s="685"/>
      <c r="HB43" s="685"/>
      <c r="HC43" s="685"/>
      <c r="HD43" s="685"/>
      <c r="HE43" s="685"/>
      <c r="HF43" s="685"/>
      <c r="HG43" s="685"/>
      <c r="HH43" s="685"/>
      <c r="HI43" s="685"/>
      <c r="HJ43" s="685"/>
      <c r="HK43" s="685"/>
      <c r="HL43" s="685"/>
      <c r="HM43" s="685"/>
      <c r="HN43" s="685"/>
      <c r="HO43" s="685"/>
      <c r="HP43" s="685"/>
      <c r="HQ43" s="685"/>
      <c r="HR43" s="685"/>
      <c r="HS43" s="685"/>
      <c r="HT43" s="685"/>
      <c r="HU43" s="685"/>
      <c r="HV43" s="685"/>
      <c r="HW43" s="685"/>
      <c r="HX43" s="685"/>
      <c r="HY43" s="685"/>
      <c r="HZ43" s="685"/>
      <c r="IA43" s="685"/>
      <c r="IB43" s="685"/>
      <c r="IC43" s="685"/>
      <c r="ID43" s="685"/>
      <c r="IE43" s="685"/>
      <c r="IF43" s="685"/>
      <c r="IG43" s="685"/>
      <c r="IH43" s="685"/>
      <c r="II43" s="685"/>
      <c r="IJ43" s="685"/>
      <c r="IK43" s="685"/>
      <c r="IL43" s="685"/>
      <c r="IM43" s="685"/>
      <c r="IN43" s="685"/>
      <c r="IO43" s="685"/>
      <c r="IP43" s="685"/>
      <c r="IQ43" s="685"/>
    </row>
    <row r="44" spans="1:251" x14ac:dyDescent="0.3">
      <c r="A44" s="684">
        <v>35</v>
      </c>
      <c r="B44" s="1677"/>
      <c r="C44" s="1678"/>
      <c r="D44" s="760" t="s">
        <v>292</v>
      </c>
      <c r="E44" s="1679"/>
      <c r="F44" s="1680"/>
      <c r="G44" s="1681"/>
      <c r="H44" s="1682"/>
      <c r="I44" s="1683"/>
      <c r="J44" s="1684">
        <f>50326+201326+50348</f>
        <v>302000</v>
      </c>
      <c r="K44" s="1684"/>
      <c r="L44" s="1685">
        <f t="shared" ref="L44" si="5">SUM(I44:K44)</f>
        <v>302000</v>
      </c>
      <c r="M44" s="1686"/>
      <c r="N44" s="685"/>
      <c r="O44" s="685"/>
      <c r="P44" s="685"/>
      <c r="Q44" s="685"/>
      <c r="R44" s="685"/>
      <c r="S44" s="685"/>
      <c r="T44" s="685"/>
      <c r="U44" s="685"/>
      <c r="V44" s="685"/>
      <c r="W44" s="685"/>
      <c r="X44" s="685"/>
      <c r="Y44" s="685"/>
      <c r="Z44" s="685"/>
      <c r="AA44" s="685"/>
      <c r="AB44" s="685"/>
      <c r="AC44" s="685"/>
      <c r="AD44" s="685"/>
      <c r="AE44" s="685"/>
      <c r="AF44" s="685"/>
      <c r="AG44" s="685"/>
      <c r="AH44" s="685"/>
      <c r="AI44" s="685"/>
      <c r="AJ44" s="685"/>
      <c r="AK44" s="685"/>
      <c r="AL44" s="685"/>
      <c r="AM44" s="685"/>
      <c r="AN44" s="685"/>
      <c r="AO44" s="685"/>
      <c r="AP44" s="685"/>
      <c r="AQ44" s="685"/>
      <c r="AR44" s="685"/>
      <c r="AS44" s="685"/>
      <c r="AT44" s="685"/>
      <c r="AU44" s="685"/>
      <c r="AV44" s="685"/>
      <c r="AW44" s="685"/>
      <c r="AX44" s="685"/>
      <c r="AY44" s="685"/>
      <c r="AZ44" s="685"/>
      <c r="BA44" s="685"/>
      <c r="BB44" s="685"/>
      <c r="BC44" s="685"/>
      <c r="BD44" s="685"/>
      <c r="BE44" s="685"/>
      <c r="BF44" s="685"/>
      <c r="BG44" s="685"/>
      <c r="BH44" s="685"/>
      <c r="BI44" s="685"/>
      <c r="BJ44" s="685"/>
      <c r="BK44" s="685"/>
      <c r="BL44" s="685"/>
      <c r="BM44" s="685"/>
      <c r="BN44" s="685"/>
      <c r="BO44" s="685"/>
      <c r="BP44" s="685"/>
      <c r="BQ44" s="685"/>
      <c r="BR44" s="685"/>
      <c r="BS44" s="685"/>
      <c r="BT44" s="685"/>
      <c r="BU44" s="685"/>
      <c r="BV44" s="685"/>
      <c r="BW44" s="685"/>
      <c r="BX44" s="685"/>
      <c r="BY44" s="685"/>
      <c r="BZ44" s="685"/>
      <c r="CA44" s="685"/>
      <c r="CB44" s="685"/>
      <c r="CC44" s="685"/>
      <c r="CD44" s="685"/>
      <c r="CE44" s="685"/>
      <c r="CF44" s="685"/>
      <c r="CG44" s="685"/>
      <c r="CH44" s="685"/>
      <c r="CI44" s="685"/>
      <c r="CJ44" s="685"/>
      <c r="CK44" s="685"/>
      <c r="CL44" s="685"/>
      <c r="CM44" s="685"/>
      <c r="CN44" s="685"/>
      <c r="CO44" s="685"/>
      <c r="CP44" s="685"/>
      <c r="CQ44" s="685"/>
      <c r="CR44" s="685"/>
      <c r="CS44" s="685"/>
      <c r="CT44" s="685"/>
      <c r="CU44" s="685"/>
      <c r="CV44" s="685"/>
      <c r="CW44" s="685"/>
      <c r="CX44" s="685"/>
      <c r="CY44" s="685"/>
      <c r="CZ44" s="685"/>
      <c r="DA44" s="685"/>
      <c r="DB44" s="685"/>
      <c r="DC44" s="685"/>
      <c r="DD44" s="685"/>
      <c r="DE44" s="685"/>
      <c r="DF44" s="685"/>
      <c r="DG44" s="685"/>
      <c r="DH44" s="685"/>
      <c r="DI44" s="685"/>
      <c r="DJ44" s="685"/>
      <c r="DK44" s="685"/>
      <c r="DL44" s="685"/>
      <c r="DM44" s="685"/>
      <c r="DN44" s="685"/>
      <c r="DO44" s="685"/>
      <c r="DP44" s="685"/>
      <c r="DQ44" s="685"/>
      <c r="DR44" s="685"/>
      <c r="DS44" s="685"/>
      <c r="DT44" s="685"/>
      <c r="DU44" s="685"/>
      <c r="DV44" s="685"/>
      <c r="DW44" s="685"/>
      <c r="DX44" s="685"/>
      <c r="DY44" s="685"/>
      <c r="DZ44" s="685"/>
      <c r="EA44" s="685"/>
      <c r="EB44" s="685"/>
      <c r="EC44" s="685"/>
      <c r="ED44" s="685"/>
      <c r="EE44" s="685"/>
      <c r="EF44" s="685"/>
      <c r="EG44" s="685"/>
      <c r="EH44" s="685"/>
      <c r="EI44" s="685"/>
      <c r="EJ44" s="685"/>
      <c r="EK44" s="685"/>
      <c r="EL44" s="685"/>
      <c r="EM44" s="685"/>
      <c r="EN44" s="685"/>
      <c r="EO44" s="685"/>
      <c r="EP44" s="685"/>
      <c r="EQ44" s="685"/>
      <c r="ER44" s="685"/>
      <c r="ES44" s="685"/>
      <c r="ET44" s="685"/>
      <c r="EU44" s="685"/>
      <c r="EV44" s="685"/>
      <c r="EW44" s="685"/>
      <c r="EX44" s="685"/>
      <c r="EY44" s="685"/>
      <c r="EZ44" s="685"/>
      <c r="FA44" s="685"/>
      <c r="FB44" s="685"/>
      <c r="FC44" s="685"/>
      <c r="FD44" s="685"/>
      <c r="FE44" s="685"/>
      <c r="FF44" s="685"/>
      <c r="FG44" s="685"/>
      <c r="FH44" s="685"/>
      <c r="FI44" s="685"/>
      <c r="FJ44" s="685"/>
      <c r="FK44" s="685"/>
      <c r="FL44" s="685"/>
      <c r="FM44" s="685"/>
      <c r="FN44" s="685"/>
      <c r="FO44" s="685"/>
      <c r="FP44" s="685"/>
      <c r="FQ44" s="685"/>
      <c r="FR44" s="685"/>
      <c r="FS44" s="685"/>
      <c r="FT44" s="685"/>
      <c r="FU44" s="685"/>
      <c r="FV44" s="685"/>
      <c r="FW44" s="685"/>
      <c r="FX44" s="685"/>
      <c r="FY44" s="685"/>
      <c r="FZ44" s="685"/>
      <c r="GA44" s="685"/>
      <c r="GB44" s="685"/>
      <c r="GC44" s="685"/>
      <c r="GD44" s="685"/>
      <c r="GE44" s="685"/>
      <c r="GF44" s="685"/>
      <c r="GG44" s="685"/>
      <c r="GH44" s="685"/>
      <c r="GI44" s="685"/>
      <c r="GJ44" s="685"/>
      <c r="GK44" s="685"/>
      <c r="GL44" s="685"/>
      <c r="GM44" s="685"/>
      <c r="GN44" s="685"/>
      <c r="GO44" s="685"/>
      <c r="GP44" s="685"/>
      <c r="GQ44" s="685"/>
      <c r="GR44" s="685"/>
      <c r="GS44" s="685"/>
      <c r="GT44" s="685"/>
      <c r="GU44" s="685"/>
      <c r="GV44" s="685"/>
      <c r="GW44" s="685"/>
      <c r="GX44" s="685"/>
      <c r="GY44" s="685"/>
      <c r="GZ44" s="685"/>
      <c r="HA44" s="685"/>
      <c r="HB44" s="685"/>
      <c r="HC44" s="685"/>
      <c r="HD44" s="685"/>
      <c r="HE44" s="685"/>
      <c r="HF44" s="685"/>
      <c r="HG44" s="685"/>
      <c r="HH44" s="685"/>
      <c r="HI44" s="685"/>
      <c r="HJ44" s="685"/>
      <c r="HK44" s="685"/>
      <c r="HL44" s="685"/>
      <c r="HM44" s="685"/>
      <c r="HN44" s="685"/>
      <c r="HO44" s="685"/>
      <c r="HP44" s="685"/>
      <c r="HQ44" s="685"/>
      <c r="HR44" s="685"/>
      <c r="HS44" s="685"/>
      <c r="HT44" s="685"/>
      <c r="HU44" s="685"/>
      <c r="HV44" s="685"/>
      <c r="HW44" s="685"/>
      <c r="HX44" s="685"/>
      <c r="HY44" s="685"/>
      <c r="HZ44" s="685"/>
      <c r="IA44" s="685"/>
      <c r="IB44" s="685"/>
      <c r="IC44" s="685"/>
      <c r="ID44" s="685"/>
      <c r="IE44" s="685"/>
      <c r="IF44" s="685"/>
      <c r="IG44" s="685"/>
      <c r="IH44" s="685"/>
      <c r="II44" s="685"/>
      <c r="IJ44" s="685"/>
      <c r="IK44" s="685"/>
      <c r="IL44" s="685"/>
      <c r="IM44" s="685"/>
      <c r="IN44" s="685"/>
      <c r="IO44" s="685"/>
      <c r="IP44" s="685"/>
      <c r="IQ44" s="685"/>
    </row>
    <row r="45" spans="1:251" x14ac:dyDescent="0.3">
      <c r="A45" s="684">
        <v>36</v>
      </c>
      <c r="B45" s="698"/>
      <c r="C45" s="704"/>
      <c r="D45" s="1499" t="s">
        <v>929</v>
      </c>
      <c r="E45" s="700"/>
      <c r="F45" s="701"/>
      <c r="G45" s="702"/>
      <c r="H45" s="925"/>
      <c r="I45" s="894"/>
      <c r="J45" s="710"/>
      <c r="K45" s="710"/>
      <c r="L45" s="1611">
        <f>SUM(I45:K45)</f>
        <v>0</v>
      </c>
      <c r="M45" s="703"/>
      <c r="N45" s="685"/>
      <c r="O45" s="685"/>
      <c r="P45" s="685"/>
      <c r="Q45" s="685"/>
      <c r="R45" s="685"/>
      <c r="S45" s="685"/>
      <c r="T45" s="685"/>
      <c r="U45" s="685"/>
      <c r="V45" s="685"/>
      <c r="W45" s="685"/>
      <c r="X45" s="685"/>
      <c r="Y45" s="685"/>
      <c r="Z45" s="685"/>
      <c r="AA45" s="685"/>
      <c r="AB45" s="685"/>
      <c r="AC45" s="685"/>
      <c r="AD45" s="685"/>
      <c r="AE45" s="685"/>
      <c r="AF45" s="685"/>
      <c r="AG45" s="685"/>
      <c r="AH45" s="685"/>
      <c r="AI45" s="685"/>
      <c r="AJ45" s="685"/>
      <c r="AK45" s="685"/>
      <c r="AL45" s="685"/>
      <c r="AM45" s="685"/>
      <c r="AN45" s="685"/>
      <c r="AO45" s="685"/>
      <c r="AP45" s="685"/>
      <c r="AQ45" s="685"/>
      <c r="AR45" s="685"/>
      <c r="AS45" s="685"/>
      <c r="AT45" s="685"/>
      <c r="AU45" s="685"/>
      <c r="AV45" s="685"/>
      <c r="AW45" s="685"/>
      <c r="AX45" s="685"/>
      <c r="AY45" s="685"/>
      <c r="AZ45" s="685"/>
      <c r="BA45" s="685"/>
      <c r="BB45" s="685"/>
      <c r="BC45" s="685"/>
      <c r="BD45" s="685"/>
      <c r="BE45" s="685"/>
      <c r="BF45" s="685"/>
      <c r="BG45" s="685"/>
      <c r="BH45" s="685"/>
      <c r="BI45" s="685"/>
      <c r="BJ45" s="685"/>
      <c r="BK45" s="685"/>
      <c r="BL45" s="685"/>
      <c r="BM45" s="685"/>
      <c r="BN45" s="685"/>
      <c r="BO45" s="685"/>
      <c r="BP45" s="685"/>
      <c r="BQ45" s="685"/>
      <c r="BR45" s="685"/>
      <c r="BS45" s="685"/>
      <c r="BT45" s="685"/>
      <c r="BU45" s="685"/>
      <c r="BV45" s="685"/>
      <c r="BW45" s="685"/>
      <c r="BX45" s="685"/>
      <c r="BY45" s="685"/>
      <c r="BZ45" s="685"/>
      <c r="CA45" s="685"/>
      <c r="CB45" s="685"/>
      <c r="CC45" s="685"/>
      <c r="CD45" s="685"/>
      <c r="CE45" s="685"/>
      <c r="CF45" s="685"/>
      <c r="CG45" s="685"/>
      <c r="CH45" s="685"/>
      <c r="CI45" s="685"/>
      <c r="CJ45" s="685"/>
      <c r="CK45" s="685"/>
      <c r="CL45" s="685"/>
      <c r="CM45" s="685"/>
      <c r="CN45" s="685"/>
      <c r="CO45" s="685"/>
      <c r="CP45" s="685"/>
      <c r="CQ45" s="685"/>
      <c r="CR45" s="685"/>
      <c r="CS45" s="685"/>
      <c r="CT45" s="685"/>
      <c r="CU45" s="685"/>
      <c r="CV45" s="685"/>
      <c r="CW45" s="685"/>
      <c r="CX45" s="685"/>
      <c r="CY45" s="685"/>
      <c r="CZ45" s="685"/>
      <c r="DA45" s="685"/>
      <c r="DB45" s="685"/>
      <c r="DC45" s="685"/>
      <c r="DD45" s="685"/>
      <c r="DE45" s="685"/>
      <c r="DF45" s="685"/>
      <c r="DG45" s="685"/>
      <c r="DH45" s="685"/>
      <c r="DI45" s="685"/>
      <c r="DJ45" s="685"/>
      <c r="DK45" s="685"/>
      <c r="DL45" s="685"/>
      <c r="DM45" s="685"/>
      <c r="DN45" s="685"/>
      <c r="DO45" s="685"/>
      <c r="DP45" s="685"/>
      <c r="DQ45" s="685"/>
      <c r="DR45" s="685"/>
      <c r="DS45" s="685"/>
      <c r="DT45" s="685"/>
      <c r="DU45" s="685"/>
      <c r="DV45" s="685"/>
      <c r="DW45" s="685"/>
      <c r="DX45" s="685"/>
      <c r="DY45" s="685"/>
      <c r="DZ45" s="685"/>
      <c r="EA45" s="685"/>
      <c r="EB45" s="685"/>
      <c r="EC45" s="685"/>
      <c r="ED45" s="685"/>
      <c r="EE45" s="685"/>
      <c r="EF45" s="685"/>
      <c r="EG45" s="685"/>
      <c r="EH45" s="685"/>
      <c r="EI45" s="685"/>
      <c r="EJ45" s="685"/>
      <c r="EK45" s="685"/>
      <c r="EL45" s="685"/>
      <c r="EM45" s="685"/>
      <c r="EN45" s="685"/>
      <c r="EO45" s="685"/>
      <c r="EP45" s="685"/>
      <c r="EQ45" s="685"/>
      <c r="ER45" s="685"/>
      <c r="ES45" s="685"/>
      <c r="ET45" s="685"/>
      <c r="EU45" s="685"/>
      <c r="EV45" s="685"/>
      <c r="EW45" s="685"/>
      <c r="EX45" s="685"/>
      <c r="EY45" s="685"/>
      <c r="EZ45" s="685"/>
      <c r="FA45" s="685"/>
      <c r="FB45" s="685"/>
      <c r="FC45" s="685"/>
      <c r="FD45" s="685"/>
      <c r="FE45" s="685"/>
      <c r="FF45" s="685"/>
      <c r="FG45" s="685"/>
      <c r="FH45" s="685"/>
      <c r="FI45" s="685"/>
      <c r="FJ45" s="685"/>
      <c r="FK45" s="685"/>
      <c r="FL45" s="685"/>
      <c r="FM45" s="685"/>
      <c r="FN45" s="685"/>
      <c r="FO45" s="685"/>
      <c r="FP45" s="685"/>
      <c r="FQ45" s="685"/>
      <c r="FR45" s="685"/>
      <c r="FS45" s="685"/>
      <c r="FT45" s="685"/>
      <c r="FU45" s="685"/>
      <c r="FV45" s="685"/>
      <c r="FW45" s="685"/>
      <c r="FX45" s="685"/>
      <c r="FY45" s="685"/>
      <c r="FZ45" s="685"/>
      <c r="GA45" s="685"/>
      <c r="GB45" s="685"/>
      <c r="GC45" s="685"/>
      <c r="GD45" s="685"/>
      <c r="GE45" s="685"/>
      <c r="GF45" s="685"/>
      <c r="GG45" s="685"/>
      <c r="GH45" s="685"/>
      <c r="GI45" s="685"/>
      <c r="GJ45" s="685"/>
      <c r="GK45" s="685"/>
      <c r="GL45" s="685"/>
      <c r="GM45" s="685"/>
      <c r="GN45" s="685"/>
      <c r="GO45" s="685"/>
      <c r="GP45" s="685"/>
      <c r="GQ45" s="685"/>
      <c r="GR45" s="685"/>
      <c r="GS45" s="685"/>
      <c r="GT45" s="685"/>
      <c r="GU45" s="685"/>
      <c r="GV45" s="685"/>
      <c r="GW45" s="685"/>
      <c r="GX45" s="685"/>
      <c r="GY45" s="685"/>
      <c r="GZ45" s="685"/>
      <c r="HA45" s="685"/>
      <c r="HB45" s="685"/>
      <c r="HC45" s="685"/>
      <c r="HD45" s="685"/>
      <c r="HE45" s="685"/>
      <c r="HF45" s="685"/>
      <c r="HG45" s="685"/>
      <c r="HH45" s="685"/>
      <c r="HI45" s="685"/>
      <c r="HJ45" s="685"/>
      <c r="HK45" s="685"/>
      <c r="HL45" s="685"/>
      <c r="HM45" s="685"/>
      <c r="HN45" s="685"/>
      <c r="HO45" s="685"/>
      <c r="HP45" s="685"/>
      <c r="HQ45" s="685"/>
      <c r="HR45" s="685"/>
      <c r="HS45" s="685"/>
      <c r="HT45" s="685"/>
      <c r="HU45" s="685"/>
      <c r="HV45" s="685"/>
      <c r="HW45" s="685"/>
      <c r="HX45" s="685"/>
      <c r="HY45" s="685"/>
      <c r="HZ45" s="685"/>
      <c r="IA45" s="685"/>
      <c r="IB45" s="685"/>
      <c r="IC45" s="685"/>
      <c r="ID45" s="685"/>
      <c r="IE45" s="685"/>
      <c r="IF45" s="685"/>
      <c r="IG45" s="685"/>
      <c r="IH45" s="685"/>
      <c r="II45" s="685"/>
      <c r="IJ45" s="685"/>
      <c r="IK45" s="685"/>
      <c r="IL45" s="685"/>
      <c r="IM45" s="685"/>
      <c r="IN45" s="685"/>
      <c r="IO45" s="685"/>
      <c r="IP45" s="685"/>
      <c r="IQ45" s="685"/>
    </row>
    <row r="46" spans="1:251" x14ac:dyDescent="0.3">
      <c r="A46" s="684">
        <v>37</v>
      </c>
      <c r="B46" s="698"/>
      <c r="C46" s="704"/>
      <c r="D46" s="641" t="s">
        <v>927</v>
      </c>
      <c r="E46" s="700"/>
      <c r="F46" s="701"/>
      <c r="G46" s="702"/>
      <c r="H46" s="925"/>
      <c r="I46" s="894"/>
      <c r="J46" s="1687">
        <f>SUM(J44:J45)</f>
        <v>302000</v>
      </c>
      <c r="K46" s="710"/>
      <c r="L46" s="1615">
        <f>SUM(I46:K46)</f>
        <v>302000</v>
      </c>
      <c r="M46" s="703"/>
      <c r="N46" s="685"/>
      <c r="O46" s="685"/>
      <c r="P46" s="685"/>
      <c r="Q46" s="685"/>
      <c r="R46" s="685"/>
      <c r="S46" s="685"/>
      <c r="T46" s="685"/>
      <c r="U46" s="685"/>
      <c r="V46" s="685"/>
      <c r="W46" s="685"/>
      <c r="X46" s="685"/>
      <c r="Y46" s="685"/>
      <c r="Z46" s="685"/>
      <c r="AA46" s="685"/>
      <c r="AB46" s="685"/>
      <c r="AC46" s="685"/>
      <c r="AD46" s="685"/>
      <c r="AE46" s="685"/>
      <c r="AF46" s="685"/>
      <c r="AG46" s="685"/>
      <c r="AH46" s="685"/>
      <c r="AI46" s="685"/>
      <c r="AJ46" s="685"/>
      <c r="AK46" s="685"/>
      <c r="AL46" s="685"/>
      <c r="AM46" s="685"/>
      <c r="AN46" s="685"/>
      <c r="AO46" s="685"/>
      <c r="AP46" s="685"/>
      <c r="AQ46" s="685"/>
      <c r="AR46" s="685"/>
      <c r="AS46" s="685"/>
      <c r="AT46" s="685"/>
      <c r="AU46" s="685"/>
      <c r="AV46" s="685"/>
      <c r="AW46" s="685"/>
      <c r="AX46" s="685"/>
      <c r="AY46" s="685"/>
      <c r="AZ46" s="685"/>
      <c r="BA46" s="685"/>
      <c r="BB46" s="685"/>
      <c r="BC46" s="685"/>
      <c r="BD46" s="685"/>
      <c r="BE46" s="685"/>
      <c r="BF46" s="685"/>
      <c r="BG46" s="685"/>
      <c r="BH46" s="685"/>
      <c r="BI46" s="685"/>
      <c r="BJ46" s="685"/>
      <c r="BK46" s="685"/>
      <c r="BL46" s="685"/>
      <c r="BM46" s="685"/>
      <c r="BN46" s="685"/>
      <c r="BO46" s="685"/>
      <c r="BP46" s="685"/>
      <c r="BQ46" s="685"/>
      <c r="BR46" s="685"/>
      <c r="BS46" s="685"/>
      <c r="BT46" s="685"/>
      <c r="BU46" s="685"/>
      <c r="BV46" s="685"/>
      <c r="BW46" s="685"/>
      <c r="BX46" s="685"/>
      <c r="BY46" s="685"/>
      <c r="BZ46" s="685"/>
      <c r="CA46" s="685"/>
      <c r="CB46" s="685"/>
      <c r="CC46" s="685"/>
      <c r="CD46" s="685"/>
      <c r="CE46" s="685"/>
      <c r="CF46" s="685"/>
      <c r="CG46" s="685"/>
      <c r="CH46" s="685"/>
      <c r="CI46" s="685"/>
      <c r="CJ46" s="685"/>
      <c r="CK46" s="685"/>
      <c r="CL46" s="685"/>
      <c r="CM46" s="685"/>
      <c r="CN46" s="685"/>
      <c r="CO46" s="685"/>
      <c r="CP46" s="685"/>
      <c r="CQ46" s="685"/>
      <c r="CR46" s="685"/>
      <c r="CS46" s="685"/>
      <c r="CT46" s="685"/>
      <c r="CU46" s="685"/>
      <c r="CV46" s="685"/>
      <c r="CW46" s="685"/>
      <c r="CX46" s="685"/>
      <c r="CY46" s="685"/>
      <c r="CZ46" s="685"/>
      <c r="DA46" s="685"/>
      <c r="DB46" s="685"/>
      <c r="DC46" s="685"/>
      <c r="DD46" s="685"/>
      <c r="DE46" s="685"/>
      <c r="DF46" s="685"/>
      <c r="DG46" s="685"/>
      <c r="DH46" s="685"/>
      <c r="DI46" s="685"/>
      <c r="DJ46" s="685"/>
      <c r="DK46" s="685"/>
      <c r="DL46" s="685"/>
      <c r="DM46" s="685"/>
      <c r="DN46" s="685"/>
      <c r="DO46" s="685"/>
      <c r="DP46" s="685"/>
      <c r="DQ46" s="685"/>
      <c r="DR46" s="685"/>
      <c r="DS46" s="685"/>
      <c r="DT46" s="685"/>
      <c r="DU46" s="685"/>
      <c r="DV46" s="685"/>
      <c r="DW46" s="685"/>
      <c r="DX46" s="685"/>
      <c r="DY46" s="685"/>
      <c r="DZ46" s="685"/>
      <c r="EA46" s="685"/>
      <c r="EB46" s="685"/>
      <c r="EC46" s="685"/>
      <c r="ED46" s="685"/>
      <c r="EE46" s="685"/>
      <c r="EF46" s="685"/>
      <c r="EG46" s="685"/>
      <c r="EH46" s="685"/>
      <c r="EI46" s="685"/>
      <c r="EJ46" s="685"/>
      <c r="EK46" s="685"/>
      <c r="EL46" s="685"/>
      <c r="EM46" s="685"/>
      <c r="EN46" s="685"/>
      <c r="EO46" s="685"/>
      <c r="EP46" s="685"/>
      <c r="EQ46" s="685"/>
      <c r="ER46" s="685"/>
      <c r="ES46" s="685"/>
      <c r="ET46" s="685"/>
      <c r="EU46" s="685"/>
      <c r="EV46" s="685"/>
      <c r="EW46" s="685"/>
      <c r="EX46" s="685"/>
      <c r="EY46" s="685"/>
      <c r="EZ46" s="685"/>
      <c r="FA46" s="685"/>
      <c r="FB46" s="685"/>
      <c r="FC46" s="685"/>
      <c r="FD46" s="685"/>
      <c r="FE46" s="685"/>
      <c r="FF46" s="685"/>
      <c r="FG46" s="685"/>
      <c r="FH46" s="685"/>
      <c r="FI46" s="685"/>
      <c r="FJ46" s="685"/>
      <c r="FK46" s="685"/>
      <c r="FL46" s="685"/>
      <c r="FM46" s="685"/>
      <c r="FN46" s="685"/>
      <c r="FO46" s="685"/>
      <c r="FP46" s="685"/>
      <c r="FQ46" s="685"/>
      <c r="FR46" s="685"/>
      <c r="FS46" s="685"/>
      <c r="FT46" s="685"/>
      <c r="FU46" s="685"/>
      <c r="FV46" s="685"/>
      <c r="FW46" s="685"/>
      <c r="FX46" s="685"/>
      <c r="FY46" s="685"/>
      <c r="FZ46" s="685"/>
      <c r="GA46" s="685"/>
      <c r="GB46" s="685"/>
      <c r="GC46" s="685"/>
      <c r="GD46" s="685"/>
      <c r="GE46" s="685"/>
      <c r="GF46" s="685"/>
      <c r="GG46" s="685"/>
      <c r="GH46" s="685"/>
      <c r="GI46" s="685"/>
      <c r="GJ46" s="685"/>
      <c r="GK46" s="685"/>
      <c r="GL46" s="685"/>
      <c r="GM46" s="685"/>
      <c r="GN46" s="685"/>
      <c r="GO46" s="685"/>
      <c r="GP46" s="685"/>
      <c r="GQ46" s="685"/>
      <c r="GR46" s="685"/>
      <c r="GS46" s="685"/>
      <c r="GT46" s="685"/>
      <c r="GU46" s="685"/>
      <c r="GV46" s="685"/>
      <c r="GW46" s="685"/>
      <c r="GX46" s="685"/>
      <c r="GY46" s="685"/>
      <c r="GZ46" s="685"/>
      <c r="HA46" s="685"/>
      <c r="HB46" s="685"/>
      <c r="HC46" s="685"/>
      <c r="HD46" s="685"/>
      <c r="HE46" s="685"/>
      <c r="HF46" s="685"/>
      <c r="HG46" s="685"/>
      <c r="HH46" s="685"/>
      <c r="HI46" s="685"/>
      <c r="HJ46" s="685"/>
      <c r="HK46" s="685"/>
      <c r="HL46" s="685"/>
      <c r="HM46" s="685"/>
      <c r="HN46" s="685"/>
      <c r="HO46" s="685"/>
      <c r="HP46" s="685"/>
      <c r="HQ46" s="685"/>
      <c r="HR46" s="685"/>
      <c r="HS46" s="685"/>
      <c r="HT46" s="685"/>
      <c r="HU46" s="685"/>
      <c r="HV46" s="685"/>
      <c r="HW46" s="685"/>
      <c r="HX46" s="685"/>
      <c r="HY46" s="685"/>
      <c r="HZ46" s="685"/>
      <c r="IA46" s="685"/>
      <c r="IB46" s="685"/>
      <c r="IC46" s="685"/>
      <c r="ID46" s="685"/>
      <c r="IE46" s="685"/>
      <c r="IF46" s="685"/>
      <c r="IG46" s="685"/>
      <c r="IH46" s="685"/>
      <c r="II46" s="685"/>
      <c r="IJ46" s="685"/>
      <c r="IK46" s="685"/>
      <c r="IL46" s="685"/>
      <c r="IM46" s="685"/>
      <c r="IN46" s="685"/>
      <c r="IO46" s="685"/>
      <c r="IP46" s="685"/>
      <c r="IQ46" s="685"/>
    </row>
    <row r="47" spans="1:251" ht="16.5" x14ac:dyDescent="0.3">
      <c r="A47" s="684">
        <v>38</v>
      </c>
      <c r="B47" s="698"/>
      <c r="C47" s="704">
        <v>10</v>
      </c>
      <c r="D47" s="410" t="s">
        <v>558</v>
      </c>
      <c r="E47" s="700">
        <f>F47+G47+L50+M48</f>
        <v>4600</v>
      </c>
      <c r="F47" s="701">
        <f>100+1500</f>
        <v>1600</v>
      </c>
      <c r="G47" s="702">
        <v>2000</v>
      </c>
      <c r="H47" s="925" t="s">
        <v>24</v>
      </c>
      <c r="I47" s="894"/>
      <c r="J47" s="710"/>
      <c r="K47" s="710"/>
      <c r="L47" s="711"/>
      <c r="M47" s="703"/>
      <c r="N47" s="685"/>
      <c r="O47" s="685"/>
      <c r="P47" s="685"/>
      <c r="Q47" s="685"/>
      <c r="R47" s="685"/>
      <c r="S47" s="685"/>
      <c r="T47" s="685"/>
      <c r="U47" s="685"/>
      <c r="V47" s="685"/>
      <c r="W47" s="685"/>
      <c r="X47" s="685"/>
      <c r="Y47" s="685"/>
      <c r="Z47" s="685"/>
      <c r="AA47" s="685"/>
      <c r="AB47" s="685"/>
      <c r="AC47" s="685"/>
      <c r="AD47" s="685"/>
      <c r="AE47" s="685"/>
      <c r="AF47" s="685"/>
      <c r="AG47" s="685"/>
      <c r="AH47" s="685"/>
      <c r="AI47" s="685"/>
      <c r="AJ47" s="685"/>
      <c r="AK47" s="685"/>
      <c r="AL47" s="685"/>
      <c r="AM47" s="685"/>
      <c r="AN47" s="685"/>
      <c r="AO47" s="685"/>
      <c r="AP47" s="685"/>
      <c r="AQ47" s="685"/>
      <c r="AR47" s="685"/>
      <c r="AS47" s="685"/>
      <c r="AT47" s="685"/>
      <c r="AU47" s="685"/>
      <c r="AV47" s="685"/>
      <c r="AW47" s="685"/>
      <c r="AX47" s="685"/>
      <c r="AY47" s="685"/>
      <c r="AZ47" s="685"/>
      <c r="BA47" s="685"/>
      <c r="BB47" s="685"/>
      <c r="BC47" s="685"/>
      <c r="BD47" s="685"/>
      <c r="BE47" s="685"/>
      <c r="BF47" s="685"/>
      <c r="BG47" s="685"/>
      <c r="BH47" s="685"/>
      <c r="BI47" s="685"/>
      <c r="BJ47" s="685"/>
      <c r="BK47" s="685"/>
      <c r="BL47" s="685"/>
      <c r="BM47" s="685"/>
      <c r="BN47" s="685"/>
      <c r="BO47" s="685"/>
      <c r="BP47" s="685"/>
      <c r="BQ47" s="685"/>
      <c r="BR47" s="685"/>
      <c r="BS47" s="685"/>
      <c r="BT47" s="685"/>
      <c r="BU47" s="685"/>
      <c r="BV47" s="685"/>
      <c r="BW47" s="685"/>
      <c r="BX47" s="685"/>
      <c r="BY47" s="685"/>
      <c r="BZ47" s="685"/>
      <c r="CA47" s="685"/>
      <c r="CB47" s="685"/>
      <c r="CC47" s="685"/>
      <c r="CD47" s="685"/>
      <c r="CE47" s="685"/>
      <c r="CF47" s="685"/>
      <c r="CG47" s="685"/>
      <c r="CH47" s="685"/>
      <c r="CI47" s="685"/>
      <c r="CJ47" s="685"/>
      <c r="CK47" s="685"/>
      <c r="CL47" s="685"/>
      <c r="CM47" s="685"/>
      <c r="CN47" s="685"/>
      <c r="CO47" s="685"/>
      <c r="CP47" s="685"/>
      <c r="CQ47" s="685"/>
      <c r="CR47" s="685"/>
      <c r="CS47" s="685"/>
      <c r="CT47" s="685"/>
      <c r="CU47" s="685"/>
      <c r="CV47" s="685"/>
      <c r="CW47" s="685"/>
      <c r="CX47" s="685"/>
      <c r="CY47" s="685"/>
      <c r="CZ47" s="685"/>
      <c r="DA47" s="685"/>
      <c r="DB47" s="685"/>
      <c r="DC47" s="685"/>
      <c r="DD47" s="685"/>
      <c r="DE47" s="685"/>
      <c r="DF47" s="685"/>
      <c r="DG47" s="685"/>
      <c r="DH47" s="685"/>
      <c r="DI47" s="685"/>
      <c r="DJ47" s="685"/>
      <c r="DK47" s="685"/>
      <c r="DL47" s="685"/>
      <c r="DM47" s="685"/>
      <c r="DN47" s="685"/>
      <c r="DO47" s="685"/>
      <c r="DP47" s="685"/>
      <c r="DQ47" s="685"/>
      <c r="DR47" s="685"/>
      <c r="DS47" s="685"/>
      <c r="DT47" s="685"/>
      <c r="DU47" s="685"/>
      <c r="DV47" s="685"/>
      <c r="DW47" s="685"/>
      <c r="DX47" s="685"/>
      <c r="DY47" s="685"/>
      <c r="DZ47" s="685"/>
      <c r="EA47" s="685"/>
      <c r="EB47" s="685"/>
      <c r="EC47" s="685"/>
      <c r="ED47" s="685"/>
      <c r="EE47" s="685"/>
      <c r="EF47" s="685"/>
      <c r="EG47" s="685"/>
      <c r="EH47" s="685"/>
      <c r="EI47" s="685"/>
      <c r="EJ47" s="685"/>
      <c r="EK47" s="685"/>
      <c r="EL47" s="685"/>
      <c r="EM47" s="685"/>
      <c r="EN47" s="685"/>
      <c r="EO47" s="685"/>
      <c r="EP47" s="685"/>
      <c r="EQ47" s="685"/>
      <c r="ER47" s="685"/>
      <c r="ES47" s="685"/>
      <c r="ET47" s="685"/>
      <c r="EU47" s="685"/>
      <c r="EV47" s="685"/>
      <c r="EW47" s="685"/>
      <c r="EX47" s="685"/>
      <c r="EY47" s="685"/>
      <c r="EZ47" s="685"/>
      <c r="FA47" s="685"/>
      <c r="FB47" s="685"/>
      <c r="FC47" s="685"/>
      <c r="FD47" s="685"/>
      <c r="FE47" s="685"/>
      <c r="FF47" s="685"/>
      <c r="FG47" s="685"/>
      <c r="FH47" s="685"/>
      <c r="FI47" s="685"/>
      <c r="FJ47" s="685"/>
      <c r="FK47" s="685"/>
      <c r="FL47" s="685"/>
      <c r="FM47" s="685"/>
      <c r="FN47" s="685"/>
      <c r="FO47" s="685"/>
      <c r="FP47" s="685"/>
      <c r="FQ47" s="685"/>
      <c r="FR47" s="685"/>
      <c r="FS47" s="685"/>
      <c r="FT47" s="685"/>
      <c r="FU47" s="685"/>
      <c r="FV47" s="685"/>
      <c r="FW47" s="685"/>
      <c r="FX47" s="685"/>
      <c r="FY47" s="685"/>
      <c r="FZ47" s="685"/>
      <c r="GA47" s="685"/>
      <c r="GB47" s="685"/>
      <c r="GC47" s="685"/>
      <c r="GD47" s="685"/>
      <c r="GE47" s="685"/>
      <c r="GF47" s="685"/>
      <c r="GG47" s="685"/>
      <c r="GH47" s="685"/>
      <c r="GI47" s="685"/>
      <c r="GJ47" s="685"/>
      <c r="GK47" s="685"/>
      <c r="GL47" s="685"/>
      <c r="GM47" s="685"/>
      <c r="GN47" s="685"/>
      <c r="GO47" s="685"/>
      <c r="GP47" s="685"/>
      <c r="GQ47" s="685"/>
      <c r="GR47" s="685"/>
      <c r="GS47" s="685"/>
      <c r="GT47" s="685"/>
      <c r="GU47" s="685"/>
      <c r="GV47" s="685"/>
      <c r="GW47" s="685"/>
      <c r="GX47" s="685"/>
      <c r="GY47" s="685"/>
      <c r="GZ47" s="685"/>
      <c r="HA47" s="685"/>
      <c r="HB47" s="685"/>
      <c r="HC47" s="685"/>
      <c r="HD47" s="685"/>
      <c r="HE47" s="685"/>
      <c r="HF47" s="685"/>
      <c r="HG47" s="685"/>
      <c r="HH47" s="685"/>
      <c r="HI47" s="685"/>
      <c r="HJ47" s="685"/>
      <c r="HK47" s="685"/>
      <c r="HL47" s="685"/>
      <c r="HM47" s="685"/>
      <c r="HN47" s="685"/>
      <c r="HO47" s="685"/>
      <c r="HP47" s="685"/>
      <c r="HQ47" s="685"/>
      <c r="HR47" s="685"/>
      <c r="HS47" s="685"/>
      <c r="HT47" s="685"/>
      <c r="HU47" s="685"/>
      <c r="HV47" s="685"/>
      <c r="HW47" s="685"/>
      <c r="HX47" s="685"/>
      <c r="HY47" s="685"/>
      <c r="HZ47" s="685"/>
      <c r="IA47" s="685"/>
      <c r="IB47" s="685"/>
      <c r="IC47" s="685"/>
      <c r="ID47" s="685"/>
      <c r="IE47" s="685"/>
      <c r="IF47" s="685"/>
      <c r="IG47" s="685"/>
      <c r="IH47" s="685"/>
      <c r="II47" s="685"/>
      <c r="IJ47" s="685"/>
      <c r="IK47" s="685"/>
      <c r="IL47" s="685"/>
      <c r="IM47" s="685"/>
      <c r="IN47" s="685"/>
      <c r="IO47" s="685"/>
      <c r="IP47" s="685"/>
      <c r="IQ47" s="685"/>
    </row>
    <row r="48" spans="1:251" x14ac:dyDescent="0.3">
      <c r="A48" s="684">
        <v>39</v>
      </c>
      <c r="B48" s="1677"/>
      <c r="C48" s="1678"/>
      <c r="D48" s="760" t="s">
        <v>292</v>
      </c>
      <c r="E48" s="1679"/>
      <c r="F48" s="1680"/>
      <c r="G48" s="1681"/>
      <c r="H48" s="1682"/>
      <c r="I48" s="1683"/>
      <c r="J48" s="1684">
        <v>1000</v>
      </c>
      <c r="K48" s="1684"/>
      <c r="L48" s="1685">
        <f t="shared" ref="L48" si="6">SUM(I48:K48)</f>
        <v>1000</v>
      </c>
      <c r="M48" s="1686"/>
    </row>
    <row r="49" spans="1:13" x14ac:dyDescent="0.3">
      <c r="A49" s="684">
        <v>40</v>
      </c>
      <c r="B49" s="698"/>
      <c r="C49" s="704"/>
      <c r="D49" s="1499" t="s">
        <v>929</v>
      </c>
      <c r="E49" s="700"/>
      <c r="F49" s="701"/>
      <c r="G49" s="702"/>
      <c r="H49" s="925"/>
      <c r="I49" s="894"/>
      <c r="J49" s="710"/>
      <c r="K49" s="710"/>
      <c r="L49" s="1611">
        <f>SUM(I49:K49)</f>
        <v>0</v>
      </c>
      <c r="M49" s="703"/>
    </row>
    <row r="50" spans="1:13" x14ac:dyDescent="0.3">
      <c r="A50" s="684">
        <v>41</v>
      </c>
      <c r="B50" s="698"/>
      <c r="C50" s="704"/>
      <c r="D50" s="641" t="s">
        <v>927</v>
      </c>
      <c r="E50" s="700"/>
      <c r="F50" s="701"/>
      <c r="G50" s="702"/>
      <c r="H50" s="925"/>
      <c r="I50" s="894"/>
      <c r="J50" s="1687">
        <f>SUM(J48:J49)</f>
        <v>1000</v>
      </c>
      <c r="K50" s="710"/>
      <c r="L50" s="1615">
        <f>SUM(I50:K50)</f>
        <v>1000</v>
      </c>
      <c r="M50" s="703"/>
    </row>
    <row r="51" spans="1:13" ht="16.5" x14ac:dyDescent="0.3">
      <c r="A51" s="684">
        <v>42</v>
      </c>
      <c r="B51" s="698"/>
      <c r="C51" s="704">
        <v>11</v>
      </c>
      <c r="D51" s="410" t="s">
        <v>559</v>
      </c>
      <c r="E51" s="700">
        <f>F51+G51+L54+M52</f>
        <v>475100</v>
      </c>
      <c r="F51" s="701">
        <f>82900+195200</f>
        <v>278100</v>
      </c>
      <c r="G51" s="702">
        <v>98000</v>
      </c>
      <c r="H51" s="925" t="s">
        <v>24</v>
      </c>
      <c r="I51" s="894"/>
      <c r="J51" s="710"/>
      <c r="K51" s="710"/>
      <c r="L51" s="711"/>
      <c r="M51" s="703"/>
    </row>
    <row r="52" spans="1:13" x14ac:dyDescent="0.3">
      <c r="A52" s="684">
        <v>43</v>
      </c>
      <c r="B52" s="1677"/>
      <c r="C52" s="1678"/>
      <c r="D52" s="760" t="s">
        <v>292</v>
      </c>
      <c r="E52" s="1679"/>
      <c r="F52" s="1680"/>
      <c r="G52" s="1681"/>
      <c r="H52" s="1682"/>
      <c r="I52" s="1683"/>
      <c r="J52" s="1684">
        <v>99000</v>
      </c>
      <c r="K52" s="1684"/>
      <c r="L52" s="1685">
        <f t="shared" ref="L52" si="7">SUM(I52:K52)</f>
        <v>99000</v>
      </c>
      <c r="M52" s="1686"/>
    </row>
    <row r="53" spans="1:13" x14ac:dyDescent="0.3">
      <c r="A53" s="684">
        <v>44</v>
      </c>
      <c r="B53" s="698"/>
      <c r="C53" s="704"/>
      <c r="D53" s="1499" t="s">
        <v>929</v>
      </c>
      <c r="E53" s="700"/>
      <c r="F53" s="701"/>
      <c r="G53" s="702"/>
      <c r="H53" s="925"/>
      <c r="I53" s="894"/>
      <c r="J53" s="710"/>
      <c r="K53" s="710"/>
      <c r="L53" s="1611">
        <f>SUM(I53:K53)</f>
        <v>0</v>
      </c>
      <c r="M53" s="703"/>
    </row>
    <row r="54" spans="1:13" x14ac:dyDescent="0.3">
      <c r="A54" s="684">
        <v>45</v>
      </c>
      <c r="B54" s="698"/>
      <c r="C54" s="704"/>
      <c r="D54" s="641" t="s">
        <v>927</v>
      </c>
      <c r="E54" s="700"/>
      <c r="F54" s="701"/>
      <c r="G54" s="702"/>
      <c r="H54" s="925"/>
      <c r="I54" s="894"/>
      <c r="J54" s="1687">
        <f>SUM(J52:J53)</f>
        <v>99000</v>
      </c>
      <c r="K54" s="710"/>
      <c r="L54" s="1615">
        <f>SUM(I54:K54)</f>
        <v>99000</v>
      </c>
      <c r="M54" s="703"/>
    </row>
    <row r="55" spans="1:13" ht="33" x14ac:dyDescent="0.3">
      <c r="A55" s="684">
        <v>46</v>
      </c>
      <c r="B55" s="698"/>
      <c r="C55" s="704">
        <v>12</v>
      </c>
      <c r="D55" s="1230" t="s">
        <v>547</v>
      </c>
      <c r="E55" s="700">
        <f>F55+G55+L58+M56</f>
        <v>19000</v>
      </c>
      <c r="F55" s="701"/>
      <c r="G55" s="702">
        <v>0</v>
      </c>
      <c r="H55" s="925" t="s">
        <v>24</v>
      </c>
      <c r="I55" s="894"/>
      <c r="J55" s="710"/>
      <c r="K55" s="710"/>
      <c r="L55" s="711"/>
      <c r="M55" s="703"/>
    </row>
    <row r="56" spans="1:13" x14ac:dyDescent="0.3">
      <c r="A56" s="684">
        <v>47</v>
      </c>
      <c r="B56" s="1677"/>
      <c r="C56" s="1678"/>
      <c r="D56" s="760" t="s">
        <v>292</v>
      </c>
      <c r="E56" s="1679"/>
      <c r="F56" s="1680"/>
      <c r="G56" s="1681"/>
      <c r="H56" s="1682"/>
      <c r="I56" s="1683"/>
      <c r="J56" s="1684">
        <v>19000</v>
      </c>
      <c r="K56" s="1684"/>
      <c r="L56" s="1685">
        <f t="shared" ref="L56" si="8">SUM(I56:K56)</f>
        <v>19000</v>
      </c>
      <c r="M56" s="1686"/>
    </row>
    <row r="57" spans="1:13" x14ac:dyDescent="0.3">
      <c r="A57" s="684">
        <v>48</v>
      </c>
      <c r="B57" s="698"/>
      <c r="C57" s="704"/>
      <c r="D57" s="1499" t="s">
        <v>929</v>
      </c>
      <c r="E57" s="700"/>
      <c r="F57" s="701"/>
      <c r="G57" s="702"/>
      <c r="H57" s="925"/>
      <c r="I57" s="894"/>
      <c r="J57" s="710"/>
      <c r="K57" s="710"/>
      <c r="L57" s="1611">
        <f>SUM(I57:K57)</f>
        <v>0</v>
      </c>
      <c r="M57" s="703"/>
    </row>
    <row r="58" spans="1:13" x14ac:dyDescent="0.3">
      <c r="A58" s="684">
        <v>49</v>
      </c>
      <c r="B58" s="698"/>
      <c r="C58" s="704"/>
      <c r="D58" s="641" t="s">
        <v>927</v>
      </c>
      <c r="E58" s="700"/>
      <c r="F58" s="701"/>
      <c r="G58" s="702"/>
      <c r="H58" s="925"/>
      <c r="I58" s="894"/>
      <c r="J58" s="1687">
        <f>SUM(J56:J57)</f>
        <v>19000</v>
      </c>
      <c r="K58" s="710"/>
      <c r="L58" s="1615">
        <f>SUM(I58:K58)</f>
        <v>19000</v>
      </c>
      <c r="M58" s="703"/>
    </row>
    <row r="59" spans="1:13" ht="16.5" x14ac:dyDescent="0.3">
      <c r="A59" s="684">
        <v>50</v>
      </c>
      <c r="B59" s="698"/>
      <c r="C59" s="699">
        <v>13</v>
      </c>
      <c r="D59" s="1230" t="s">
        <v>451</v>
      </c>
      <c r="E59" s="700">
        <f>F59+G59+L62+M60</f>
        <v>49023</v>
      </c>
      <c r="F59" s="701">
        <f>8127+11064</f>
        <v>19191</v>
      </c>
      <c r="G59" s="702">
        <v>7463</v>
      </c>
      <c r="H59" s="925" t="s">
        <v>24</v>
      </c>
      <c r="I59" s="894"/>
      <c r="J59" s="710"/>
      <c r="K59" s="710"/>
      <c r="L59" s="711"/>
      <c r="M59" s="703"/>
    </row>
    <row r="60" spans="1:13" x14ac:dyDescent="0.3">
      <c r="A60" s="684">
        <v>51</v>
      </c>
      <c r="B60" s="1677"/>
      <c r="C60" s="1691"/>
      <c r="D60" s="760" t="s">
        <v>292</v>
      </c>
      <c r="E60" s="1679"/>
      <c r="F60" s="1680"/>
      <c r="G60" s="1681"/>
      <c r="H60" s="1682"/>
      <c r="I60" s="1683">
        <v>1154</v>
      </c>
      <c r="J60" s="1684">
        <f>16910-1154</f>
        <v>15756</v>
      </c>
      <c r="K60" s="1684"/>
      <c r="L60" s="1685">
        <f t="shared" ref="L60" si="9">SUM(I60:K60)</f>
        <v>16910</v>
      </c>
      <c r="M60" s="1686"/>
    </row>
    <row r="61" spans="1:13" x14ac:dyDescent="0.3">
      <c r="A61" s="684">
        <v>52</v>
      </c>
      <c r="B61" s="698"/>
      <c r="C61" s="699"/>
      <c r="D61" s="1499" t="s">
        <v>926</v>
      </c>
      <c r="E61" s="700"/>
      <c r="F61" s="701"/>
      <c r="G61" s="702"/>
      <c r="H61" s="925"/>
      <c r="I61" s="894"/>
      <c r="J61" s="1693">
        <v>5459</v>
      </c>
      <c r="K61" s="710"/>
      <c r="L61" s="1611">
        <f>SUM(I61:K61)</f>
        <v>5459</v>
      </c>
      <c r="M61" s="703"/>
    </row>
    <row r="62" spans="1:13" x14ac:dyDescent="0.3">
      <c r="A62" s="684">
        <v>53</v>
      </c>
      <c r="B62" s="698"/>
      <c r="C62" s="699"/>
      <c r="D62" s="641" t="s">
        <v>927</v>
      </c>
      <c r="E62" s="700"/>
      <c r="F62" s="701"/>
      <c r="G62" s="702"/>
      <c r="H62" s="925"/>
      <c r="I62" s="1694">
        <f>SUM(I60:I61)</f>
        <v>1154</v>
      </c>
      <c r="J62" s="1694">
        <f>SUM(J60:J61)</f>
        <v>21215</v>
      </c>
      <c r="K62" s="710"/>
      <c r="L62" s="1615">
        <f>SUM(I62:K62)</f>
        <v>22369</v>
      </c>
      <c r="M62" s="703"/>
    </row>
    <row r="63" spans="1:13" ht="49.5" x14ac:dyDescent="0.3">
      <c r="A63" s="684">
        <v>54</v>
      </c>
      <c r="B63" s="698"/>
      <c r="C63" s="704">
        <v>14</v>
      </c>
      <c r="D63" s="1230" t="s">
        <v>560</v>
      </c>
      <c r="E63" s="700">
        <f>F63+G63+L66+M64</f>
        <v>21891</v>
      </c>
      <c r="F63" s="701"/>
      <c r="G63" s="702">
        <v>0</v>
      </c>
      <c r="H63" s="925" t="s">
        <v>23</v>
      </c>
      <c r="I63" s="894"/>
      <c r="J63" s="710"/>
      <c r="K63" s="710"/>
      <c r="L63" s="711"/>
      <c r="M63" s="703"/>
    </row>
    <row r="64" spans="1:13" x14ac:dyDescent="0.3">
      <c r="A64" s="684">
        <v>55</v>
      </c>
      <c r="B64" s="1677"/>
      <c r="C64" s="1678"/>
      <c r="D64" s="760" t="s">
        <v>292</v>
      </c>
      <c r="E64" s="1679"/>
      <c r="F64" s="1680"/>
      <c r="G64" s="1681"/>
      <c r="H64" s="1682"/>
      <c r="I64" s="1683"/>
      <c r="J64" s="1684">
        <v>21891</v>
      </c>
      <c r="K64" s="1684"/>
      <c r="L64" s="1685">
        <f t="shared" ref="L64" si="10">SUM(I64:K64)</f>
        <v>21891</v>
      </c>
      <c r="M64" s="1686"/>
    </row>
    <row r="65" spans="1:13" x14ac:dyDescent="0.3">
      <c r="A65" s="684">
        <v>56</v>
      </c>
      <c r="B65" s="698"/>
      <c r="C65" s="704"/>
      <c r="D65" s="1499" t="s">
        <v>929</v>
      </c>
      <c r="E65" s="700"/>
      <c r="F65" s="701"/>
      <c r="G65" s="702"/>
      <c r="H65" s="925"/>
      <c r="I65" s="894"/>
      <c r="J65" s="710"/>
      <c r="K65" s="710"/>
      <c r="L65" s="1611">
        <f>SUM(I65:K65)</f>
        <v>0</v>
      </c>
      <c r="M65" s="703"/>
    </row>
    <row r="66" spans="1:13" x14ac:dyDescent="0.3">
      <c r="A66" s="684">
        <v>57</v>
      </c>
      <c r="B66" s="698"/>
      <c r="C66" s="704"/>
      <c r="D66" s="641" t="s">
        <v>927</v>
      </c>
      <c r="E66" s="700"/>
      <c r="F66" s="701"/>
      <c r="G66" s="702"/>
      <c r="H66" s="925"/>
      <c r="I66" s="894"/>
      <c r="J66" s="1687">
        <f>SUM(J64:J65)</f>
        <v>21891</v>
      </c>
      <c r="K66" s="710"/>
      <c r="L66" s="1615">
        <f>SUM(I66:K66)</f>
        <v>21891</v>
      </c>
      <c r="M66" s="703"/>
    </row>
    <row r="67" spans="1:13" ht="49.5" x14ac:dyDescent="0.3">
      <c r="A67" s="684">
        <v>58</v>
      </c>
      <c r="B67" s="698"/>
      <c r="C67" s="704">
        <v>15</v>
      </c>
      <c r="D67" s="1230" t="s">
        <v>561</v>
      </c>
      <c r="E67" s="700">
        <f>F67+G67+L70+M68</f>
        <v>22860</v>
      </c>
      <c r="F67" s="701"/>
      <c r="G67" s="702">
        <v>0</v>
      </c>
      <c r="H67" s="925" t="s">
        <v>23</v>
      </c>
      <c r="I67" s="894"/>
      <c r="J67" s="710"/>
      <c r="K67" s="710"/>
      <c r="L67" s="711"/>
      <c r="M67" s="703"/>
    </row>
    <row r="68" spans="1:13" x14ac:dyDescent="0.3">
      <c r="A68" s="684">
        <v>59</v>
      </c>
      <c r="B68" s="1677"/>
      <c r="C68" s="1678"/>
      <c r="D68" s="760" t="s">
        <v>292</v>
      </c>
      <c r="E68" s="1679"/>
      <c r="F68" s="1680"/>
      <c r="G68" s="1681"/>
      <c r="H68" s="1682"/>
      <c r="I68" s="1683"/>
      <c r="J68" s="1684">
        <v>22860</v>
      </c>
      <c r="K68" s="1684"/>
      <c r="L68" s="1685">
        <f t="shared" ref="L68" si="11">SUM(I68:K68)</f>
        <v>22860</v>
      </c>
      <c r="M68" s="1686"/>
    </row>
    <row r="69" spans="1:13" x14ac:dyDescent="0.3">
      <c r="A69" s="684">
        <v>60</v>
      </c>
      <c r="B69" s="698"/>
      <c r="C69" s="704"/>
      <c r="D69" s="1499" t="s">
        <v>929</v>
      </c>
      <c r="E69" s="700"/>
      <c r="F69" s="701"/>
      <c r="G69" s="702"/>
      <c r="H69" s="925"/>
      <c r="I69" s="894"/>
      <c r="J69" s="710"/>
      <c r="K69" s="710"/>
      <c r="L69" s="1611">
        <f>SUM(I69:K69)</f>
        <v>0</v>
      </c>
      <c r="M69" s="703"/>
    </row>
    <row r="70" spans="1:13" x14ac:dyDescent="0.3">
      <c r="A70" s="684">
        <v>61</v>
      </c>
      <c r="B70" s="698"/>
      <c r="C70" s="704"/>
      <c r="D70" s="641" t="s">
        <v>927</v>
      </c>
      <c r="E70" s="700"/>
      <c r="F70" s="701"/>
      <c r="G70" s="702"/>
      <c r="H70" s="925"/>
      <c r="I70" s="894"/>
      <c r="J70" s="1695">
        <f>SUM(J68:J69)</f>
        <v>22860</v>
      </c>
      <c r="K70" s="710"/>
      <c r="L70" s="1615">
        <f>SUM(I70:K70)</f>
        <v>22860</v>
      </c>
      <c r="M70" s="703"/>
    </row>
    <row r="71" spans="1:13" ht="49.5" x14ac:dyDescent="0.3">
      <c r="A71" s="684">
        <v>62</v>
      </c>
      <c r="B71" s="698"/>
      <c r="C71" s="704">
        <v>16</v>
      </c>
      <c r="D71" s="1230" t="s">
        <v>562</v>
      </c>
      <c r="E71" s="700">
        <f>F71+G71+L74+M72</f>
        <v>20955</v>
      </c>
      <c r="F71" s="701"/>
      <c r="G71" s="702">
        <v>0</v>
      </c>
      <c r="H71" s="925" t="s">
        <v>23</v>
      </c>
      <c r="I71" s="894"/>
      <c r="J71" s="710"/>
      <c r="K71" s="710"/>
      <c r="L71" s="711"/>
      <c r="M71" s="703"/>
    </row>
    <row r="72" spans="1:13" x14ac:dyDescent="0.3">
      <c r="A72" s="684">
        <v>63</v>
      </c>
      <c r="B72" s="1677"/>
      <c r="C72" s="1678"/>
      <c r="D72" s="760" t="s">
        <v>292</v>
      </c>
      <c r="E72" s="1679"/>
      <c r="F72" s="1680"/>
      <c r="G72" s="1681"/>
      <c r="H72" s="1682"/>
      <c r="I72" s="1683"/>
      <c r="J72" s="1684">
        <v>20955</v>
      </c>
      <c r="K72" s="1684"/>
      <c r="L72" s="1685">
        <f t="shared" ref="L72" si="12">SUM(I72:K72)</f>
        <v>20955</v>
      </c>
      <c r="M72" s="1686"/>
    </row>
    <row r="73" spans="1:13" x14ac:dyDescent="0.3">
      <c r="A73" s="684">
        <v>64</v>
      </c>
      <c r="B73" s="698"/>
      <c r="C73" s="704"/>
      <c r="D73" s="1499" t="s">
        <v>929</v>
      </c>
      <c r="E73" s="700"/>
      <c r="F73" s="701"/>
      <c r="G73" s="702"/>
      <c r="H73" s="925"/>
      <c r="I73" s="894"/>
      <c r="J73" s="710"/>
      <c r="K73" s="710"/>
      <c r="L73" s="1611">
        <f>SUM(I73:K73)</f>
        <v>0</v>
      </c>
      <c r="M73" s="703"/>
    </row>
    <row r="74" spans="1:13" x14ac:dyDescent="0.3">
      <c r="A74" s="684">
        <v>65</v>
      </c>
      <c r="B74" s="698"/>
      <c r="C74" s="704"/>
      <c r="D74" s="641" t="s">
        <v>927</v>
      </c>
      <c r="E74" s="700"/>
      <c r="F74" s="701"/>
      <c r="G74" s="702"/>
      <c r="H74" s="925"/>
      <c r="I74" s="894"/>
      <c r="J74" s="710">
        <f>SUM(J72:J73)</f>
        <v>20955</v>
      </c>
      <c r="K74" s="710"/>
      <c r="L74" s="1615">
        <f>SUM(I74:K74)</f>
        <v>20955</v>
      </c>
      <c r="M74" s="703"/>
    </row>
    <row r="75" spans="1:13" ht="82.5" x14ac:dyDescent="0.3">
      <c r="A75" s="684">
        <v>66</v>
      </c>
      <c r="B75" s="698"/>
      <c r="C75" s="704">
        <v>17</v>
      </c>
      <c r="D75" s="1230" t="s">
        <v>740</v>
      </c>
      <c r="E75" s="700">
        <f>F75+G75+L78+M76</f>
        <v>3175</v>
      </c>
      <c r="F75" s="701"/>
      <c r="G75" s="702">
        <v>0</v>
      </c>
      <c r="H75" s="925" t="s">
        <v>23</v>
      </c>
      <c r="I75" s="894"/>
      <c r="J75" s="710"/>
      <c r="K75" s="710"/>
      <c r="L75" s="711"/>
      <c r="M75" s="703"/>
    </row>
    <row r="76" spans="1:13" x14ac:dyDescent="0.3">
      <c r="A76" s="684">
        <v>67</v>
      </c>
      <c r="B76" s="1677"/>
      <c r="C76" s="1678"/>
      <c r="D76" s="760" t="s">
        <v>292</v>
      </c>
      <c r="E76" s="1679"/>
      <c r="F76" s="1680"/>
      <c r="G76" s="1681"/>
      <c r="H76" s="1682"/>
      <c r="I76" s="1683"/>
      <c r="J76" s="1684">
        <v>3175</v>
      </c>
      <c r="K76" s="1684"/>
      <c r="L76" s="1685">
        <f t="shared" ref="L76" si="13">SUM(I76:K76)</f>
        <v>3175</v>
      </c>
      <c r="M76" s="1686"/>
    </row>
    <row r="77" spans="1:13" x14ac:dyDescent="0.3">
      <c r="A77" s="684">
        <v>68</v>
      </c>
      <c r="B77" s="698"/>
      <c r="C77" s="704"/>
      <c r="D77" s="1499" t="s">
        <v>929</v>
      </c>
      <c r="E77" s="700"/>
      <c r="F77" s="701"/>
      <c r="G77" s="702"/>
      <c r="H77" s="925"/>
      <c r="I77" s="894"/>
      <c r="J77" s="710"/>
      <c r="K77" s="710"/>
      <c r="L77" s="1611">
        <f>SUM(I77:K77)</f>
        <v>0</v>
      </c>
      <c r="M77" s="703"/>
    </row>
    <row r="78" spans="1:13" x14ac:dyDescent="0.3">
      <c r="A78" s="684">
        <v>69</v>
      </c>
      <c r="B78" s="698"/>
      <c r="C78" s="704"/>
      <c r="D78" s="641" t="s">
        <v>927</v>
      </c>
      <c r="E78" s="700"/>
      <c r="F78" s="701"/>
      <c r="G78" s="702"/>
      <c r="H78" s="925"/>
      <c r="I78" s="894"/>
      <c r="J78" s="1687">
        <f>SUM(J76:J77)</f>
        <v>3175</v>
      </c>
      <c r="K78" s="710"/>
      <c r="L78" s="1615">
        <f>SUM(I78:K78)</f>
        <v>3175</v>
      </c>
      <c r="M78" s="703"/>
    </row>
    <row r="79" spans="1:13" ht="49.5" x14ac:dyDescent="0.3">
      <c r="A79" s="684">
        <v>70</v>
      </c>
      <c r="B79" s="698"/>
      <c r="C79" s="704">
        <v>18</v>
      </c>
      <c r="D79" s="1230" t="s">
        <v>741</v>
      </c>
      <c r="E79" s="700">
        <f>F79+G79+L82+M80</f>
        <v>6350</v>
      </c>
      <c r="F79" s="701"/>
      <c r="G79" s="702"/>
      <c r="H79" s="925" t="s">
        <v>23</v>
      </c>
      <c r="I79" s="894"/>
      <c r="J79" s="710"/>
      <c r="K79" s="710"/>
      <c r="L79" s="711"/>
      <c r="M79" s="703"/>
    </row>
    <row r="80" spans="1:13" x14ac:dyDescent="0.3">
      <c r="A80" s="684">
        <v>71</v>
      </c>
      <c r="B80" s="1677"/>
      <c r="C80" s="1678"/>
      <c r="D80" s="760" t="s">
        <v>292</v>
      </c>
      <c r="E80" s="1679"/>
      <c r="F80" s="1680"/>
      <c r="G80" s="1681"/>
      <c r="H80" s="1682"/>
      <c r="I80" s="1683"/>
      <c r="J80" s="1684">
        <v>6350</v>
      </c>
      <c r="K80" s="1684"/>
      <c r="L80" s="1685">
        <f t="shared" ref="L80" si="14">SUM(I80:K80)</f>
        <v>6350</v>
      </c>
      <c r="M80" s="1686"/>
    </row>
    <row r="81" spans="1:13" x14ac:dyDescent="0.3">
      <c r="A81" s="684">
        <v>72</v>
      </c>
      <c r="B81" s="698"/>
      <c r="C81" s="704"/>
      <c r="D81" s="1499" t="s">
        <v>929</v>
      </c>
      <c r="E81" s="700"/>
      <c r="F81" s="701"/>
      <c r="G81" s="702"/>
      <c r="H81" s="925"/>
      <c r="I81" s="894"/>
      <c r="J81" s="710"/>
      <c r="K81" s="710"/>
      <c r="L81" s="1611">
        <f>SUM(I81:K81)</f>
        <v>0</v>
      </c>
      <c r="M81" s="703"/>
    </row>
    <row r="82" spans="1:13" x14ac:dyDescent="0.3">
      <c r="A82" s="684">
        <v>73</v>
      </c>
      <c r="B82" s="698"/>
      <c r="C82" s="704"/>
      <c r="D82" s="641" t="s">
        <v>927</v>
      </c>
      <c r="E82" s="700"/>
      <c r="F82" s="701"/>
      <c r="G82" s="702"/>
      <c r="H82" s="925"/>
      <c r="I82" s="894"/>
      <c r="J82" s="710">
        <f>SUM(J80:J81)</f>
        <v>6350</v>
      </c>
      <c r="K82" s="710"/>
      <c r="L82" s="1615">
        <f>SUM(I82:K82)</f>
        <v>6350</v>
      </c>
      <c r="M82" s="703"/>
    </row>
    <row r="83" spans="1:13" ht="33" x14ac:dyDescent="0.3">
      <c r="A83" s="684">
        <v>74</v>
      </c>
      <c r="B83" s="698"/>
      <c r="C83" s="704">
        <v>19</v>
      </c>
      <c r="D83" s="1230" t="s">
        <v>742</v>
      </c>
      <c r="E83" s="700">
        <f>F83+G83+L86+M84</f>
        <v>104775</v>
      </c>
      <c r="F83" s="701"/>
      <c r="G83" s="702"/>
      <c r="H83" s="925" t="s">
        <v>23</v>
      </c>
      <c r="I83" s="894"/>
      <c r="J83" s="710"/>
      <c r="K83" s="710"/>
      <c r="L83" s="711"/>
      <c r="M83" s="703"/>
    </row>
    <row r="84" spans="1:13" x14ac:dyDescent="0.3">
      <c r="A84" s="684">
        <v>75</v>
      </c>
      <c r="B84" s="1677"/>
      <c r="C84" s="1678"/>
      <c r="D84" s="760" t="s">
        <v>292</v>
      </c>
      <c r="E84" s="1679"/>
      <c r="F84" s="1680"/>
      <c r="G84" s="1681"/>
      <c r="H84" s="1682"/>
      <c r="I84" s="1683"/>
      <c r="J84" s="1684">
        <v>72082</v>
      </c>
      <c r="K84" s="1684"/>
      <c r="L84" s="1685">
        <f t="shared" ref="L84" si="15">SUM(I84:K84)</f>
        <v>72082</v>
      </c>
      <c r="M84" s="703">
        <v>32693</v>
      </c>
    </row>
    <row r="85" spans="1:13" x14ac:dyDescent="0.3">
      <c r="A85" s="684">
        <v>76</v>
      </c>
      <c r="B85" s="698"/>
      <c r="C85" s="704"/>
      <c r="D85" s="1499" t="s">
        <v>929</v>
      </c>
      <c r="E85" s="700"/>
      <c r="F85" s="701"/>
      <c r="G85" s="702"/>
      <c r="H85" s="925"/>
      <c r="I85" s="894"/>
      <c r="J85" s="710"/>
      <c r="K85" s="710"/>
      <c r="L85" s="1611">
        <f>SUM(I85:K85)</f>
        <v>0</v>
      </c>
      <c r="M85" s="703"/>
    </row>
    <row r="86" spans="1:13" x14ac:dyDescent="0.3">
      <c r="A86" s="684">
        <v>77</v>
      </c>
      <c r="B86" s="698"/>
      <c r="C86" s="704"/>
      <c r="D86" s="641" t="s">
        <v>927</v>
      </c>
      <c r="E86" s="700"/>
      <c r="F86" s="701"/>
      <c r="G86" s="702"/>
      <c r="H86" s="925"/>
      <c r="I86" s="894"/>
      <c r="J86" s="1687">
        <f>SUM(J84:J85)</f>
        <v>72082</v>
      </c>
      <c r="K86" s="710"/>
      <c r="L86" s="1615">
        <f>SUM(I86:K86)</f>
        <v>72082</v>
      </c>
      <c r="M86" s="703"/>
    </row>
    <row r="87" spans="1:13" ht="49.5" x14ac:dyDescent="0.3">
      <c r="A87" s="684">
        <v>78</v>
      </c>
      <c r="B87" s="698"/>
      <c r="C87" s="704">
        <v>20</v>
      </c>
      <c r="D87" s="1230" t="s">
        <v>743</v>
      </c>
      <c r="E87" s="700">
        <f>F87+G87+L90+M88</f>
        <v>12700</v>
      </c>
      <c r="F87" s="701"/>
      <c r="G87" s="702"/>
      <c r="H87" s="925" t="s">
        <v>23</v>
      </c>
      <c r="I87" s="894"/>
      <c r="J87" s="710"/>
      <c r="K87" s="710"/>
      <c r="L87" s="711"/>
      <c r="M87" s="703"/>
    </row>
    <row r="88" spans="1:13" x14ac:dyDescent="0.3">
      <c r="A88" s="684">
        <v>79</v>
      </c>
      <c r="B88" s="1677"/>
      <c r="C88" s="1678"/>
      <c r="D88" s="760" t="s">
        <v>292</v>
      </c>
      <c r="E88" s="1679"/>
      <c r="F88" s="1680"/>
      <c r="G88" s="1681"/>
      <c r="H88" s="1682"/>
      <c r="I88" s="1683"/>
      <c r="J88" s="1684">
        <v>12700</v>
      </c>
      <c r="K88" s="1684"/>
      <c r="L88" s="1685">
        <f t="shared" ref="L88" si="16">SUM(I88:K88)</f>
        <v>12700</v>
      </c>
      <c r="M88" s="1686"/>
    </row>
    <row r="89" spans="1:13" x14ac:dyDescent="0.3">
      <c r="A89" s="684">
        <v>80</v>
      </c>
      <c r="B89" s="698"/>
      <c r="C89" s="704"/>
      <c r="D89" s="1499" t="s">
        <v>929</v>
      </c>
      <c r="E89" s="700"/>
      <c r="F89" s="701"/>
      <c r="G89" s="702"/>
      <c r="H89" s="925"/>
      <c r="I89" s="894"/>
      <c r="J89" s="710"/>
      <c r="K89" s="710"/>
      <c r="L89" s="1611">
        <f>SUM(I89:K89)</f>
        <v>0</v>
      </c>
      <c r="M89" s="703"/>
    </row>
    <row r="90" spans="1:13" x14ac:dyDescent="0.3">
      <c r="A90" s="684">
        <v>81</v>
      </c>
      <c r="B90" s="698"/>
      <c r="C90" s="704"/>
      <c r="D90" s="641" t="s">
        <v>927</v>
      </c>
      <c r="E90" s="700"/>
      <c r="F90" s="701"/>
      <c r="G90" s="702"/>
      <c r="H90" s="925"/>
      <c r="I90" s="894"/>
      <c r="J90" s="710">
        <f>SUM(J88:J89)</f>
        <v>12700</v>
      </c>
      <c r="K90" s="710"/>
      <c r="L90" s="1615">
        <f>SUM(I90:K90)</f>
        <v>12700</v>
      </c>
      <c r="M90" s="703"/>
    </row>
    <row r="91" spans="1:13" ht="16.5" x14ac:dyDescent="0.3">
      <c r="A91" s="684">
        <v>82</v>
      </c>
      <c r="B91" s="698"/>
      <c r="C91" s="704">
        <v>21</v>
      </c>
      <c r="D91" s="1230" t="s">
        <v>744</v>
      </c>
      <c r="E91" s="700">
        <f>F91+G91+L94+M92</f>
        <v>50000</v>
      </c>
      <c r="F91" s="701"/>
      <c r="G91" s="702"/>
      <c r="H91" s="925" t="s">
        <v>23</v>
      </c>
      <c r="I91" s="894"/>
      <c r="J91" s="710"/>
      <c r="K91" s="710"/>
      <c r="L91" s="711"/>
      <c r="M91" s="703"/>
    </row>
    <row r="92" spans="1:13" x14ac:dyDescent="0.3">
      <c r="A92" s="684">
        <v>83</v>
      </c>
      <c r="B92" s="1677"/>
      <c r="C92" s="1678"/>
      <c r="D92" s="760" t="s">
        <v>292</v>
      </c>
      <c r="E92" s="1679"/>
      <c r="F92" s="1680"/>
      <c r="G92" s="1681"/>
      <c r="H92" s="1682"/>
      <c r="I92" s="1683"/>
      <c r="J92" s="1684">
        <v>50000</v>
      </c>
      <c r="K92" s="1684"/>
      <c r="L92" s="1685">
        <f t="shared" ref="L92" si="17">SUM(I92:K92)</f>
        <v>50000</v>
      </c>
      <c r="M92" s="1686"/>
    </row>
    <row r="93" spans="1:13" x14ac:dyDescent="0.3">
      <c r="A93" s="684">
        <v>84</v>
      </c>
      <c r="B93" s="698"/>
      <c r="C93" s="704"/>
      <c r="D93" s="1499" t="s">
        <v>929</v>
      </c>
      <c r="E93" s="700"/>
      <c r="F93" s="701"/>
      <c r="G93" s="702"/>
      <c r="H93" s="925"/>
      <c r="I93" s="894"/>
      <c r="J93" s="710"/>
      <c r="K93" s="710"/>
      <c r="L93" s="1611">
        <f>SUM(I93:K93)</f>
        <v>0</v>
      </c>
      <c r="M93" s="703"/>
    </row>
    <row r="94" spans="1:13" x14ac:dyDescent="0.3">
      <c r="A94" s="684">
        <v>85</v>
      </c>
      <c r="B94" s="698"/>
      <c r="C94" s="704"/>
      <c r="D94" s="641" t="s">
        <v>927</v>
      </c>
      <c r="E94" s="700"/>
      <c r="F94" s="701"/>
      <c r="G94" s="702"/>
      <c r="H94" s="925"/>
      <c r="I94" s="894"/>
      <c r="J94" s="1687">
        <f>SUM(J91:J93)</f>
        <v>50000</v>
      </c>
      <c r="K94" s="710"/>
      <c r="L94" s="1615">
        <f>SUM(I94:K94)</f>
        <v>50000</v>
      </c>
      <c r="M94" s="703"/>
    </row>
    <row r="95" spans="1:13" ht="16.5" x14ac:dyDescent="0.3">
      <c r="A95" s="684">
        <v>86</v>
      </c>
      <c r="B95" s="698"/>
      <c r="C95" s="704">
        <v>22</v>
      </c>
      <c r="D95" s="1231" t="s">
        <v>415</v>
      </c>
      <c r="E95" s="700">
        <f>F95+G95+L98+M96</f>
        <v>2687</v>
      </c>
      <c r="F95" s="701">
        <v>858</v>
      </c>
      <c r="G95" s="702">
        <v>0</v>
      </c>
      <c r="H95" s="925" t="s">
        <v>24</v>
      </c>
      <c r="I95" s="894"/>
      <c r="J95" s="710"/>
      <c r="K95" s="710"/>
      <c r="L95" s="711"/>
      <c r="M95" s="703"/>
    </row>
    <row r="96" spans="1:13" x14ac:dyDescent="0.3">
      <c r="A96" s="684">
        <v>87</v>
      </c>
      <c r="B96" s="1677"/>
      <c r="C96" s="1678"/>
      <c r="D96" s="760" t="s">
        <v>292</v>
      </c>
      <c r="E96" s="1679"/>
      <c r="F96" s="1680"/>
      <c r="G96" s="1681"/>
      <c r="H96" s="1682"/>
      <c r="I96" s="1683">
        <v>29</v>
      </c>
      <c r="J96" s="1684">
        <f>1829-29</f>
        <v>1800</v>
      </c>
      <c r="K96" s="1684"/>
      <c r="L96" s="1685">
        <f t="shared" ref="L96" si="18">SUM(I96:K96)</f>
        <v>1829</v>
      </c>
      <c r="M96" s="1686"/>
    </row>
    <row r="97" spans="1:13" x14ac:dyDescent="0.3">
      <c r="A97" s="684">
        <v>88</v>
      </c>
      <c r="B97" s="698"/>
      <c r="C97" s="704"/>
      <c r="D97" s="1499" t="s">
        <v>929</v>
      </c>
      <c r="E97" s="700"/>
      <c r="F97" s="701"/>
      <c r="G97" s="702"/>
      <c r="H97" s="925"/>
      <c r="I97" s="894"/>
      <c r="J97" s="710"/>
      <c r="K97" s="710"/>
      <c r="L97" s="1611">
        <f>SUM(I97:K97)</f>
        <v>0</v>
      </c>
      <c r="M97" s="703"/>
    </row>
    <row r="98" spans="1:13" x14ac:dyDescent="0.3">
      <c r="A98" s="684">
        <v>89</v>
      </c>
      <c r="B98" s="698"/>
      <c r="C98" s="704"/>
      <c r="D98" s="641" t="s">
        <v>927</v>
      </c>
      <c r="E98" s="700"/>
      <c r="F98" s="701"/>
      <c r="G98" s="702"/>
      <c r="H98" s="925"/>
      <c r="I98" s="1694">
        <f>SUM(I96:I97)</f>
        <v>29</v>
      </c>
      <c r="J98" s="1694">
        <f>SUM(J96:J97)</f>
        <v>1800</v>
      </c>
      <c r="K98" s="710"/>
      <c r="L98" s="1615">
        <f>SUM(I98:K98)</f>
        <v>1829</v>
      </c>
      <c r="M98" s="703"/>
    </row>
    <row r="99" spans="1:13" ht="16.5" x14ac:dyDescent="0.3">
      <c r="A99" s="684">
        <v>90</v>
      </c>
      <c r="B99" s="698"/>
      <c r="C99" s="704">
        <v>23</v>
      </c>
      <c r="D99" s="1231" t="s">
        <v>548</v>
      </c>
      <c r="E99" s="700">
        <f>F99+G99+L102+M100</f>
        <v>4886</v>
      </c>
      <c r="F99" s="701">
        <v>1753</v>
      </c>
      <c r="G99" s="702">
        <v>950</v>
      </c>
      <c r="H99" s="925" t="s">
        <v>24</v>
      </c>
      <c r="I99" s="894"/>
      <c r="J99" s="710"/>
      <c r="K99" s="710"/>
      <c r="L99" s="711"/>
      <c r="M99" s="703"/>
    </row>
    <row r="100" spans="1:13" x14ac:dyDescent="0.3">
      <c r="A100" s="684">
        <v>91</v>
      </c>
      <c r="B100" s="1677"/>
      <c r="C100" s="1678"/>
      <c r="D100" s="760" t="s">
        <v>292</v>
      </c>
      <c r="E100" s="1679"/>
      <c r="F100" s="1680"/>
      <c r="G100" s="1681"/>
      <c r="H100" s="1682"/>
      <c r="I100" s="1683"/>
      <c r="J100" s="1684">
        <v>2183</v>
      </c>
      <c r="K100" s="1684"/>
      <c r="L100" s="1685">
        <f t="shared" ref="L100" si="19">SUM(I100:K100)</f>
        <v>2183</v>
      </c>
      <c r="M100" s="1686"/>
    </row>
    <row r="101" spans="1:13" x14ac:dyDescent="0.3">
      <c r="A101" s="684">
        <v>92</v>
      </c>
      <c r="B101" s="698"/>
      <c r="C101" s="704"/>
      <c r="D101" s="1499" t="s">
        <v>929</v>
      </c>
      <c r="E101" s="700"/>
      <c r="F101" s="701"/>
      <c r="G101" s="702"/>
      <c r="H101" s="925"/>
      <c r="I101" s="894"/>
      <c r="J101" s="710"/>
      <c r="K101" s="710"/>
      <c r="L101" s="1611">
        <f>SUM(I101:K101)</f>
        <v>0</v>
      </c>
      <c r="M101" s="703"/>
    </row>
    <row r="102" spans="1:13" x14ac:dyDescent="0.3">
      <c r="A102" s="684">
        <v>93</v>
      </c>
      <c r="B102" s="698"/>
      <c r="C102" s="704"/>
      <c r="D102" s="641" t="s">
        <v>927</v>
      </c>
      <c r="E102" s="700"/>
      <c r="F102" s="701"/>
      <c r="G102" s="702"/>
      <c r="H102" s="925"/>
      <c r="I102" s="894"/>
      <c r="J102" s="1687">
        <f>SUM(J100:J101)</f>
        <v>2183</v>
      </c>
      <c r="K102" s="710"/>
      <c r="L102" s="1615">
        <f>SUM(I102:K102)</f>
        <v>2183</v>
      </c>
      <c r="M102" s="703"/>
    </row>
    <row r="103" spans="1:13" ht="33" x14ac:dyDescent="0.3">
      <c r="A103" s="684">
        <v>94</v>
      </c>
      <c r="B103" s="698"/>
      <c r="C103" s="704">
        <v>24</v>
      </c>
      <c r="D103" s="1230" t="s">
        <v>552</v>
      </c>
      <c r="E103" s="700">
        <f>F103+G103+L106+M104</f>
        <v>500</v>
      </c>
      <c r="F103" s="701"/>
      <c r="G103" s="702"/>
      <c r="H103" s="925" t="s">
        <v>24</v>
      </c>
      <c r="I103" s="894"/>
      <c r="J103" s="710"/>
      <c r="K103" s="710"/>
      <c r="L103" s="711"/>
      <c r="M103" s="703"/>
    </row>
    <row r="104" spans="1:13" x14ac:dyDescent="0.3">
      <c r="A104" s="684">
        <v>95</v>
      </c>
      <c r="B104" s="1677"/>
      <c r="C104" s="1678"/>
      <c r="D104" s="760" t="s">
        <v>292</v>
      </c>
      <c r="E104" s="1679"/>
      <c r="F104" s="1680"/>
      <c r="G104" s="1681"/>
      <c r="H104" s="1682"/>
      <c r="I104" s="1683"/>
      <c r="J104" s="1684">
        <v>500</v>
      </c>
      <c r="K104" s="1684"/>
      <c r="L104" s="1685">
        <f t="shared" ref="L104" si="20">SUM(I104:K104)</f>
        <v>500</v>
      </c>
      <c r="M104" s="1686"/>
    </row>
    <row r="105" spans="1:13" x14ac:dyDescent="0.3">
      <c r="A105" s="684">
        <v>96</v>
      </c>
      <c r="B105" s="698"/>
      <c r="C105" s="704"/>
      <c r="D105" s="1499" t="s">
        <v>929</v>
      </c>
      <c r="E105" s="700"/>
      <c r="F105" s="701"/>
      <c r="G105" s="702"/>
      <c r="H105" s="925"/>
      <c r="I105" s="894"/>
      <c r="J105" s="710"/>
      <c r="K105" s="710"/>
      <c r="L105" s="1611">
        <f>SUM(I105:K105)</f>
        <v>0</v>
      </c>
      <c r="M105" s="703"/>
    </row>
    <row r="106" spans="1:13" x14ac:dyDescent="0.3">
      <c r="A106" s="684">
        <v>97</v>
      </c>
      <c r="B106" s="698"/>
      <c r="C106" s="704"/>
      <c r="D106" s="641" t="s">
        <v>927</v>
      </c>
      <c r="E106" s="700"/>
      <c r="F106" s="701"/>
      <c r="G106" s="702"/>
      <c r="H106" s="925"/>
      <c r="I106" s="894"/>
      <c r="J106" s="1687">
        <f>SUM(J104:J105)</f>
        <v>500</v>
      </c>
      <c r="K106" s="710"/>
      <c r="L106" s="1615">
        <f>SUM(I106:K106)</f>
        <v>500</v>
      </c>
      <c r="M106" s="703"/>
    </row>
    <row r="107" spans="1:13" ht="33" x14ac:dyDescent="0.3">
      <c r="A107" s="684">
        <v>98</v>
      </c>
      <c r="B107" s="698"/>
      <c r="C107" s="704">
        <v>25</v>
      </c>
      <c r="D107" s="1230" t="s">
        <v>745</v>
      </c>
      <c r="E107" s="700">
        <f>F107+G107+L110+M108</f>
        <v>230</v>
      </c>
      <c r="F107" s="701"/>
      <c r="G107" s="702"/>
      <c r="H107" s="925" t="s">
        <v>24</v>
      </c>
      <c r="I107" s="894"/>
      <c r="J107" s="710"/>
      <c r="K107" s="710"/>
      <c r="L107" s="711"/>
      <c r="M107" s="703"/>
    </row>
    <row r="108" spans="1:13" x14ac:dyDescent="0.3">
      <c r="A108" s="684">
        <v>99</v>
      </c>
      <c r="B108" s="1677"/>
      <c r="C108" s="1678"/>
      <c r="D108" s="760" t="s">
        <v>292</v>
      </c>
      <c r="E108" s="1679"/>
      <c r="F108" s="1680"/>
      <c r="G108" s="1681"/>
      <c r="H108" s="1682"/>
      <c r="I108" s="1683"/>
      <c r="J108" s="1684">
        <v>230</v>
      </c>
      <c r="K108" s="1684"/>
      <c r="L108" s="1685">
        <f t="shared" ref="L108" si="21">SUM(I108:K108)</f>
        <v>230</v>
      </c>
      <c r="M108" s="1686"/>
    </row>
    <row r="109" spans="1:13" x14ac:dyDescent="0.3">
      <c r="A109" s="684">
        <v>100</v>
      </c>
      <c r="B109" s="698"/>
      <c r="C109" s="704"/>
      <c r="D109" s="1499" t="s">
        <v>929</v>
      </c>
      <c r="E109" s="700"/>
      <c r="F109" s="701"/>
      <c r="G109" s="702"/>
      <c r="H109" s="925"/>
      <c r="I109" s="894"/>
      <c r="J109" s="710"/>
      <c r="K109" s="710"/>
      <c r="L109" s="1611">
        <f>SUM(I109:K109)</f>
        <v>0</v>
      </c>
      <c r="M109" s="703"/>
    </row>
    <row r="110" spans="1:13" x14ac:dyDescent="0.3">
      <c r="A110" s="684">
        <v>101</v>
      </c>
      <c r="B110" s="698"/>
      <c r="C110" s="704"/>
      <c r="D110" s="641" t="s">
        <v>927</v>
      </c>
      <c r="E110" s="700"/>
      <c r="F110" s="701"/>
      <c r="G110" s="702"/>
      <c r="H110" s="925"/>
      <c r="I110" s="894"/>
      <c r="J110" s="1687">
        <f>SUM(J108:J109)</f>
        <v>230</v>
      </c>
      <c r="K110" s="710"/>
      <c r="L110" s="1615">
        <f>SUM(I110:K110)</f>
        <v>230</v>
      </c>
      <c r="M110" s="703"/>
    </row>
    <row r="111" spans="1:13" ht="16.5" x14ac:dyDescent="0.3">
      <c r="A111" s="684">
        <v>102</v>
      </c>
      <c r="B111" s="698"/>
      <c r="C111" s="704">
        <v>26</v>
      </c>
      <c r="D111" s="1230" t="s">
        <v>549</v>
      </c>
      <c r="E111" s="700">
        <f>F111+G111+L114+M112</f>
        <v>7151</v>
      </c>
      <c r="F111" s="701"/>
      <c r="G111" s="702">
        <v>69</v>
      </c>
      <c r="H111" s="925" t="s">
        <v>24</v>
      </c>
      <c r="I111" s="895"/>
      <c r="J111" s="700"/>
      <c r="K111" s="700"/>
      <c r="L111" s="712"/>
      <c r="M111" s="703"/>
    </row>
    <row r="112" spans="1:13" x14ac:dyDescent="0.3">
      <c r="A112" s="684">
        <v>103</v>
      </c>
      <c r="B112" s="1677"/>
      <c r="C112" s="1678"/>
      <c r="D112" s="760" t="s">
        <v>292</v>
      </c>
      <c r="E112" s="1679"/>
      <c r="F112" s="1680"/>
      <c r="G112" s="1681"/>
      <c r="H112" s="1682"/>
      <c r="I112" s="1689"/>
      <c r="J112" s="1679">
        <v>7082</v>
      </c>
      <c r="K112" s="1679"/>
      <c r="L112" s="1690">
        <f t="shared" ref="L112" si="22">SUM(I112:K112)</f>
        <v>7082</v>
      </c>
      <c r="M112" s="1686"/>
    </row>
    <row r="113" spans="1:13" x14ac:dyDescent="0.3">
      <c r="A113" s="684">
        <v>104</v>
      </c>
      <c r="B113" s="698"/>
      <c r="C113" s="704"/>
      <c r="D113" s="1499" t="s">
        <v>929</v>
      </c>
      <c r="E113" s="700"/>
      <c r="F113" s="701"/>
      <c r="G113" s="702"/>
      <c r="H113" s="925"/>
      <c r="I113" s="895"/>
      <c r="J113" s="700"/>
      <c r="K113" s="700"/>
      <c r="L113" s="1611">
        <f>SUM(I113:K113)</f>
        <v>0</v>
      </c>
      <c r="M113" s="703"/>
    </row>
    <row r="114" spans="1:13" x14ac:dyDescent="0.3">
      <c r="A114" s="684">
        <v>105</v>
      </c>
      <c r="B114" s="698"/>
      <c r="C114" s="704"/>
      <c r="D114" s="641" t="s">
        <v>927</v>
      </c>
      <c r="E114" s="700"/>
      <c r="F114" s="701"/>
      <c r="G114" s="702"/>
      <c r="H114" s="925"/>
      <c r="I114" s="895"/>
      <c r="J114" s="1692">
        <f>SUM(J112:J113)</f>
        <v>7082</v>
      </c>
      <c r="K114" s="700"/>
      <c r="L114" s="1615">
        <f>SUM(I114:K114)</f>
        <v>7082</v>
      </c>
      <c r="M114" s="703"/>
    </row>
    <row r="115" spans="1:13" ht="33" x14ac:dyDescent="0.3">
      <c r="A115" s="684">
        <v>106</v>
      </c>
      <c r="B115" s="698"/>
      <c r="C115" s="704">
        <v>27</v>
      </c>
      <c r="D115" s="1230" t="s">
        <v>550</v>
      </c>
      <c r="E115" s="700">
        <f>F115+G115+L118+M116</f>
        <v>6096</v>
      </c>
      <c r="F115" s="701"/>
      <c r="G115" s="702"/>
      <c r="H115" s="925" t="s">
        <v>24</v>
      </c>
      <c r="I115" s="895"/>
      <c r="J115" s="700"/>
      <c r="K115" s="700"/>
      <c r="L115" s="712"/>
      <c r="M115" s="703"/>
    </row>
    <row r="116" spans="1:13" x14ac:dyDescent="0.3">
      <c r="A116" s="684">
        <v>107</v>
      </c>
      <c r="B116" s="1677"/>
      <c r="C116" s="1678"/>
      <c r="D116" s="760" t="s">
        <v>292</v>
      </c>
      <c r="E116" s="1679"/>
      <c r="F116" s="1680"/>
      <c r="G116" s="1681"/>
      <c r="H116" s="1682"/>
      <c r="I116" s="1689"/>
      <c r="J116" s="1679">
        <v>6096</v>
      </c>
      <c r="K116" s="1679"/>
      <c r="L116" s="1690">
        <f t="shared" ref="L116" si="23">SUM(I116:K116)</f>
        <v>6096</v>
      </c>
      <c r="M116" s="1686"/>
    </row>
    <row r="117" spans="1:13" x14ac:dyDescent="0.3">
      <c r="A117" s="684">
        <v>108</v>
      </c>
      <c r="B117" s="698"/>
      <c r="C117" s="704"/>
      <c r="D117" s="1499" t="s">
        <v>929</v>
      </c>
      <c r="E117" s="700"/>
      <c r="F117" s="701"/>
      <c r="G117" s="702"/>
      <c r="H117" s="925"/>
      <c r="I117" s="895"/>
      <c r="J117" s="700"/>
      <c r="K117" s="700"/>
      <c r="L117" s="1611">
        <f>SUM(I117:K117)</f>
        <v>0</v>
      </c>
      <c r="M117" s="703"/>
    </row>
    <row r="118" spans="1:13" x14ac:dyDescent="0.3">
      <c r="A118" s="684">
        <v>109</v>
      </c>
      <c r="B118" s="698"/>
      <c r="C118" s="704"/>
      <c r="D118" s="641" t="s">
        <v>927</v>
      </c>
      <c r="E118" s="700"/>
      <c r="F118" s="701"/>
      <c r="G118" s="702"/>
      <c r="H118" s="925"/>
      <c r="I118" s="895"/>
      <c r="J118" s="1692">
        <f>SUM(J116:J117)</f>
        <v>6096</v>
      </c>
      <c r="K118" s="700"/>
      <c r="L118" s="1615">
        <f>SUM(I118:K118)</f>
        <v>6096</v>
      </c>
      <c r="M118" s="703"/>
    </row>
    <row r="119" spans="1:13" ht="16.5" x14ac:dyDescent="0.3">
      <c r="A119" s="684">
        <v>110</v>
      </c>
      <c r="B119" s="698"/>
      <c r="C119" s="704">
        <v>28</v>
      </c>
      <c r="D119" s="1230" t="s">
        <v>746</v>
      </c>
      <c r="E119" s="700">
        <f>F119+G119+L122+M120</f>
        <v>36000</v>
      </c>
      <c r="F119" s="701"/>
      <c r="G119" s="702"/>
      <c r="H119" s="925" t="s">
        <v>24</v>
      </c>
      <c r="I119" s="895"/>
      <c r="J119" s="700"/>
      <c r="K119" s="700"/>
      <c r="L119" s="712"/>
      <c r="M119" s="703"/>
    </row>
    <row r="120" spans="1:13" x14ac:dyDescent="0.3">
      <c r="A120" s="684">
        <v>111</v>
      </c>
      <c r="B120" s="1677"/>
      <c r="C120" s="1678"/>
      <c r="D120" s="760" t="s">
        <v>292</v>
      </c>
      <c r="E120" s="1679"/>
      <c r="F120" s="1680"/>
      <c r="G120" s="1681"/>
      <c r="H120" s="1682"/>
      <c r="I120" s="1689"/>
      <c r="J120" s="1679">
        <v>40000</v>
      </c>
      <c r="K120" s="1679"/>
      <c r="L120" s="1690">
        <f t="shared" ref="L120" si="24">SUM(I120:K120)</f>
        <v>40000</v>
      </c>
      <c r="M120" s="1686"/>
    </row>
    <row r="121" spans="1:13" x14ac:dyDescent="0.3">
      <c r="A121" s="684">
        <v>112</v>
      </c>
      <c r="B121" s="698"/>
      <c r="C121" s="704"/>
      <c r="D121" s="1499" t="s">
        <v>949</v>
      </c>
      <c r="E121" s="700"/>
      <c r="F121" s="701"/>
      <c r="G121" s="702"/>
      <c r="H121" s="925"/>
      <c r="I121" s="895"/>
      <c r="J121" s="1696">
        <v>-4000</v>
      </c>
      <c r="K121" s="700"/>
      <c r="L121" s="1611">
        <f>SUM(I121:K121)</f>
        <v>-4000</v>
      </c>
      <c r="M121" s="703"/>
    </row>
    <row r="122" spans="1:13" x14ac:dyDescent="0.3">
      <c r="A122" s="684">
        <v>113</v>
      </c>
      <c r="B122" s="698"/>
      <c r="C122" s="704"/>
      <c r="D122" s="641" t="s">
        <v>927</v>
      </c>
      <c r="E122" s="700"/>
      <c r="F122" s="701"/>
      <c r="G122" s="702"/>
      <c r="H122" s="925"/>
      <c r="I122" s="895"/>
      <c r="J122" s="1692">
        <f>SUM(J120:J121)</f>
        <v>36000</v>
      </c>
      <c r="K122" s="700"/>
      <c r="L122" s="1615">
        <f>SUM(I122:K122)</f>
        <v>36000</v>
      </c>
      <c r="M122" s="703"/>
    </row>
    <row r="123" spans="1:13" ht="33" x14ac:dyDescent="0.3">
      <c r="A123" s="684">
        <v>114</v>
      </c>
      <c r="B123" s="698"/>
      <c r="C123" s="704">
        <v>29</v>
      </c>
      <c r="D123" s="1230" t="s">
        <v>747</v>
      </c>
      <c r="E123" s="700">
        <f>F123+G123+L126+M124</f>
        <v>30208</v>
      </c>
      <c r="F123" s="701"/>
      <c r="G123" s="702"/>
      <c r="H123" s="925" t="s">
        <v>24</v>
      </c>
      <c r="I123" s="895"/>
      <c r="J123" s="700"/>
      <c r="K123" s="700"/>
      <c r="L123" s="712"/>
      <c r="M123" s="703"/>
    </row>
    <row r="124" spans="1:13" x14ac:dyDescent="0.3">
      <c r="A124" s="684">
        <v>115</v>
      </c>
      <c r="B124" s="1677"/>
      <c r="C124" s="1678"/>
      <c r="D124" s="760" t="s">
        <v>292</v>
      </c>
      <c r="E124" s="1679"/>
      <c r="F124" s="1680"/>
      <c r="G124" s="1681"/>
      <c r="H124" s="1682"/>
      <c r="I124" s="1689"/>
      <c r="J124" s="1679">
        <v>6000</v>
      </c>
      <c r="K124" s="1679"/>
      <c r="L124" s="1690">
        <f t="shared" ref="L124" si="25">SUM(I124:K124)</f>
        <v>6000</v>
      </c>
      <c r="M124" s="1686"/>
    </row>
    <row r="125" spans="1:13" x14ac:dyDescent="0.3">
      <c r="A125" s="684">
        <v>116</v>
      </c>
      <c r="B125" s="698"/>
      <c r="C125" s="704"/>
      <c r="D125" s="1499" t="s">
        <v>926</v>
      </c>
      <c r="E125" s="700"/>
      <c r="F125" s="701"/>
      <c r="G125" s="702"/>
      <c r="H125" s="925"/>
      <c r="I125" s="895"/>
      <c r="J125" s="1696">
        <v>24208</v>
      </c>
      <c r="K125" s="700"/>
      <c r="L125" s="1611">
        <f>SUM(I125:K125)</f>
        <v>24208</v>
      </c>
      <c r="M125" s="703"/>
    </row>
    <row r="126" spans="1:13" x14ac:dyDescent="0.3">
      <c r="A126" s="684">
        <v>117</v>
      </c>
      <c r="B126" s="698"/>
      <c r="C126" s="704"/>
      <c r="D126" s="641" t="s">
        <v>927</v>
      </c>
      <c r="E126" s="700"/>
      <c r="F126" s="701"/>
      <c r="G126" s="702"/>
      <c r="H126" s="925"/>
      <c r="I126" s="895"/>
      <c r="J126" s="1692">
        <f>SUM(J124:J125)</f>
        <v>30208</v>
      </c>
      <c r="K126" s="700"/>
      <c r="L126" s="1615">
        <f>SUM(I126:K126)</f>
        <v>30208</v>
      </c>
      <c r="M126" s="703"/>
    </row>
    <row r="127" spans="1:13" ht="16.5" x14ac:dyDescent="0.3">
      <c r="A127" s="684">
        <v>118</v>
      </c>
      <c r="B127" s="698"/>
      <c r="C127" s="704">
        <v>30</v>
      </c>
      <c r="D127" s="1230" t="s">
        <v>748</v>
      </c>
      <c r="E127" s="700">
        <f>F127+G127+L130+M128</f>
        <v>15000</v>
      </c>
      <c r="F127" s="701"/>
      <c r="G127" s="702"/>
      <c r="H127" s="925" t="s">
        <v>24</v>
      </c>
      <c r="I127" s="895"/>
      <c r="J127" s="700"/>
      <c r="K127" s="700"/>
      <c r="L127" s="712"/>
      <c r="M127" s="703"/>
    </row>
    <row r="128" spans="1:13" x14ac:dyDescent="0.3">
      <c r="A128" s="684">
        <v>119</v>
      </c>
      <c r="B128" s="1677"/>
      <c r="C128" s="1678"/>
      <c r="D128" s="760" t="s">
        <v>292</v>
      </c>
      <c r="E128" s="1679"/>
      <c r="F128" s="1680"/>
      <c r="G128" s="1681"/>
      <c r="H128" s="1682"/>
      <c r="I128" s="1689"/>
      <c r="J128" s="1679">
        <v>15000</v>
      </c>
      <c r="K128" s="1679"/>
      <c r="L128" s="1690">
        <f t="shared" ref="L128" si="26">SUM(I128:K128)</f>
        <v>15000</v>
      </c>
      <c r="M128" s="1686"/>
    </row>
    <row r="129" spans="1:13" x14ac:dyDescent="0.3">
      <c r="A129" s="684">
        <v>120</v>
      </c>
      <c r="B129" s="698"/>
      <c r="C129" s="704"/>
      <c r="D129" s="1499" t="s">
        <v>929</v>
      </c>
      <c r="E129" s="700"/>
      <c r="F129" s="701"/>
      <c r="G129" s="702"/>
      <c r="H129" s="925"/>
      <c r="I129" s="895"/>
      <c r="J129" s="700"/>
      <c r="K129" s="700"/>
      <c r="L129" s="1611">
        <f>SUM(I129:K129)</f>
        <v>0</v>
      </c>
      <c r="M129" s="703"/>
    </row>
    <row r="130" spans="1:13" x14ac:dyDescent="0.3">
      <c r="A130" s="684">
        <v>121</v>
      </c>
      <c r="B130" s="698"/>
      <c r="C130" s="704"/>
      <c r="D130" s="641" t="s">
        <v>927</v>
      </c>
      <c r="E130" s="700"/>
      <c r="F130" s="701"/>
      <c r="G130" s="702"/>
      <c r="H130" s="925"/>
      <c r="I130" s="895"/>
      <c r="J130" s="1692">
        <f>SUM(J128:J129)</f>
        <v>15000</v>
      </c>
      <c r="K130" s="700"/>
      <c r="L130" s="1615">
        <f>SUM(I130:K130)</f>
        <v>15000</v>
      </c>
      <c r="M130" s="703"/>
    </row>
    <row r="131" spans="1:13" ht="51" x14ac:dyDescent="0.3">
      <c r="A131" s="684">
        <v>122</v>
      </c>
      <c r="B131" s="698"/>
      <c r="C131" s="704">
        <v>31</v>
      </c>
      <c r="D131" s="1230" t="s">
        <v>1073</v>
      </c>
      <c r="E131" s="700">
        <f>F131+G131+L134+M132</f>
        <v>100</v>
      </c>
      <c r="F131" s="701"/>
      <c r="G131" s="702">
        <v>10</v>
      </c>
      <c r="H131" s="925" t="s">
        <v>24</v>
      </c>
      <c r="I131" s="895"/>
      <c r="J131" s="700"/>
      <c r="K131" s="700"/>
      <c r="L131" s="712"/>
      <c r="M131" s="703"/>
    </row>
    <row r="132" spans="1:13" x14ac:dyDescent="0.3">
      <c r="A132" s="684">
        <v>123</v>
      </c>
      <c r="B132" s="1677"/>
      <c r="C132" s="1678"/>
      <c r="D132" s="760" t="s">
        <v>292</v>
      </c>
      <c r="E132" s="1679"/>
      <c r="F132" s="1680"/>
      <c r="G132" s="1681"/>
      <c r="H132" s="1682"/>
      <c r="I132" s="1689"/>
      <c r="J132" s="1679">
        <v>90</v>
      </c>
      <c r="K132" s="1679"/>
      <c r="L132" s="1690">
        <f t="shared" ref="L132" si="27">SUM(I132:K132)</f>
        <v>90</v>
      </c>
      <c r="M132" s="1686"/>
    </row>
    <row r="133" spans="1:13" x14ac:dyDescent="0.3">
      <c r="A133" s="684">
        <v>124</v>
      </c>
      <c r="B133" s="698"/>
      <c r="C133" s="704"/>
      <c r="D133" s="1499" t="s">
        <v>929</v>
      </c>
      <c r="E133" s="700"/>
      <c r="F133" s="701"/>
      <c r="G133" s="702"/>
      <c r="H133" s="925"/>
      <c r="I133" s="895"/>
      <c r="J133" s="700"/>
      <c r="K133" s="700"/>
      <c r="L133" s="1611">
        <f>SUM(I133:K133)</f>
        <v>0</v>
      </c>
      <c r="M133" s="703"/>
    </row>
    <row r="134" spans="1:13" x14ac:dyDescent="0.3">
      <c r="A134" s="684">
        <v>125</v>
      </c>
      <c r="B134" s="698"/>
      <c r="C134" s="704"/>
      <c r="D134" s="641" t="s">
        <v>927</v>
      </c>
      <c r="E134" s="700"/>
      <c r="F134" s="701"/>
      <c r="G134" s="702"/>
      <c r="H134" s="925"/>
      <c r="I134" s="895"/>
      <c r="J134" s="1692">
        <f>SUM(J132:J133)</f>
        <v>90</v>
      </c>
      <c r="K134" s="700"/>
      <c r="L134" s="1615">
        <f>SUM(I134:K134)</f>
        <v>90</v>
      </c>
      <c r="M134" s="703"/>
    </row>
    <row r="135" spans="1:13" ht="33" x14ac:dyDescent="0.3">
      <c r="A135" s="684">
        <v>126</v>
      </c>
      <c r="B135" s="698"/>
      <c r="C135" s="704">
        <v>32</v>
      </c>
      <c r="D135" s="1230" t="s">
        <v>749</v>
      </c>
      <c r="E135" s="700">
        <f>F135+G135+L138+M136</f>
        <v>6357</v>
      </c>
      <c r="F135" s="701"/>
      <c r="G135" s="702">
        <v>6357</v>
      </c>
      <c r="H135" s="925" t="s">
        <v>24</v>
      </c>
      <c r="I135" s="895"/>
      <c r="J135" s="700"/>
      <c r="K135" s="700"/>
      <c r="L135" s="712"/>
      <c r="M135" s="703"/>
    </row>
    <row r="136" spans="1:13" x14ac:dyDescent="0.3">
      <c r="A136" s="684">
        <v>127</v>
      </c>
      <c r="B136" s="698"/>
      <c r="C136" s="704"/>
      <c r="D136" s="760" t="s">
        <v>292</v>
      </c>
      <c r="E136" s="700"/>
      <c r="F136" s="701"/>
      <c r="G136" s="702"/>
      <c r="H136" s="925"/>
      <c r="I136" s="895"/>
      <c r="J136" s="1679">
        <v>4643</v>
      </c>
      <c r="K136" s="1679"/>
      <c r="L136" s="1690">
        <f>SUM(I136:K136)</f>
        <v>4643</v>
      </c>
      <c r="M136" s="703"/>
    </row>
    <row r="137" spans="1:13" x14ac:dyDescent="0.3">
      <c r="A137" s="684">
        <v>128</v>
      </c>
      <c r="B137" s="698"/>
      <c r="C137" s="704"/>
      <c r="D137" s="1499" t="s">
        <v>949</v>
      </c>
      <c r="E137" s="700"/>
      <c r="F137" s="701"/>
      <c r="G137" s="702"/>
      <c r="H137" s="925"/>
      <c r="I137" s="895"/>
      <c r="J137" s="1696">
        <v>-4643</v>
      </c>
      <c r="K137" s="700"/>
      <c r="L137" s="1611">
        <f>SUM(I137:K137)</f>
        <v>-4643</v>
      </c>
      <c r="M137" s="703"/>
    </row>
    <row r="138" spans="1:13" x14ac:dyDescent="0.3">
      <c r="A138" s="684">
        <v>129</v>
      </c>
      <c r="B138" s="698"/>
      <c r="C138" s="704"/>
      <c r="D138" s="641" t="s">
        <v>927</v>
      </c>
      <c r="E138" s="700"/>
      <c r="F138" s="701"/>
      <c r="G138" s="702"/>
      <c r="H138" s="925"/>
      <c r="I138" s="895"/>
      <c r="J138" s="1692">
        <f>SUM(J136:J137)</f>
        <v>0</v>
      </c>
      <c r="K138" s="700"/>
      <c r="L138" s="1615">
        <f>SUM(I138:K138)</f>
        <v>0</v>
      </c>
      <c r="M138" s="703"/>
    </row>
    <row r="139" spans="1:13" ht="16.5" x14ac:dyDescent="0.3">
      <c r="A139" s="684">
        <v>130</v>
      </c>
      <c r="B139" s="698"/>
      <c r="C139" s="704">
        <v>33</v>
      </c>
      <c r="D139" s="1230" t="s">
        <v>750</v>
      </c>
      <c r="E139" s="700">
        <f>F139+G139+L142+M140</f>
        <v>7000</v>
      </c>
      <c r="F139" s="701"/>
      <c r="G139" s="702">
        <f>1525+4544</f>
        <v>6069</v>
      </c>
      <c r="H139" s="925" t="s">
        <v>24</v>
      </c>
      <c r="I139" s="895"/>
      <c r="J139" s="670"/>
      <c r="K139" s="1697"/>
      <c r="L139" s="670"/>
      <c r="M139" s="703"/>
    </row>
    <row r="140" spans="1:13" x14ac:dyDescent="0.3">
      <c r="A140" s="684">
        <v>131</v>
      </c>
      <c r="B140" s="698"/>
      <c r="C140" s="704"/>
      <c r="D140" s="760" t="s">
        <v>292</v>
      </c>
      <c r="E140" s="700"/>
      <c r="F140" s="701"/>
      <c r="G140" s="702"/>
      <c r="H140" s="925"/>
      <c r="I140" s="895"/>
      <c r="J140" s="1679">
        <v>931</v>
      </c>
      <c r="K140" s="1679"/>
      <c r="L140" s="1690">
        <f>SUM(I140:K140)</f>
        <v>931</v>
      </c>
      <c r="M140" s="703"/>
    </row>
    <row r="141" spans="1:13" x14ac:dyDescent="0.3">
      <c r="A141" s="684">
        <v>132</v>
      </c>
      <c r="B141" s="698"/>
      <c r="C141" s="704"/>
      <c r="D141" s="1499" t="s">
        <v>929</v>
      </c>
      <c r="E141" s="700"/>
      <c r="F141" s="701"/>
      <c r="G141" s="702"/>
      <c r="H141" s="925"/>
      <c r="I141" s="895"/>
      <c r="J141" s="700"/>
      <c r="K141" s="700"/>
      <c r="L141" s="1611">
        <f>SUM(I141:K141)</f>
        <v>0</v>
      </c>
      <c r="M141" s="703"/>
    </row>
    <row r="142" spans="1:13" x14ac:dyDescent="0.3">
      <c r="A142" s="684">
        <v>133</v>
      </c>
      <c r="B142" s="698"/>
      <c r="C142" s="704"/>
      <c r="D142" s="641" t="s">
        <v>927</v>
      </c>
      <c r="E142" s="700"/>
      <c r="F142" s="701"/>
      <c r="G142" s="702"/>
      <c r="H142" s="925"/>
      <c r="I142" s="895"/>
      <c r="J142" s="1692">
        <f>SUM(J140:J141)</f>
        <v>931</v>
      </c>
      <c r="K142" s="700"/>
      <c r="L142" s="1615">
        <f>SUM(I142:K142)</f>
        <v>931</v>
      </c>
      <c r="M142" s="703"/>
    </row>
    <row r="143" spans="1:13" ht="16.5" x14ac:dyDescent="0.3">
      <c r="A143" s="684">
        <v>134</v>
      </c>
      <c r="B143" s="698"/>
      <c r="C143" s="704">
        <v>34</v>
      </c>
      <c r="D143" s="1230" t="s">
        <v>751</v>
      </c>
      <c r="E143" s="700">
        <f>F143+G143+L146+M144</f>
        <v>200</v>
      </c>
      <c r="F143" s="701"/>
      <c r="G143" s="702"/>
      <c r="H143" s="925" t="s">
        <v>24</v>
      </c>
      <c r="I143" s="895"/>
      <c r="J143" s="670"/>
      <c r="K143" s="1697"/>
      <c r="L143" s="670"/>
      <c r="M143" s="703"/>
    </row>
    <row r="144" spans="1:13" x14ac:dyDescent="0.3">
      <c r="A144" s="684">
        <v>135</v>
      </c>
      <c r="B144" s="698"/>
      <c r="C144" s="704"/>
      <c r="D144" s="760" t="s">
        <v>292</v>
      </c>
      <c r="E144" s="700"/>
      <c r="F144" s="701"/>
      <c r="G144" s="702"/>
      <c r="H144" s="925"/>
      <c r="I144" s="895"/>
      <c r="J144" s="1679">
        <v>200</v>
      </c>
      <c r="K144" s="1679"/>
      <c r="L144" s="1690">
        <f>SUM(I144:K144)</f>
        <v>200</v>
      </c>
      <c r="M144" s="703"/>
    </row>
    <row r="145" spans="1:13" x14ac:dyDescent="0.3">
      <c r="A145" s="684">
        <v>136</v>
      </c>
      <c r="B145" s="698"/>
      <c r="C145" s="704"/>
      <c r="D145" s="1499" t="s">
        <v>929</v>
      </c>
      <c r="E145" s="700"/>
      <c r="F145" s="701"/>
      <c r="G145" s="702"/>
      <c r="H145" s="925"/>
      <c r="I145" s="895"/>
      <c r="J145" s="700"/>
      <c r="K145" s="700"/>
      <c r="L145" s="1611">
        <f>SUM(I145:K145)</f>
        <v>0</v>
      </c>
      <c r="M145" s="703"/>
    </row>
    <row r="146" spans="1:13" x14ac:dyDescent="0.3">
      <c r="A146" s="684">
        <v>137</v>
      </c>
      <c r="B146" s="698"/>
      <c r="C146" s="704"/>
      <c r="D146" s="641" t="s">
        <v>927</v>
      </c>
      <c r="E146" s="700"/>
      <c r="F146" s="701"/>
      <c r="G146" s="702"/>
      <c r="H146" s="925"/>
      <c r="I146" s="895"/>
      <c r="J146" s="1692">
        <f>SUM(J144:J145)</f>
        <v>200</v>
      </c>
      <c r="K146" s="700"/>
      <c r="L146" s="1615">
        <f>SUM(I146:K146)</f>
        <v>200</v>
      </c>
      <c r="M146" s="703"/>
    </row>
    <row r="147" spans="1:13" ht="33" x14ac:dyDescent="0.3">
      <c r="A147" s="684">
        <v>138</v>
      </c>
      <c r="B147" s="698"/>
      <c r="C147" s="704">
        <v>35</v>
      </c>
      <c r="D147" s="1230" t="s">
        <v>752</v>
      </c>
      <c r="E147" s="700">
        <f>F147+G147+L150+M148</f>
        <v>275</v>
      </c>
      <c r="F147" s="701"/>
      <c r="G147" s="702"/>
      <c r="H147" s="925" t="s">
        <v>24</v>
      </c>
      <c r="I147" s="895"/>
      <c r="J147" s="1697"/>
      <c r="K147" s="1697"/>
      <c r="L147" s="670"/>
      <c r="M147" s="703"/>
    </row>
    <row r="148" spans="1:13" x14ac:dyDescent="0.3">
      <c r="A148" s="684">
        <v>139</v>
      </c>
      <c r="B148" s="698"/>
      <c r="C148" s="704"/>
      <c r="D148" s="760" t="s">
        <v>292</v>
      </c>
      <c r="E148" s="700"/>
      <c r="F148" s="701"/>
      <c r="G148" s="702"/>
      <c r="H148" s="925"/>
      <c r="I148" s="895"/>
      <c r="J148" s="1679">
        <v>275</v>
      </c>
      <c r="K148" s="1679"/>
      <c r="L148" s="1690">
        <f>SUM(I148:K148)</f>
        <v>275</v>
      </c>
      <c r="M148" s="703"/>
    </row>
    <row r="149" spans="1:13" x14ac:dyDescent="0.3">
      <c r="A149" s="684">
        <v>140</v>
      </c>
      <c r="B149" s="698"/>
      <c r="C149" s="704"/>
      <c r="D149" s="1499" t="s">
        <v>929</v>
      </c>
      <c r="E149" s="700"/>
      <c r="F149" s="701"/>
      <c r="G149" s="702"/>
      <c r="H149" s="925"/>
      <c r="I149" s="895"/>
      <c r="J149" s="700"/>
      <c r="K149" s="700"/>
      <c r="L149" s="1611">
        <f>SUM(I149:K149)</f>
        <v>0</v>
      </c>
      <c r="M149" s="703"/>
    </row>
    <row r="150" spans="1:13" x14ac:dyDescent="0.3">
      <c r="A150" s="684">
        <v>141</v>
      </c>
      <c r="B150" s="698"/>
      <c r="C150" s="704"/>
      <c r="D150" s="641" t="s">
        <v>927</v>
      </c>
      <c r="E150" s="700"/>
      <c r="F150" s="701"/>
      <c r="G150" s="702"/>
      <c r="H150" s="925"/>
      <c r="I150" s="895"/>
      <c r="J150" s="1692">
        <f>SUM(J148:J149)</f>
        <v>275</v>
      </c>
      <c r="K150" s="700"/>
      <c r="L150" s="1615">
        <f>SUM(I150:K150)</f>
        <v>275</v>
      </c>
      <c r="M150" s="703"/>
    </row>
    <row r="151" spans="1:13" ht="33" x14ac:dyDescent="0.3">
      <c r="A151" s="684">
        <v>142</v>
      </c>
      <c r="B151" s="698"/>
      <c r="C151" s="704">
        <v>36</v>
      </c>
      <c r="D151" s="1230" t="s">
        <v>826</v>
      </c>
      <c r="E151" s="700">
        <f>F151+G151+L154+M152</f>
        <v>10</v>
      </c>
      <c r="F151" s="701"/>
      <c r="G151" s="702"/>
      <c r="H151" s="925" t="s">
        <v>24</v>
      </c>
      <c r="I151" s="895"/>
      <c r="J151" s="1697"/>
      <c r="K151" s="1697"/>
      <c r="L151" s="670"/>
      <c r="M151" s="703"/>
    </row>
    <row r="152" spans="1:13" x14ac:dyDescent="0.3">
      <c r="A152" s="684">
        <v>143</v>
      </c>
      <c r="B152" s="698"/>
      <c r="C152" s="704"/>
      <c r="D152" s="760" t="s">
        <v>292</v>
      </c>
      <c r="E152" s="700"/>
      <c r="F152" s="701"/>
      <c r="G152" s="702"/>
      <c r="H152" s="925"/>
      <c r="I152" s="895"/>
      <c r="J152" s="1679">
        <v>10</v>
      </c>
      <c r="K152" s="1679"/>
      <c r="L152" s="1690">
        <f>SUM(I152:K152)</f>
        <v>10</v>
      </c>
      <c r="M152" s="703"/>
    </row>
    <row r="153" spans="1:13" x14ac:dyDescent="0.3">
      <c r="A153" s="684">
        <v>144</v>
      </c>
      <c r="B153" s="698"/>
      <c r="C153" s="704"/>
      <c r="D153" s="1499" t="s">
        <v>929</v>
      </c>
      <c r="E153" s="700"/>
      <c r="F153" s="701"/>
      <c r="G153" s="702"/>
      <c r="H153" s="925"/>
      <c r="I153" s="895"/>
      <c r="J153" s="700"/>
      <c r="K153" s="700"/>
      <c r="L153" s="1611">
        <f>SUM(I153:K153)</f>
        <v>0</v>
      </c>
      <c r="M153" s="703"/>
    </row>
    <row r="154" spans="1:13" x14ac:dyDescent="0.3">
      <c r="A154" s="684">
        <v>145</v>
      </c>
      <c r="B154" s="698"/>
      <c r="C154" s="704"/>
      <c r="D154" s="641" t="s">
        <v>927</v>
      </c>
      <c r="E154" s="700"/>
      <c r="F154" s="701"/>
      <c r="G154" s="702"/>
      <c r="H154" s="925"/>
      <c r="I154" s="895"/>
      <c r="J154" s="1692">
        <f>SUM(J152:J153)</f>
        <v>10</v>
      </c>
      <c r="K154" s="700"/>
      <c r="L154" s="1615">
        <f>SUM(I154:K154)</f>
        <v>10</v>
      </c>
      <c r="M154" s="703"/>
    </row>
    <row r="155" spans="1:13" ht="33" x14ac:dyDescent="0.3">
      <c r="A155" s="684">
        <v>146</v>
      </c>
      <c r="B155" s="698"/>
      <c r="C155" s="704">
        <v>37</v>
      </c>
      <c r="D155" s="1230" t="s">
        <v>825</v>
      </c>
      <c r="E155" s="700">
        <f>F155+G155+L158+M156</f>
        <v>140048</v>
      </c>
      <c r="F155" s="701"/>
      <c r="G155" s="702"/>
      <c r="H155" s="925" t="s">
        <v>24</v>
      </c>
      <c r="I155" s="895"/>
      <c r="J155" s="700"/>
      <c r="K155" s="700"/>
      <c r="L155" s="712"/>
      <c r="M155" s="703"/>
    </row>
    <row r="156" spans="1:13" x14ac:dyDescent="0.3">
      <c r="A156" s="684">
        <v>147</v>
      </c>
      <c r="B156" s="698"/>
      <c r="C156" s="704"/>
      <c r="D156" s="760" t="s">
        <v>292</v>
      </c>
      <c r="E156" s="700"/>
      <c r="F156" s="701"/>
      <c r="G156" s="702"/>
      <c r="H156" s="925"/>
      <c r="I156" s="895"/>
      <c r="J156" s="1679">
        <v>140048</v>
      </c>
      <c r="K156" s="1679"/>
      <c r="L156" s="1690">
        <f>SUM(I156:K156)</f>
        <v>140048</v>
      </c>
      <c r="M156" s="703"/>
    </row>
    <row r="157" spans="1:13" x14ac:dyDescent="0.3">
      <c r="A157" s="684">
        <v>148</v>
      </c>
      <c r="B157" s="698"/>
      <c r="C157" s="704"/>
      <c r="D157" s="1499" t="s">
        <v>929</v>
      </c>
      <c r="E157" s="700"/>
      <c r="F157" s="701"/>
      <c r="G157" s="702"/>
      <c r="H157" s="925"/>
      <c r="I157" s="895"/>
      <c r="J157" s="700"/>
      <c r="K157" s="700"/>
      <c r="L157" s="1611">
        <f>SUM(I157:K157)</f>
        <v>0</v>
      </c>
      <c r="M157" s="703"/>
    </row>
    <row r="158" spans="1:13" x14ac:dyDescent="0.3">
      <c r="A158" s="684">
        <v>149</v>
      </c>
      <c r="B158" s="698"/>
      <c r="C158" s="704"/>
      <c r="D158" s="641" t="s">
        <v>927</v>
      </c>
      <c r="E158" s="700"/>
      <c r="F158" s="701"/>
      <c r="G158" s="702"/>
      <c r="H158" s="925"/>
      <c r="I158" s="895"/>
      <c r="J158" s="1692">
        <f>SUM(J156:J157)</f>
        <v>140048</v>
      </c>
      <c r="K158" s="700"/>
      <c r="L158" s="1615">
        <f>SUM(I158:K158)</f>
        <v>140048</v>
      </c>
      <c r="M158" s="703"/>
    </row>
    <row r="159" spans="1:13" ht="16.5" x14ac:dyDescent="0.3">
      <c r="A159" s="684">
        <v>150</v>
      </c>
      <c r="B159" s="698"/>
      <c r="C159" s="704">
        <v>38</v>
      </c>
      <c r="D159" s="1230" t="s">
        <v>753</v>
      </c>
      <c r="E159" s="700">
        <f>F159+G159+L162+M160</f>
        <v>20000</v>
      </c>
      <c r="F159" s="701"/>
      <c r="G159" s="702"/>
      <c r="H159" s="925" t="s">
        <v>23</v>
      </c>
      <c r="I159" s="670"/>
      <c r="J159" s="1697"/>
      <c r="K159" s="1697"/>
      <c r="L159" s="1698"/>
      <c r="M159" s="1254"/>
    </row>
    <row r="160" spans="1:13" x14ac:dyDescent="0.3">
      <c r="A160" s="684">
        <v>151</v>
      </c>
      <c r="B160" s="698"/>
      <c r="C160" s="704"/>
      <c r="D160" s="760" t="s">
        <v>292</v>
      </c>
      <c r="E160" s="700"/>
      <c r="F160" s="701"/>
      <c r="G160" s="702"/>
      <c r="H160" s="925"/>
      <c r="I160" s="895"/>
      <c r="J160" s="700"/>
      <c r="K160" s="1679">
        <v>20000</v>
      </c>
      <c r="L160" s="1690">
        <f>SUM(I160:K160)</f>
        <v>20000</v>
      </c>
      <c r="M160" s="1254"/>
    </row>
    <row r="161" spans="1:13" x14ac:dyDescent="0.3">
      <c r="A161" s="684">
        <v>152</v>
      </c>
      <c r="B161" s="698"/>
      <c r="C161" s="704"/>
      <c r="D161" s="1499" t="s">
        <v>929</v>
      </c>
      <c r="E161" s="700"/>
      <c r="F161" s="701"/>
      <c r="G161" s="702"/>
      <c r="H161" s="925"/>
      <c r="I161" s="895"/>
      <c r="J161" s="700"/>
      <c r="K161" s="700"/>
      <c r="L161" s="1699">
        <f>SUM(I161:K161)</f>
        <v>0</v>
      </c>
      <c r="M161" s="1254"/>
    </row>
    <row r="162" spans="1:13" x14ac:dyDescent="0.3">
      <c r="A162" s="684">
        <v>153</v>
      </c>
      <c r="B162" s="698"/>
      <c r="C162" s="704"/>
      <c r="D162" s="641" t="s">
        <v>927</v>
      </c>
      <c r="E162" s="700"/>
      <c r="F162" s="701"/>
      <c r="G162" s="702"/>
      <c r="H162" s="925"/>
      <c r="I162" s="895"/>
      <c r="J162" s="700"/>
      <c r="K162" s="1692">
        <f>SUM(K160:K161)</f>
        <v>20000</v>
      </c>
      <c r="L162" s="1700">
        <f>SUM(I162:K162)</f>
        <v>20000</v>
      </c>
      <c r="M162" s="1254"/>
    </row>
    <row r="163" spans="1:13" ht="16.5" x14ac:dyDescent="0.3">
      <c r="A163" s="684">
        <v>154</v>
      </c>
      <c r="B163" s="698"/>
      <c r="C163" s="704">
        <v>39</v>
      </c>
      <c r="D163" s="1230" t="s">
        <v>1074</v>
      </c>
      <c r="E163" s="700">
        <f>F163+G163+L165+M164</f>
        <v>742</v>
      </c>
      <c r="F163" s="701"/>
      <c r="G163" s="702">
        <v>652</v>
      </c>
      <c r="H163" s="925" t="s">
        <v>23</v>
      </c>
      <c r="I163" s="895"/>
      <c r="J163" s="700"/>
      <c r="K163" s="700"/>
      <c r="L163" s="1700"/>
      <c r="M163" s="1254"/>
    </row>
    <row r="164" spans="1:13" x14ac:dyDescent="0.3">
      <c r="A164" s="684">
        <v>155</v>
      </c>
      <c r="B164" s="698"/>
      <c r="C164" s="704"/>
      <c r="D164" s="1499" t="s">
        <v>929</v>
      </c>
      <c r="E164" s="700"/>
      <c r="F164" s="701"/>
      <c r="G164" s="702"/>
      <c r="H164" s="925"/>
      <c r="I164" s="895"/>
      <c r="J164" s="1696">
        <v>90</v>
      </c>
      <c r="K164" s="700"/>
      <c r="L164" s="1699">
        <f>SUM(I164:K164)</f>
        <v>90</v>
      </c>
      <c r="M164" s="1254"/>
    </row>
    <row r="165" spans="1:13" x14ac:dyDescent="0.3">
      <c r="A165" s="684">
        <v>156</v>
      </c>
      <c r="B165" s="698"/>
      <c r="C165" s="704"/>
      <c r="D165" s="641" t="s">
        <v>927</v>
      </c>
      <c r="E165" s="700"/>
      <c r="F165" s="701"/>
      <c r="G165" s="702"/>
      <c r="H165" s="925"/>
      <c r="I165" s="895"/>
      <c r="J165" s="1692">
        <f>SUM(J164)</f>
        <v>90</v>
      </c>
      <c r="K165" s="700"/>
      <c r="L165" s="1700">
        <f>SUM(I165:K165)</f>
        <v>90</v>
      </c>
      <c r="M165" s="1254"/>
    </row>
    <row r="166" spans="1:13" ht="49.5" x14ac:dyDescent="0.3">
      <c r="A166" s="684">
        <v>157</v>
      </c>
      <c r="B166" s="698"/>
      <c r="C166" s="704">
        <v>40</v>
      </c>
      <c r="D166" s="1230" t="s">
        <v>1075</v>
      </c>
      <c r="E166" s="700">
        <f>F166+G166+L168+M167</f>
        <v>1200</v>
      </c>
      <c r="F166" s="701"/>
      <c r="G166" s="702"/>
      <c r="H166" s="925" t="s">
        <v>23</v>
      </c>
      <c r="I166" s="895"/>
      <c r="J166" s="700"/>
      <c r="K166" s="700"/>
      <c r="L166" s="1700"/>
      <c r="M166" s="1254"/>
    </row>
    <row r="167" spans="1:13" x14ac:dyDescent="0.3">
      <c r="A167" s="684">
        <v>158</v>
      </c>
      <c r="B167" s="698"/>
      <c r="C167" s="704"/>
      <c r="D167" s="1499" t="s">
        <v>926</v>
      </c>
      <c r="E167" s="700"/>
      <c r="F167" s="701"/>
      <c r="G167" s="702"/>
      <c r="H167" s="925"/>
      <c r="I167" s="895"/>
      <c r="J167" s="1696">
        <v>1200</v>
      </c>
      <c r="K167" s="700"/>
      <c r="L167" s="1699">
        <f>SUM(I167:K167)</f>
        <v>1200</v>
      </c>
      <c r="M167" s="1254"/>
    </row>
    <row r="168" spans="1:13" x14ac:dyDescent="0.3">
      <c r="A168" s="684">
        <v>159</v>
      </c>
      <c r="B168" s="698"/>
      <c r="C168" s="704"/>
      <c r="D168" s="641" t="s">
        <v>927</v>
      </c>
      <c r="E168" s="700"/>
      <c r="F168" s="701"/>
      <c r="G168" s="702"/>
      <c r="H168" s="925"/>
      <c r="I168" s="895"/>
      <c r="J168" s="1692">
        <f>SUM(J167)</f>
        <v>1200</v>
      </c>
      <c r="K168" s="700"/>
      <c r="L168" s="1700">
        <f>SUM(I168:K168)</f>
        <v>1200</v>
      </c>
      <c r="M168" s="1254"/>
    </row>
    <row r="169" spans="1:13" ht="16.5" x14ac:dyDescent="0.3">
      <c r="A169" s="684">
        <v>160</v>
      </c>
      <c r="B169" s="698"/>
      <c r="C169" s="704">
        <v>41</v>
      </c>
      <c r="D169" s="1230" t="s">
        <v>1076</v>
      </c>
      <c r="E169" s="700"/>
      <c r="F169" s="701"/>
      <c r="G169" s="702"/>
      <c r="H169" s="925"/>
      <c r="I169" s="895"/>
      <c r="J169" s="1692"/>
      <c r="K169" s="700"/>
      <c r="L169" s="1700"/>
      <c r="M169" s="1254"/>
    </row>
    <row r="170" spans="1:13" x14ac:dyDescent="0.3">
      <c r="A170" s="684">
        <v>161</v>
      </c>
      <c r="B170" s="698"/>
      <c r="C170" s="704"/>
      <c r="D170" s="1499" t="s">
        <v>926</v>
      </c>
      <c r="E170" s="700"/>
      <c r="F170" s="701"/>
      <c r="G170" s="702"/>
      <c r="H170" s="925"/>
      <c r="I170" s="895"/>
      <c r="J170" s="1696">
        <v>253</v>
      </c>
      <c r="K170" s="700"/>
      <c r="L170" s="1699">
        <f>SUM(I170:K170)</f>
        <v>253</v>
      </c>
      <c r="M170" s="1254"/>
    </row>
    <row r="171" spans="1:13" x14ac:dyDescent="0.3">
      <c r="A171" s="684">
        <v>162</v>
      </c>
      <c r="B171" s="698"/>
      <c r="C171" s="704"/>
      <c r="D171" s="641" t="s">
        <v>927</v>
      </c>
      <c r="E171" s="700"/>
      <c r="F171" s="701"/>
      <c r="G171" s="702"/>
      <c r="H171" s="925"/>
      <c r="I171" s="895"/>
      <c r="J171" s="1692">
        <f>SUM(J170)</f>
        <v>253</v>
      </c>
      <c r="K171" s="700"/>
      <c r="L171" s="1700">
        <f>SUM(I171:K171)</f>
        <v>253</v>
      </c>
      <c r="M171" s="1254"/>
    </row>
    <row r="172" spans="1:13" ht="17.25" x14ac:dyDescent="0.3">
      <c r="A172" s="684">
        <v>163</v>
      </c>
      <c r="B172" s="698"/>
      <c r="C172" s="699"/>
      <c r="D172" s="1253" t="s">
        <v>773</v>
      </c>
      <c r="E172" s="700"/>
      <c r="F172" s="701"/>
      <c r="G172" s="702"/>
      <c r="H172" s="925" t="s">
        <v>23</v>
      </c>
      <c r="I172" s="700"/>
      <c r="J172" s="700"/>
      <c r="K172" s="700"/>
      <c r="L172" s="712"/>
      <c r="M172" s="1254"/>
    </row>
    <row r="173" spans="1:13" ht="33" x14ac:dyDescent="0.3">
      <c r="A173" s="684">
        <v>164</v>
      </c>
      <c r="B173" s="698"/>
      <c r="C173" s="704">
        <v>42</v>
      </c>
      <c r="D173" s="1230" t="s">
        <v>897</v>
      </c>
      <c r="E173" s="700">
        <f>F173+G173+L176+M174</f>
        <v>80000</v>
      </c>
      <c r="F173" s="701"/>
      <c r="G173" s="702"/>
      <c r="H173" s="925"/>
      <c r="I173" s="670"/>
      <c r="J173" s="1697"/>
      <c r="K173" s="1697"/>
      <c r="L173" s="1701"/>
      <c r="M173" s="1254"/>
    </row>
    <row r="174" spans="1:13" x14ac:dyDescent="0.3">
      <c r="A174" s="684">
        <v>165</v>
      </c>
      <c r="B174" s="698"/>
      <c r="C174" s="704"/>
      <c r="D174" s="760" t="s">
        <v>292</v>
      </c>
      <c r="E174" s="700"/>
      <c r="F174" s="701"/>
      <c r="G174" s="702"/>
      <c r="H174" s="925"/>
      <c r="I174" s="700"/>
      <c r="J174" s="1679">
        <v>80000</v>
      </c>
      <c r="K174" s="1679"/>
      <c r="L174" s="1690">
        <f t="shared" ref="L174" si="28">SUM(I174:K174)</f>
        <v>80000</v>
      </c>
      <c r="M174" s="1254"/>
    </row>
    <row r="175" spans="1:13" x14ac:dyDescent="0.3">
      <c r="A175" s="684">
        <v>166</v>
      </c>
      <c r="B175" s="698"/>
      <c r="C175" s="704"/>
      <c r="D175" s="1499" t="s">
        <v>929</v>
      </c>
      <c r="E175" s="700"/>
      <c r="F175" s="701"/>
      <c r="G175" s="712"/>
      <c r="H175" s="925"/>
      <c r="I175" s="700"/>
      <c r="J175" s="700"/>
      <c r="K175" s="700"/>
      <c r="L175" s="1702">
        <f>SUM(I175:K175)</f>
        <v>0</v>
      </c>
      <c r="M175" s="1254"/>
    </row>
    <row r="176" spans="1:13" ht="15.75" thickBot="1" x14ac:dyDescent="0.35">
      <c r="A176" s="684">
        <v>167</v>
      </c>
      <c r="B176" s="1703"/>
      <c r="C176" s="1704"/>
      <c r="D176" s="641" t="s">
        <v>927</v>
      </c>
      <c r="E176" s="1705"/>
      <c r="F176" s="1706"/>
      <c r="G176" s="1707"/>
      <c r="H176" s="1708"/>
      <c r="I176" s="1709"/>
      <c r="J176" s="1710">
        <f>SUM(J174:J175)</f>
        <v>80000</v>
      </c>
      <c r="K176" s="1709"/>
      <c r="L176" s="1615">
        <f>SUM(I176:K176)</f>
        <v>80000</v>
      </c>
      <c r="M176" s="1711"/>
    </row>
    <row r="177" spans="1:13" x14ac:dyDescent="0.3">
      <c r="A177" s="684">
        <v>168</v>
      </c>
      <c r="B177" s="2111" t="s">
        <v>13</v>
      </c>
      <c r="C177" s="2112"/>
      <c r="D177" s="2112"/>
      <c r="E177" s="2112"/>
      <c r="F177" s="2112"/>
      <c r="G177" s="2113"/>
      <c r="H177" s="1712"/>
      <c r="I177" s="1713"/>
      <c r="J177" s="1713"/>
      <c r="K177" s="1713"/>
      <c r="L177" s="1713"/>
      <c r="M177" s="1714"/>
    </row>
    <row r="178" spans="1:13" x14ac:dyDescent="0.3">
      <c r="A178" s="684">
        <v>169</v>
      </c>
      <c r="B178" s="1715"/>
      <c r="C178" s="1716"/>
      <c r="D178" s="2114" t="s">
        <v>292</v>
      </c>
      <c r="E178" s="2114"/>
      <c r="F178" s="2114"/>
      <c r="G178" s="2115"/>
      <c r="H178" s="1717"/>
      <c r="I178" s="1718">
        <f>I174+I160+I156+I152+I148+I144+I140+I136+I132+I128+I124+I120+I116+I112+I108+I104+I100+I96+I92+I88+I84+I80+I76+I72+I68+I64+I60+I56+I52+I48+I44+I40+I36+I32+I28+I24+I20+I16+I12</f>
        <v>1183</v>
      </c>
      <c r="J178" s="1718">
        <f>J174+J160+J156+J152+J148+J144+J140+J136+J132+J128+J124+J120+J116+J112+J108+J104+J100+J96+J92+J88+J84+J80+J76+J72+J68+J64+J60+J56+J52+J48+J44+J40+J36+J32+J28+J24+J20+J16+J12</f>
        <v>1113878</v>
      </c>
      <c r="K178" s="1718">
        <f>K174+K160+K156+K152+K148+K144+K140+K136+K132+K128+K124+K120+K116+K112+K108+K104+K100+K96+K92+K88+K84+K80+K76+K72+K68+K64+K60+K56+K52+K48+K44+K40+K36+K32+K28+K24+K20+K16+K12</f>
        <v>20000</v>
      </c>
      <c r="L178" s="1082">
        <f>SUM(I178:K178)</f>
        <v>1135061</v>
      </c>
      <c r="M178" s="1719"/>
    </row>
    <row r="179" spans="1:13" x14ac:dyDescent="0.3">
      <c r="A179" s="684">
        <v>170</v>
      </c>
      <c r="B179" s="1715"/>
      <c r="C179" s="1716"/>
      <c r="D179" s="2059" t="s">
        <v>929</v>
      </c>
      <c r="E179" s="2059"/>
      <c r="F179" s="2059"/>
      <c r="G179" s="2060"/>
      <c r="H179" s="1717"/>
      <c r="I179" s="1720">
        <f>I175+I161+I157+I153+I149+I145+I141+I137+I133+I129+I125+I121+I117+I113+I109+I105+I101+I97+I93+I89+I85+I81+I77+I73+I69+I65+I61+I57+I53+I49+I45+I41+I37+I33+I29+I25+I21+I17+I13+I164+I167+I170</f>
        <v>0</v>
      </c>
      <c r="J179" s="1720">
        <f t="shared" ref="J179:K179" si="29">J175+J161+J157+J153+J149+J145+J141+J137+J133+J129+J125+J121+J117+J113+J109+J105+J101+J97+J93+J89+J85+J81+J77+J73+J69+J65+J61+J57+J53+J49+J45+J41+J37+J33+J29+J25+J21+J17+J13+J164+J167+J170</f>
        <v>22567</v>
      </c>
      <c r="K179" s="1720">
        <f t="shared" si="29"/>
        <v>0</v>
      </c>
      <c r="L179" s="1611">
        <f>SUM(I179:K179)</f>
        <v>22567</v>
      </c>
      <c r="M179" s="1719"/>
    </row>
    <row r="180" spans="1:13" ht="15.75" thickBot="1" x14ac:dyDescent="0.35">
      <c r="A180" s="684">
        <v>171</v>
      </c>
      <c r="B180" s="1721"/>
      <c r="C180" s="1722"/>
      <c r="D180" s="2068" t="s">
        <v>927</v>
      </c>
      <c r="E180" s="2068"/>
      <c r="F180" s="2068"/>
      <c r="G180" s="2069"/>
      <c r="H180" s="1723"/>
      <c r="I180" s="1724">
        <f>SUM(I178:I179)</f>
        <v>1183</v>
      </c>
      <c r="J180" s="1724">
        <f t="shared" ref="J180:K180" si="30">SUM(J178:J179)</f>
        <v>1136445</v>
      </c>
      <c r="K180" s="1724">
        <f t="shared" si="30"/>
        <v>20000</v>
      </c>
      <c r="L180" s="1725">
        <f>SUM(I180:K180)</f>
        <v>1157628</v>
      </c>
      <c r="M180" s="1726"/>
    </row>
    <row r="181" spans="1:13" x14ac:dyDescent="0.3">
      <c r="B181" s="678" t="s">
        <v>27</v>
      </c>
      <c r="C181" s="678"/>
      <c r="D181" s="678"/>
      <c r="E181" s="679"/>
      <c r="F181" s="680"/>
      <c r="G181" s="679"/>
      <c r="H181" s="1727"/>
      <c r="I181" s="679"/>
      <c r="J181" s="679"/>
      <c r="K181" s="679"/>
      <c r="L181" s="679"/>
      <c r="M181" s="1728"/>
    </row>
    <row r="182" spans="1:13" x14ac:dyDescent="0.3">
      <c r="B182" s="678" t="s">
        <v>28</v>
      </c>
      <c r="C182" s="678"/>
      <c r="D182" s="678"/>
      <c r="E182" s="668"/>
      <c r="F182" s="680"/>
      <c r="G182" s="679"/>
      <c r="H182" s="667"/>
      <c r="I182" s="679"/>
      <c r="J182" s="679"/>
      <c r="K182" s="679"/>
      <c r="L182" s="679"/>
    </row>
    <row r="183" spans="1:13" x14ac:dyDescent="0.3">
      <c r="B183" s="678" t="s">
        <v>29</v>
      </c>
      <c r="C183" s="678"/>
      <c r="D183" s="678"/>
      <c r="E183" s="668"/>
      <c r="F183" s="680"/>
      <c r="G183" s="679"/>
      <c r="H183" s="667"/>
      <c r="I183" s="679"/>
      <c r="J183" s="679"/>
      <c r="K183" s="679"/>
      <c r="L183" s="679"/>
    </row>
  </sheetData>
  <mergeCells count="20">
    <mergeCell ref="B177:G177"/>
    <mergeCell ref="D178:G178"/>
    <mergeCell ref="D179:G179"/>
    <mergeCell ref="D180:G180"/>
    <mergeCell ref="B1:D1"/>
    <mergeCell ref="I1:M1"/>
    <mergeCell ref="B3:M3"/>
    <mergeCell ref="B4:M4"/>
    <mergeCell ref="I7:L7"/>
    <mergeCell ref="M7:M9"/>
    <mergeCell ref="E7:E9"/>
    <mergeCell ref="B7:B9"/>
    <mergeCell ref="C7:C9"/>
    <mergeCell ref="D7:D9"/>
    <mergeCell ref="J8:K8"/>
    <mergeCell ref="L8:L9"/>
    <mergeCell ref="H7:H9"/>
    <mergeCell ref="G7:G9"/>
    <mergeCell ref="F7:F9"/>
    <mergeCell ref="B2:F2"/>
  </mergeCells>
  <printOptions horizontalCentered="1"/>
  <pageMargins left="0.19685039370078741" right="0.19685039370078741" top="0.59055118110236227" bottom="0.59055118110236227" header="0.51181102362204722" footer="0.51181102362204722"/>
  <pageSetup paperSize="9" scale="49" fitToHeight="0" orientation="portrait" r:id="rId1"/>
  <headerFooter>
    <oddFooter>&amp;C-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R16"/>
  <sheetViews>
    <sheetView view="pageBreakPreview" zoomScale="80" zoomScaleNormal="100" zoomScaleSheetLayoutView="80" workbookViewId="0">
      <pane ySplit="8" topLeftCell="A9" activePane="bottomLeft" state="frozen"/>
      <selection activeCell="B1" sqref="B1:F1"/>
      <selection pane="bottomLeft" activeCell="J7" sqref="J7"/>
    </sheetView>
  </sheetViews>
  <sheetFormatPr defaultColWidth="9.140625" defaultRowHeight="15" x14ac:dyDescent="0.3"/>
  <cols>
    <col min="1" max="1" width="3.5703125" style="683" customWidth="1"/>
    <col min="2" max="2" width="5.7109375" style="671" customWidth="1"/>
    <col min="3" max="3" width="5.7109375" style="672" customWidth="1"/>
    <col min="4" max="4" width="59.7109375" style="673" customWidth="1"/>
    <col min="5" max="7" width="10.7109375" style="669" customWidth="1"/>
    <col min="8" max="8" width="6.7109375" style="674" customWidth="1"/>
    <col min="9" max="10" width="14.85546875" style="669" customWidth="1"/>
    <col min="11" max="11" width="15.7109375" style="669" customWidth="1"/>
    <col min="12" max="12" width="13.7109375" style="681" customWidth="1"/>
    <col min="13" max="16384" width="9.140625" style="670"/>
  </cols>
  <sheetData>
    <row r="1" spans="1:252" s="402" customFormat="1" ht="18" customHeight="1" x14ac:dyDescent="0.3">
      <c r="A1" s="682"/>
      <c r="B1" s="2080" t="s">
        <v>911</v>
      </c>
      <c r="C1" s="2080"/>
      <c r="D1" s="2080"/>
      <c r="E1" s="608"/>
      <c r="F1" s="608"/>
      <c r="G1" s="608"/>
      <c r="H1" s="607"/>
      <c r="I1" s="2081"/>
      <c r="J1" s="2081"/>
      <c r="K1" s="2081"/>
      <c r="L1" s="2081"/>
      <c r="M1" s="609"/>
      <c r="N1" s="609"/>
      <c r="O1" s="609"/>
      <c r="P1" s="609"/>
      <c r="Q1" s="609"/>
      <c r="R1" s="609"/>
      <c r="S1" s="609"/>
      <c r="T1" s="609"/>
      <c r="U1" s="609"/>
      <c r="V1" s="609"/>
      <c r="W1" s="609"/>
      <c r="X1" s="609"/>
      <c r="Y1" s="609"/>
      <c r="Z1" s="609"/>
      <c r="AA1" s="609"/>
      <c r="AB1" s="609"/>
      <c r="AC1" s="609"/>
      <c r="AD1" s="609"/>
      <c r="AE1" s="609"/>
      <c r="AF1" s="609"/>
      <c r="AG1" s="609"/>
      <c r="AH1" s="609"/>
      <c r="AI1" s="609"/>
      <c r="AJ1" s="609"/>
      <c r="AK1" s="609"/>
      <c r="AL1" s="609"/>
      <c r="AM1" s="609"/>
      <c r="AN1" s="609"/>
      <c r="AO1" s="609"/>
      <c r="AP1" s="609"/>
      <c r="AQ1" s="609"/>
      <c r="AR1" s="609"/>
      <c r="AS1" s="609"/>
      <c r="AT1" s="609"/>
      <c r="AU1" s="609"/>
      <c r="AV1" s="609"/>
      <c r="AW1" s="609"/>
      <c r="AX1" s="609"/>
      <c r="AY1" s="609"/>
      <c r="AZ1" s="609"/>
      <c r="BA1" s="609"/>
      <c r="BB1" s="609"/>
      <c r="BC1" s="609"/>
      <c r="BD1" s="609"/>
      <c r="BE1" s="609"/>
      <c r="BF1" s="609"/>
      <c r="BG1" s="609"/>
      <c r="BH1" s="609"/>
      <c r="BI1" s="609"/>
      <c r="BJ1" s="609"/>
      <c r="BK1" s="609"/>
      <c r="BL1" s="609"/>
      <c r="BM1" s="609"/>
      <c r="BN1" s="609"/>
      <c r="BO1" s="609"/>
      <c r="BP1" s="609"/>
      <c r="BQ1" s="609"/>
      <c r="BR1" s="609"/>
      <c r="BS1" s="609"/>
      <c r="BT1" s="609"/>
      <c r="BU1" s="609"/>
      <c r="BV1" s="609"/>
      <c r="BW1" s="609"/>
      <c r="BX1" s="609"/>
      <c r="BY1" s="609"/>
      <c r="BZ1" s="609"/>
      <c r="CA1" s="609"/>
      <c r="CB1" s="609"/>
      <c r="CC1" s="609"/>
      <c r="CD1" s="609"/>
      <c r="CE1" s="609"/>
      <c r="CF1" s="609"/>
      <c r="CG1" s="609"/>
      <c r="CH1" s="609"/>
      <c r="CI1" s="609"/>
      <c r="CJ1" s="609"/>
      <c r="CK1" s="609"/>
      <c r="CL1" s="609"/>
      <c r="CM1" s="609"/>
      <c r="CN1" s="609"/>
      <c r="CO1" s="609"/>
      <c r="CP1" s="609"/>
      <c r="CQ1" s="609"/>
      <c r="CR1" s="609"/>
      <c r="CS1" s="609"/>
      <c r="CT1" s="609"/>
      <c r="CU1" s="609"/>
      <c r="CV1" s="609"/>
      <c r="CW1" s="609"/>
      <c r="CX1" s="609"/>
      <c r="CY1" s="609"/>
      <c r="CZ1" s="609"/>
      <c r="DA1" s="609"/>
      <c r="DB1" s="609"/>
      <c r="DC1" s="609"/>
      <c r="DD1" s="609"/>
      <c r="DE1" s="609"/>
      <c r="DF1" s="609"/>
      <c r="DG1" s="609"/>
      <c r="DH1" s="609"/>
      <c r="DI1" s="609"/>
      <c r="DJ1" s="609"/>
      <c r="DK1" s="609"/>
      <c r="DL1" s="609"/>
      <c r="DM1" s="609"/>
      <c r="DN1" s="609"/>
      <c r="DO1" s="609"/>
      <c r="DP1" s="609"/>
      <c r="DQ1" s="609"/>
      <c r="DR1" s="609"/>
      <c r="DS1" s="609"/>
      <c r="DT1" s="609"/>
      <c r="DU1" s="609"/>
      <c r="DV1" s="609"/>
      <c r="DW1" s="609"/>
      <c r="DX1" s="609"/>
      <c r="DY1" s="609"/>
      <c r="DZ1" s="609"/>
      <c r="EA1" s="609"/>
      <c r="EB1" s="609"/>
      <c r="EC1" s="609"/>
      <c r="ED1" s="609"/>
      <c r="EE1" s="609"/>
      <c r="EF1" s="609"/>
      <c r="EG1" s="609"/>
      <c r="EH1" s="609"/>
      <c r="EI1" s="609"/>
      <c r="EJ1" s="609"/>
      <c r="EK1" s="609"/>
      <c r="EL1" s="609"/>
      <c r="EM1" s="609"/>
      <c r="EN1" s="609"/>
      <c r="EO1" s="609"/>
      <c r="EP1" s="609"/>
      <c r="EQ1" s="609"/>
      <c r="ER1" s="609"/>
      <c r="ES1" s="609"/>
      <c r="ET1" s="609"/>
      <c r="EU1" s="609"/>
      <c r="EV1" s="609"/>
      <c r="EW1" s="609"/>
      <c r="EX1" s="609"/>
      <c r="EY1" s="609"/>
      <c r="EZ1" s="609"/>
      <c r="FA1" s="609"/>
      <c r="FB1" s="609"/>
      <c r="FC1" s="609"/>
      <c r="FD1" s="609"/>
      <c r="FE1" s="609"/>
      <c r="FF1" s="609"/>
      <c r="FG1" s="609"/>
      <c r="FH1" s="609"/>
      <c r="FI1" s="609"/>
      <c r="FJ1" s="609"/>
      <c r="FK1" s="609"/>
      <c r="FL1" s="609"/>
      <c r="FM1" s="609"/>
      <c r="FN1" s="609"/>
      <c r="FO1" s="609"/>
      <c r="FP1" s="609"/>
      <c r="FQ1" s="609"/>
      <c r="FR1" s="609"/>
      <c r="FS1" s="609"/>
      <c r="FT1" s="609"/>
      <c r="FU1" s="609"/>
      <c r="FV1" s="609"/>
      <c r="FW1" s="609"/>
      <c r="FX1" s="609"/>
      <c r="FY1" s="609"/>
      <c r="FZ1" s="609"/>
      <c r="GA1" s="609"/>
      <c r="GB1" s="609"/>
      <c r="GC1" s="609"/>
      <c r="GD1" s="609"/>
      <c r="GE1" s="609"/>
      <c r="GF1" s="609"/>
      <c r="GG1" s="609"/>
      <c r="GH1" s="609"/>
      <c r="GI1" s="609"/>
      <c r="GJ1" s="609"/>
      <c r="GK1" s="609"/>
      <c r="GL1" s="609"/>
      <c r="GM1" s="609"/>
      <c r="GN1" s="609"/>
      <c r="GO1" s="609"/>
      <c r="GP1" s="609"/>
      <c r="GQ1" s="609"/>
      <c r="GR1" s="609"/>
      <c r="GS1" s="609"/>
      <c r="GT1" s="609"/>
      <c r="GU1" s="609"/>
      <c r="GV1" s="609"/>
      <c r="GW1" s="609"/>
      <c r="GX1" s="609"/>
      <c r="GY1" s="609"/>
      <c r="GZ1" s="609"/>
      <c r="HA1" s="609"/>
      <c r="HB1" s="609"/>
      <c r="HC1" s="609"/>
      <c r="HD1" s="609"/>
      <c r="HE1" s="609"/>
      <c r="HF1" s="609"/>
      <c r="HG1" s="609"/>
      <c r="HH1" s="609"/>
      <c r="HI1" s="609"/>
      <c r="HJ1" s="609"/>
      <c r="HK1" s="609"/>
      <c r="HL1" s="609"/>
      <c r="HM1" s="609"/>
      <c r="HN1" s="609"/>
      <c r="HO1" s="609"/>
      <c r="HP1" s="609"/>
      <c r="HQ1" s="609"/>
      <c r="HR1" s="609"/>
      <c r="HS1" s="609"/>
      <c r="HT1" s="609"/>
      <c r="HU1" s="609"/>
      <c r="HV1" s="609"/>
      <c r="HW1" s="609"/>
      <c r="HX1" s="609"/>
      <c r="HY1" s="609"/>
      <c r="HZ1" s="609"/>
      <c r="IA1" s="609"/>
      <c r="IB1" s="609"/>
      <c r="IC1" s="609"/>
      <c r="ID1" s="609"/>
      <c r="IE1" s="609"/>
      <c r="IF1" s="609"/>
      <c r="IG1" s="609"/>
      <c r="IH1" s="609"/>
      <c r="II1" s="609"/>
      <c r="IJ1" s="609"/>
      <c r="IK1" s="609"/>
      <c r="IL1" s="609"/>
      <c r="IM1" s="609"/>
      <c r="IN1" s="609"/>
      <c r="IO1" s="609"/>
      <c r="IP1" s="609"/>
    </row>
    <row r="2" spans="1:252" s="402" customFormat="1" ht="18" customHeight="1" x14ac:dyDescent="0.35">
      <c r="A2" s="683"/>
      <c r="B2" s="2082" t="s">
        <v>14</v>
      </c>
      <c r="C2" s="2082"/>
      <c r="D2" s="2082"/>
      <c r="E2" s="2082"/>
      <c r="F2" s="2082"/>
      <c r="G2" s="2082"/>
      <c r="H2" s="2082"/>
      <c r="I2" s="2082"/>
      <c r="J2" s="2082"/>
      <c r="K2" s="2082"/>
      <c r="L2" s="2082"/>
    </row>
    <row r="3" spans="1:252" s="402" customFormat="1" ht="18" customHeight="1" x14ac:dyDescent="0.3">
      <c r="A3" s="683"/>
      <c r="B3" s="2083" t="s">
        <v>755</v>
      </c>
      <c r="C3" s="2083"/>
      <c r="D3" s="2083"/>
      <c r="E3" s="2083"/>
      <c r="F3" s="2083"/>
      <c r="G3" s="2083"/>
      <c r="H3" s="2083"/>
      <c r="I3" s="2083"/>
      <c r="J3" s="2083"/>
      <c r="K3" s="2083"/>
      <c r="L3" s="2083"/>
    </row>
    <row r="4" spans="1:252" ht="18" customHeight="1" x14ac:dyDescent="0.3">
      <c r="L4" s="675" t="s">
        <v>0</v>
      </c>
    </row>
    <row r="5" spans="1:252" s="128" customFormat="1" ht="18" customHeight="1" thickBot="1" x14ac:dyDescent="0.25">
      <c r="A5" s="683"/>
      <c r="B5" s="705" t="s">
        <v>1</v>
      </c>
      <c r="C5" s="706" t="s">
        <v>3</v>
      </c>
      <c r="D5" s="706" t="s">
        <v>2</v>
      </c>
      <c r="E5" s="706" t="s">
        <v>4</v>
      </c>
      <c r="F5" s="706" t="s">
        <v>5</v>
      </c>
      <c r="G5" s="706" t="s">
        <v>15</v>
      </c>
      <c r="H5" s="706" t="s">
        <v>16</v>
      </c>
      <c r="I5" s="706" t="s">
        <v>30</v>
      </c>
      <c r="J5" s="706" t="s">
        <v>23</v>
      </c>
      <c r="K5" s="706" t="s">
        <v>35</v>
      </c>
      <c r="L5" s="706" t="s">
        <v>36</v>
      </c>
      <c r="M5" s="683"/>
      <c r="N5" s="683"/>
      <c r="O5" s="683"/>
      <c r="P5" s="683"/>
      <c r="Q5" s="683"/>
      <c r="R5" s="683"/>
      <c r="S5" s="683"/>
      <c r="T5" s="683"/>
      <c r="U5" s="683"/>
      <c r="V5" s="683"/>
      <c r="W5" s="683"/>
      <c r="X5" s="683"/>
      <c r="Y5" s="683"/>
      <c r="Z5" s="683"/>
      <c r="AA5" s="683"/>
      <c r="AB5" s="683"/>
      <c r="AC5" s="683"/>
      <c r="AD5" s="683"/>
      <c r="AE5" s="683"/>
      <c r="AF5" s="683"/>
      <c r="AG5" s="683"/>
      <c r="AH5" s="683"/>
      <c r="AI5" s="683"/>
      <c r="AJ5" s="683"/>
      <c r="AK5" s="683"/>
      <c r="AL5" s="683"/>
      <c r="AM5" s="683"/>
      <c r="AN5" s="683"/>
      <c r="AO5" s="683"/>
      <c r="AP5" s="683"/>
      <c r="AQ5" s="683"/>
      <c r="AR5" s="683"/>
      <c r="AS5" s="683"/>
      <c r="AT5" s="683"/>
      <c r="AU5" s="683"/>
      <c r="AV5" s="683"/>
      <c r="AW5" s="683"/>
      <c r="AX5" s="683"/>
      <c r="AY5" s="683"/>
      <c r="AZ5" s="683"/>
      <c r="BA5" s="683"/>
      <c r="BB5" s="683"/>
      <c r="BC5" s="683"/>
      <c r="BD5" s="683"/>
      <c r="BE5" s="683"/>
      <c r="BF5" s="683"/>
      <c r="BG5" s="683"/>
      <c r="BH5" s="683"/>
      <c r="BI5" s="683"/>
      <c r="BJ5" s="683"/>
      <c r="BK5" s="683"/>
      <c r="BL5" s="683"/>
      <c r="BM5" s="683"/>
      <c r="BN5" s="683"/>
      <c r="BO5" s="683"/>
      <c r="BP5" s="683"/>
      <c r="BQ5" s="683"/>
      <c r="BR5" s="683"/>
      <c r="BS5" s="683"/>
      <c r="BT5" s="683"/>
      <c r="BU5" s="683"/>
      <c r="BV5" s="683"/>
      <c r="BW5" s="683"/>
      <c r="BX5" s="683"/>
      <c r="BY5" s="683"/>
      <c r="BZ5" s="683"/>
      <c r="CA5" s="683"/>
      <c r="CB5" s="683"/>
      <c r="CC5" s="683"/>
      <c r="CD5" s="683"/>
      <c r="CE5" s="683"/>
      <c r="CF5" s="683"/>
      <c r="CG5" s="683"/>
      <c r="CH5" s="683"/>
      <c r="CI5" s="683"/>
      <c r="CJ5" s="683"/>
      <c r="CK5" s="683"/>
      <c r="CL5" s="683"/>
      <c r="CM5" s="683"/>
      <c r="CN5" s="683"/>
      <c r="CO5" s="683"/>
      <c r="CP5" s="683"/>
      <c r="CQ5" s="683"/>
      <c r="CR5" s="683"/>
      <c r="CS5" s="683"/>
      <c r="CT5" s="683"/>
      <c r="CU5" s="683"/>
      <c r="CV5" s="683"/>
      <c r="CW5" s="683"/>
      <c r="CX5" s="683"/>
      <c r="CY5" s="683"/>
      <c r="CZ5" s="683"/>
      <c r="DA5" s="683"/>
      <c r="DB5" s="683"/>
      <c r="DC5" s="683"/>
      <c r="DD5" s="683"/>
      <c r="DE5" s="683"/>
      <c r="DF5" s="683"/>
      <c r="DG5" s="683"/>
      <c r="DH5" s="683"/>
      <c r="DI5" s="683"/>
      <c r="DJ5" s="683"/>
      <c r="DK5" s="683"/>
      <c r="DL5" s="683"/>
      <c r="DM5" s="683"/>
      <c r="DN5" s="683"/>
      <c r="DO5" s="683"/>
      <c r="DP5" s="683"/>
      <c r="DQ5" s="683"/>
      <c r="DR5" s="683"/>
      <c r="DS5" s="683"/>
      <c r="DT5" s="683"/>
      <c r="DU5" s="683"/>
      <c r="DV5" s="683"/>
      <c r="DW5" s="683"/>
      <c r="DX5" s="683"/>
      <c r="DY5" s="683"/>
      <c r="DZ5" s="683"/>
      <c r="EA5" s="683"/>
      <c r="EB5" s="683"/>
      <c r="EC5" s="683"/>
      <c r="ED5" s="683"/>
      <c r="EE5" s="683"/>
      <c r="EF5" s="683"/>
      <c r="EG5" s="683"/>
      <c r="EH5" s="683"/>
      <c r="EI5" s="683"/>
      <c r="EJ5" s="683"/>
      <c r="EK5" s="683"/>
      <c r="EL5" s="683"/>
      <c r="EM5" s="683"/>
      <c r="EN5" s="683"/>
      <c r="EO5" s="683"/>
      <c r="EP5" s="683"/>
      <c r="EQ5" s="683"/>
      <c r="ER5" s="683"/>
      <c r="ES5" s="683"/>
      <c r="ET5" s="683"/>
      <c r="EU5" s="683"/>
      <c r="EV5" s="683"/>
      <c r="EW5" s="683"/>
      <c r="EX5" s="683"/>
      <c r="EY5" s="683"/>
      <c r="EZ5" s="683"/>
      <c r="FA5" s="683"/>
      <c r="FB5" s="683"/>
      <c r="FC5" s="683"/>
      <c r="FD5" s="683"/>
      <c r="FE5" s="683"/>
      <c r="FF5" s="683"/>
      <c r="FG5" s="683"/>
      <c r="FH5" s="683"/>
      <c r="FI5" s="683"/>
      <c r="FJ5" s="683"/>
      <c r="FK5" s="683"/>
      <c r="FL5" s="683"/>
      <c r="FM5" s="683"/>
      <c r="FN5" s="683"/>
      <c r="FO5" s="683"/>
      <c r="FP5" s="683"/>
      <c r="FQ5" s="683"/>
      <c r="FR5" s="683"/>
      <c r="FS5" s="683"/>
      <c r="FT5" s="683"/>
      <c r="FU5" s="683"/>
      <c r="FV5" s="683"/>
      <c r="FW5" s="683"/>
      <c r="FX5" s="683"/>
      <c r="FY5" s="683"/>
      <c r="FZ5" s="683"/>
      <c r="GA5" s="683"/>
      <c r="GB5" s="683"/>
      <c r="GC5" s="683"/>
      <c r="GD5" s="683"/>
      <c r="GE5" s="683"/>
      <c r="GF5" s="683"/>
      <c r="GG5" s="683"/>
      <c r="GH5" s="683"/>
      <c r="GI5" s="683"/>
      <c r="GJ5" s="683"/>
      <c r="GK5" s="683"/>
      <c r="GL5" s="683"/>
      <c r="GM5" s="683"/>
      <c r="GN5" s="683"/>
      <c r="GO5" s="683"/>
      <c r="GP5" s="683"/>
      <c r="GQ5" s="683"/>
      <c r="GR5" s="683"/>
      <c r="GS5" s="683"/>
      <c r="GT5" s="683"/>
      <c r="GU5" s="683"/>
      <c r="GV5" s="683"/>
      <c r="GW5" s="683"/>
      <c r="GX5" s="683"/>
      <c r="GY5" s="683"/>
      <c r="GZ5" s="683"/>
      <c r="HA5" s="683"/>
      <c r="HB5" s="683"/>
      <c r="HC5" s="683"/>
      <c r="HD5" s="683"/>
      <c r="HE5" s="683"/>
      <c r="HF5" s="683"/>
      <c r="HG5" s="683"/>
      <c r="HH5" s="683"/>
      <c r="HI5" s="683"/>
      <c r="HJ5" s="683"/>
      <c r="HK5" s="683"/>
      <c r="HL5" s="683"/>
      <c r="HM5" s="683"/>
      <c r="HN5" s="683"/>
      <c r="HO5" s="683"/>
      <c r="HP5" s="683"/>
      <c r="HQ5" s="683"/>
      <c r="HR5" s="683"/>
      <c r="HS5" s="683"/>
      <c r="HT5" s="683"/>
      <c r="HU5" s="683"/>
      <c r="HV5" s="683"/>
      <c r="HW5" s="683"/>
      <c r="HX5" s="683"/>
      <c r="HY5" s="683"/>
      <c r="HZ5" s="683"/>
      <c r="IA5" s="683"/>
      <c r="IB5" s="683"/>
      <c r="IC5" s="683"/>
      <c r="ID5" s="683"/>
      <c r="IE5" s="683"/>
      <c r="IF5" s="683"/>
      <c r="IG5" s="683"/>
      <c r="IH5" s="683"/>
      <c r="II5" s="683"/>
      <c r="IJ5" s="683"/>
      <c r="IK5" s="683"/>
      <c r="IL5" s="683"/>
      <c r="IM5" s="683"/>
      <c r="IN5" s="683"/>
      <c r="IO5" s="683"/>
      <c r="IP5" s="683"/>
    </row>
    <row r="6" spans="1:252" ht="30" customHeight="1" x14ac:dyDescent="0.3">
      <c r="B6" s="2093" t="s">
        <v>18</v>
      </c>
      <c r="C6" s="2096" t="s">
        <v>19</v>
      </c>
      <c r="D6" s="2099" t="s">
        <v>6</v>
      </c>
      <c r="E6" s="2090" t="s">
        <v>21</v>
      </c>
      <c r="F6" s="2090" t="s">
        <v>610</v>
      </c>
      <c r="G6" s="2108" t="s">
        <v>637</v>
      </c>
      <c r="H6" s="2105" t="s">
        <v>285</v>
      </c>
      <c r="I6" s="2119" t="s">
        <v>638</v>
      </c>
      <c r="J6" s="2119"/>
      <c r="K6" s="2120"/>
      <c r="L6" s="2087" t="s">
        <v>701</v>
      </c>
    </row>
    <row r="7" spans="1:252" ht="45" customHeight="1" x14ac:dyDescent="0.3">
      <c r="B7" s="2094"/>
      <c r="C7" s="2097"/>
      <c r="D7" s="2100"/>
      <c r="E7" s="2091"/>
      <c r="F7" s="2091"/>
      <c r="G7" s="2109"/>
      <c r="H7" s="2106"/>
      <c r="I7" s="674" t="s">
        <v>37</v>
      </c>
      <c r="J7" s="900" t="s">
        <v>154</v>
      </c>
      <c r="K7" s="2103" t="s">
        <v>120</v>
      </c>
      <c r="L7" s="2088"/>
    </row>
    <row r="8" spans="1:252" ht="53.25" customHeight="1" thickBot="1" x14ac:dyDescent="0.35">
      <c r="B8" s="2095"/>
      <c r="C8" s="2098"/>
      <c r="D8" s="2101"/>
      <c r="E8" s="2092"/>
      <c r="F8" s="2092"/>
      <c r="G8" s="2110"/>
      <c r="H8" s="2107"/>
      <c r="I8" s="892" t="s">
        <v>40</v>
      </c>
      <c r="J8" s="707" t="s">
        <v>220</v>
      </c>
      <c r="K8" s="2104"/>
      <c r="L8" s="2089"/>
    </row>
    <row r="9" spans="1:252" ht="23.25" customHeight="1" x14ac:dyDescent="0.3">
      <c r="A9" s="684">
        <v>1</v>
      </c>
      <c r="B9" s="891">
        <v>18</v>
      </c>
      <c r="C9" s="883" t="s">
        <v>22</v>
      </c>
      <c r="D9" s="695"/>
      <c r="E9" s="676"/>
      <c r="F9" s="696"/>
      <c r="G9" s="677"/>
      <c r="H9" s="924"/>
      <c r="I9" s="893"/>
      <c r="J9" s="708"/>
      <c r="K9" s="709"/>
      <c r="L9" s="697"/>
    </row>
    <row r="10" spans="1:252" ht="22.5" customHeight="1" x14ac:dyDescent="0.3">
      <c r="A10" s="684">
        <v>2</v>
      </c>
      <c r="B10" s="698"/>
      <c r="C10" s="699">
        <v>1</v>
      </c>
      <c r="D10" s="973" t="s">
        <v>455</v>
      </c>
      <c r="E10" s="700">
        <f t="shared" ref="E10:E11" si="0">F10+G10+K10+L10</f>
        <v>11252</v>
      </c>
      <c r="F10" s="701">
        <v>9999</v>
      </c>
      <c r="G10" s="702"/>
      <c r="H10" s="925" t="s">
        <v>24</v>
      </c>
      <c r="I10" s="894"/>
      <c r="J10" s="710">
        <v>1253</v>
      </c>
      <c r="K10" s="711">
        <f t="shared" ref="K10:K11" si="1">SUM(I10:J10)</f>
        <v>1253</v>
      </c>
      <c r="L10" s="703"/>
    </row>
    <row r="11" spans="1:252" ht="33" customHeight="1" thickBot="1" x14ac:dyDescent="0.35">
      <c r="A11" s="684">
        <v>3</v>
      </c>
      <c r="B11" s="698"/>
      <c r="C11" s="704">
        <v>2</v>
      </c>
      <c r="D11" s="973" t="s">
        <v>765</v>
      </c>
      <c r="E11" s="700">
        <f t="shared" si="0"/>
        <v>20000</v>
      </c>
      <c r="F11" s="701"/>
      <c r="G11" s="702"/>
      <c r="H11" s="925" t="s">
        <v>24</v>
      </c>
      <c r="I11" s="894"/>
      <c r="J11" s="710">
        <v>20000</v>
      </c>
      <c r="K11" s="711">
        <f t="shared" si="1"/>
        <v>20000</v>
      </c>
      <c r="L11" s="703"/>
    </row>
    <row r="12" spans="1:252" ht="36" customHeight="1" thickBot="1" x14ac:dyDescent="0.35">
      <c r="A12" s="684">
        <v>4</v>
      </c>
      <c r="B12" s="2116" t="s">
        <v>13</v>
      </c>
      <c r="C12" s="2117"/>
      <c r="D12" s="2117"/>
      <c r="E12" s="2117"/>
      <c r="F12" s="2117"/>
      <c r="G12" s="2118"/>
      <c r="H12" s="899"/>
      <c r="I12" s="896">
        <f>SUM(I10:I11)</f>
        <v>0</v>
      </c>
      <c r="J12" s="896">
        <f>SUM(J10:J11)</f>
        <v>21253</v>
      </c>
      <c r="K12" s="897">
        <f>SUM(I12:J12)</f>
        <v>21253</v>
      </c>
      <c r="L12" s="898"/>
    </row>
    <row r="13" spans="1:252" ht="18" customHeight="1" x14ac:dyDescent="0.3">
      <c r="B13" s="678" t="s">
        <v>27</v>
      </c>
      <c r="C13" s="678"/>
      <c r="D13" s="678"/>
      <c r="E13" s="679"/>
      <c r="F13" s="680"/>
      <c r="G13" s="679"/>
      <c r="H13" s="667"/>
      <c r="I13" s="679"/>
      <c r="J13" s="679"/>
      <c r="K13" s="679"/>
    </row>
    <row r="14" spans="1:252" ht="18" customHeight="1" x14ac:dyDescent="0.3">
      <c r="B14" s="678" t="s">
        <v>28</v>
      </c>
      <c r="C14" s="678"/>
      <c r="D14" s="678"/>
      <c r="E14" s="668"/>
      <c r="F14" s="680"/>
      <c r="G14" s="679"/>
      <c r="H14" s="667"/>
      <c r="I14" s="679"/>
      <c r="J14" s="679"/>
      <c r="K14" s="679"/>
    </row>
    <row r="15" spans="1:252" ht="18" customHeight="1" x14ac:dyDescent="0.3">
      <c r="B15" s="678" t="s">
        <v>29</v>
      </c>
      <c r="C15" s="678"/>
      <c r="D15" s="678"/>
      <c r="E15" s="668"/>
      <c r="F15" s="680"/>
      <c r="G15" s="679"/>
      <c r="H15" s="667"/>
      <c r="I15" s="679"/>
      <c r="J15" s="679"/>
      <c r="K15" s="679"/>
    </row>
    <row r="16" spans="1:252" s="669" customFormat="1" x14ac:dyDescent="0.3">
      <c r="A16" s="683"/>
      <c r="B16" s="671"/>
      <c r="C16" s="672"/>
      <c r="D16" s="673"/>
      <c r="H16" s="674"/>
      <c r="L16" s="681"/>
      <c r="M16" s="670"/>
      <c r="N16" s="670"/>
      <c r="O16" s="670"/>
      <c r="P16" s="670"/>
      <c r="Q16" s="670"/>
      <c r="R16" s="670"/>
      <c r="S16" s="670"/>
      <c r="T16" s="670"/>
      <c r="U16" s="670"/>
      <c r="V16" s="670"/>
      <c r="W16" s="670"/>
      <c r="X16" s="670"/>
      <c r="Y16" s="670"/>
      <c r="Z16" s="670"/>
      <c r="AA16" s="670"/>
      <c r="AB16" s="670"/>
      <c r="AC16" s="670"/>
      <c r="AD16" s="670"/>
      <c r="AE16" s="670"/>
      <c r="AF16" s="670"/>
      <c r="AG16" s="670"/>
      <c r="AH16" s="670"/>
      <c r="AI16" s="670"/>
      <c r="AJ16" s="670"/>
      <c r="AK16" s="670"/>
      <c r="AL16" s="670"/>
      <c r="AM16" s="670"/>
      <c r="AN16" s="670"/>
      <c r="AO16" s="670"/>
      <c r="AP16" s="670"/>
      <c r="AQ16" s="670"/>
      <c r="AR16" s="670"/>
      <c r="AS16" s="670"/>
      <c r="AT16" s="670"/>
      <c r="AU16" s="670"/>
      <c r="AV16" s="670"/>
      <c r="AW16" s="670"/>
      <c r="AX16" s="670"/>
      <c r="AY16" s="670"/>
      <c r="AZ16" s="670"/>
      <c r="BA16" s="670"/>
      <c r="BB16" s="670"/>
      <c r="BC16" s="670"/>
      <c r="BD16" s="670"/>
      <c r="BE16" s="670"/>
      <c r="BF16" s="670"/>
      <c r="BG16" s="670"/>
      <c r="BH16" s="670"/>
      <c r="BI16" s="670"/>
      <c r="BJ16" s="670"/>
      <c r="BK16" s="670"/>
      <c r="BL16" s="670"/>
      <c r="BM16" s="670"/>
      <c r="BN16" s="670"/>
      <c r="BO16" s="670"/>
      <c r="BP16" s="670"/>
      <c r="BQ16" s="670"/>
      <c r="BR16" s="670"/>
      <c r="BS16" s="670"/>
      <c r="BT16" s="670"/>
      <c r="BU16" s="670"/>
      <c r="BV16" s="670"/>
      <c r="BW16" s="670"/>
      <c r="BX16" s="670"/>
      <c r="BY16" s="670"/>
      <c r="BZ16" s="670"/>
      <c r="CA16" s="670"/>
      <c r="CB16" s="670"/>
      <c r="CC16" s="670"/>
      <c r="CD16" s="670"/>
      <c r="CE16" s="670"/>
      <c r="CF16" s="670"/>
      <c r="CG16" s="670"/>
      <c r="CH16" s="670"/>
      <c r="CI16" s="670"/>
      <c r="CJ16" s="670"/>
      <c r="CK16" s="670"/>
      <c r="CL16" s="670"/>
      <c r="CM16" s="670"/>
      <c r="CN16" s="670"/>
      <c r="CO16" s="670"/>
      <c r="CP16" s="670"/>
      <c r="CQ16" s="670"/>
      <c r="CR16" s="670"/>
      <c r="CS16" s="670"/>
      <c r="CT16" s="670"/>
      <c r="CU16" s="670"/>
      <c r="CV16" s="670"/>
      <c r="CW16" s="670"/>
      <c r="CX16" s="670"/>
      <c r="CY16" s="670"/>
      <c r="CZ16" s="670"/>
      <c r="DA16" s="670"/>
      <c r="DB16" s="670"/>
      <c r="DC16" s="670"/>
      <c r="DD16" s="670"/>
      <c r="DE16" s="670"/>
      <c r="DF16" s="670"/>
      <c r="DG16" s="670"/>
      <c r="DH16" s="670"/>
      <c r="DI16" s="670"/>
      <c r="DJ16" s="670"/>
      <c r="DK16" s="670"/>
      <c r="DL16" s="670"/>
      <c r="DM16" s="670"/>
      <c r="DN16" s="670"/>
      <c r="DO16" s="670"/>
      <c r="DP16" s="670"/>
      <c r="DQ16" s="670"/>
      <c r="DR16" s="670"/>
      <c r="DS16" s="670"/>
      <c r="DT16" s="670"/>
      <c r="DU16" s="670"/>
      <c r="DV16" s="670"/>
      <c r="DW16" s="670"/>
      <c r="DX16" s="670"/>
      <c r="DY16" s="670"/>
      <c r="DZ16" s="670"/>
      <c r="EA16" s="670"/>
      <c r="EB16" s="670"/>
      <c r="EC16" s="670"/>
      <c r="ED16" s="670"/>
      <c r="EE16" s="670"/>
      <c r="EF16" s="670"/>
      <c r="EG16" s="670"/>
      <c r="EH16" s="670"/>
      <c r="EI16" s="670"/>
      <c r="EJ16" s="670"/>
      <c r="EK16" s="670"/>
      <c r="EL16" s="670"/>
      <c r="EM16" s="670"/>
      <c r="EN16" s="670"/>
      <c r="EO16" s="670"/>
      <c r="EP16" s="670"/>
      <c r="EQ16" s="670"/>
      <c r="ER16" s="670"/>
      <c r="ES16" s="670"/>
      <c r="ET16" s="670"/>
      <c r="EU16" s="670"/>
      <c r="EV16" s="670"/>
      <c r="EW16" s="670"/>
      <c r="EX16" s="670"/>
      <c r="EY16" s="670"/>
      <c r="EZ16" s="670"/>
      <c r="FA16" s="670"/>
      <c r="FB16" s="670"/>
      <c r="FC16" s="670"/>
      <c r="FD16" s="670"/>
      <c r="FE16" s="670"/>
      <c r="FF16" s="670"/>
      <c r="FG16" s="670"/>
      <c r="FH16" s="670"/>
      <c r="FI16" s="670"/>
      <c r="FJ16" s="670"/>
      <c r="FK16" s="670"/>
      <c r="FL16" s="670"/>
      <c r="FM16" s="670"/>
      <c r="FN16" s="670"/>
      <c r="FO16" s="670"/>
      <c r="FP16" s="670"/>
      <c r="FQ16" s="670"/>
      <c r="FR16" s="670"/>
      <c r="FS16" s="670"/>
      <c r="FT16" s="670"/>
      <c r="FU16" s="670"/>
      <c r="FV16" s="670"/>
      <c r="FW16" s="670"/>
      <c r="FX16" s="670"/>
      <c r="FY16" s="670"/>
      <c r="FZ16" s="670"/>
      <c r="GA16" s="670"/>
      <c r="GB16" s="670"/>
      <c r="GC16" s="670"/>
      <c r="GD16" s="670"/>
      <c r="GE16" s="670"/>
      <c r="GF16" s="670"/>
      <c r="GG16" s="670"/>
      <c r="GH16" s="670"/>
      <c r="GI16" s="670"/>
      <c r="GJ16" s="670"/>
      <c r="GK16" s="670"/>
      <c r="GL16" s="670"/>
      <c r="GM16" s="670"/>
      <c r="GN16" s="670"/>
      <c r="GO16" s="670"/>
      <c r="GP16" s="670"/>
      <c r="GQ16" s="670"/>
      <c r="GR16" s="670"/>
      <c r="GS16" s="670"/>
      <c r="GT16" s="670"/>
      <c r="GU16" s="670"/>
      <c r="GV16" s="670"/>
      <c r="GW16" s="670"/>
      <c r="GX16" s="670"/>
      <c r="GY16" s="670"/>
      <c r="GZ16" s="670"/>
      <c r="HA16" s="670"/>
      <c r="HB16" s="670"/>
      <c r="HC16" s="670"/>
      <c r="HD16" s="670"/>
      <c r="HE16" s="670"/>
      <c r="HF16" s="670"/>
      <c r="HG16" s="670"/>
      <c r="HH16" s="670"/>
      <c r="HI16" s="670"/>
      <c r="HJ16" s="670"/>
      <c r="HK16" s="670"/>
      <c r="HL16" s="670"/>
      <c r="HM16" s="670"/>
      <c r="HN16" s="670"/>
      <c r="HO16" s="670"/>
      <c r="HP16" s="670"/>
      <c r="HQ16" s="670"/>
      <c r="HR16" s="670"/>
      <c r="HS16" s="670"/>
      <c r="HT16" s="670"/>
      <c r="HU16" s="670"/>
      <c r="HV16" s="670"/>
      <c r="HW16" s="670"/>
      <c r="HX16" s="670"/>
      <c r="HY16" s="670"/>
      <c r="HZ16" s="670"/>
      <c r="IA16" s="670"/>
      <c r="IB16" s="670"/>
      <c r="IC16" s="670"/>
      <c r="ID16" s="670"/>
      <c r="IE16" s="670"/>
      <c r="IF16" s="670"/>
      <c r="IG16" s="670"/>
      <c r="IH16" s="670"/>
      <c r="II16" s="670"/>
      <c r="IJ16" s="670"/>
      <c r="IK16" s="670"/>
      <c r="IL16" s="670"/>
      <c r="IM16" s="670"/>
      <c r="IN16" s="670"/>
      <c r="IO16" s="670"/>
      <c r="IP16" s="670"/>
      <c r="IQ16" s="670"/>
      <c r="IR16" s="670"/>
    </row>
  </sheetData>
  <mergeCells count="15">
    <mergeCell ref="B12:G12"/>
    <mergeCell ref="B1:D1"/>
    <mergeCell ref="I1:L1"/>
    <mergeCell ref="B2:L2"/>
    <mergeCell ref="B3:L3"/>
    <mergeCell ref="B6:B8"/>
    <mergeCell ref="C6:C8"/>
    <mergeCell ref="D6:D8"/>
    <mergeCell ref="E6:E8"/>
    <mergeCell ref="F6:F8"/>
    <mergeCell ref="G6:G8"/>
    <mergeCell ref="I6:K6"/>
    <mergeCell ref="H6:H8"/>
    <mergeCell ref="L6:L8"/>
    <mergeCell ref="K7:K8"/>
  </mergeCells>
  <printOptions horizontalCentered="1"/>
  <pageMargins left="0.19685039370078741" right="0.19685039370078741" top="0.59055118110236227" bottom="0.59055118110236227" header="0.51181102362204722" footer="0.51181102362204722"/>
  <pageSetup paperSize="9" scale="59" fitToHeight="0" orientation="portrait" r:id="rId1"/>
  <headerFooter>
    <oddFooter>&amp;C-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121"/>
  <sheetViews>
    <sheetView view="pageBreakPreview" zoomScale="85" zoomScaleNormal="100" zoomScaleSheetLayoutView="85" workbookViewId="0">
      <selection activeCell="B2" sqref="B2:F2"/>
    </sheetView>
  </sheetViews>
  <sheetFormatPr defaultColWidth="9.140625" defaultRowHeight="17.25" x14ac:dyDescent="0.35"/>
  <cols>
    <col min="1" max="1" width="4.140625" style="713" bestFit="1" customWidth="1"/>
    <col min="2" max="3" width="5.7109375" style="848" customWidth="1"/>
    <col min="4" max="4" width="62.7109375" style="404" customWidth="1"/>
    <col min="5" max="5" width="12.7109375" style="847" customWidth="1"/>
    <col min="6" max="7" width="10.7109375" style="847" customWidth="1"/>
    <col min="8" max="8" width="6.7109375" style="716" customWidth="1"/>
    <col min="9" max="14" width="14.85546875" style="847" customWidth="1"/>
    <col min="15" max="15" width="15.7109375" style="736" customWidth="1"/>
    <col min="16" max="16" width="13.85546875" style="847" customWidth="1"/>
    <col min="17" max="16384" width="9.140625" style="404"/>
  </cols>
  <sheetData>
    <row r="1" spans="1:256" ht="18" customHeight="1" x14ac:dyDescent="0.3">
      <c r="A1" s="1374"/>
      <c r="B1" s="1374" t="s">
        <v>912</v>
      </c>
      <c r="C1" s="1374"/>
      <c r="D1" s="1374"/>
      <c r="E1" s="608"/>
      <c r="F1" s="608"/>
      <c r="G1" s="608"/>
      <c r="H1" s="714"/>
      <c r="I1" s="2081"/>
      <c r="J1" s="2081"/>
      <c r="K1" s="2081"/>
      <c r="L1" s="2081"/>
      <c r="M1" s="2081"/>
      <c r="N1" s="2081"/>
      <c r="O1" s="2081"/>
      <c r="P1" s="2081"/>
      <c r="Q1" s="715"/>
      <c r="R1" s="715"/>
      <c r="S1" s="715"/>
      <c r="T1" s="715"/>
      <c r="U1" s="715"/>
      <c r="V1" s="715"/>
      <c r="W1" s="715"/>
      <c r="X1" s="715"/>
      <c r="Y1" s="715"/>
      <c r="Z1" s="715"/>
      <c r="AA1" s="715"/>
      <c r="AB1" s="715"/>
      <c r="AC1" s="715"/>
      <c r="AD1" s="715"/>
      <c r="AE1" s="715"/>
      <c r="AF1" s="715"/>
      <c r="AG1" s="715"/>
      <c r="AH1" s="715"/>
      <c r="AI1" s="715"/>
      <c r="AJ1" s="715"/>
      <c r="AK1" s="715"/>
      <c r="AL1" s="715"/>
      <c r="AM1" s="715"/>
      <c r="AN1" s="715"/>
      <c r="AO1" s="715"/>
      <c r="AP1" s="715"/>
      <c r="AQ1" s="715"/>
      <c r="AR1" s="715"/>
      <c r="AS1" s="715"/>
      <c r="AT1" s="715"/>
      <c r="AU1" s="715"/>
      <c r="AV1" s="715"/>
      <c r="AW1" s="715"/>
      <c r="AX1" s="715"/>
      <c r="AY1" s="715"/>
      <c r="AZ1" s="715"/>
      <c r="BA1" s="715"/>
      <c r="BB1" s="715"/>
      <c r="BC1" s="715"/>
      <c r="BD1" s="715"/>
      <c r="BE1" s="715"/>
      <c r="BF1" s="715"/>
      <c r="BG1" s="715"/>
      <c r="BH1" s="715"/>
      <c r="BI1" s="715"/>
      <c r="BJ1" s="715"/>
      <c r="BK1" s="715"/>
      <c r="BL1" s="715"/>
      <c r="BM1" s="715"/>
      <c r="BN1" s="715"/>
      <c r="BO1" s="715"/>
      <c r="BP1" s="715"/>
      <c r="BQ1" s="715"/>
      <c r="BR1" s="715"/>
      <c r="BS1" s="715"/>
      <c r="BT1" s="715"/>
      <c r="BU1" s="715"/>
      <c r="BV1" s="715"/>
      <c r="BW1" s="715"/>
      <c r="BX1" s="715"/>
      <c r="BY1" s="715"/>
      <c r="BZ1" s="715"/>
      <c r="CA1" s="715"/>
      <c r="CB1" s="715"/>
      <c r="CC1" s="715"/>
      <c r="CD1" s="715"/>
      <c r="CE1" s="715"/>
      <c r="CF1" s="715"/>
      <c r="CG1" s="715"/>
      <c r="CH1" s="715"/>
      <c r="CI1" s="715"/>
      <c r="CJ1" s="715"/>
      <c r="CK1" s="715"/>
      <c r="CL1" s="715"/>
      <c r="CM1" s="715"/>
      <c r="CN1" s="715"/>
      <c r="CO1" s="715"/>
      <c r="CP1" s="715"/>
      <c r="CQ1" s="715"/>
      <c r="CR1" s="715"/>
      <c r="CS1" s="715"/>
      <c r="CT1" s="715"/>
      <c r="CU1" s="715"/>
      <c r="CV1" s="715"/>
      <c r="CW1" s="715"/>
      <c r="CX1" s="715"/>
      <c r="CY1" s="715"/>
      <c r="CZ1" s="715"/>
      <c r="DA1" s="715"/>
      <c r="DB1" s="715"/>
      <c r="DC1" s="715"/>
      <c r="DD1" s="715"/>
      <c r="DE1" s="715"/>
      <c r="DF1" s="715"/>
      <c r="DG1" s="715"/>
      <c r="DH1" s="715"/>
      <c r="DI1" s="715"/>
      <c r="DJ1" s="715"/>
      <c r="DK1" s="715"/>
      <c r="DL1" s="715"/>
      <c r="DM1" s="715"/>
      <c r="DN1" s="715"/>
      <c r="DO1" s="715"/>
      <c r="DP1" s="715"/>
      <c r="DQ1" s="715"/>
      <c r="DR1" s="715"/>
      <c r="DS1" s="715"/>
      <c r="DT1" s="715"/>
      <c r="DU1" s="715"/>
      <c r="DV1" s="715"/>
      <c r="DW1" s="715"/>
      <c r="DX1" s="715"/>
      <c r="DY1" s="715"/>
      <c r="DZ1" s="715"/>
      <c r="EA1" s="715"/>
      <c r="EB1" s="715"/>
      <c r="EC1" s="715"/>
      <c r="ED1" s="715"/>
      <c r="EE1" s="715"/>
      <c r="EF1" s="715"/>
      <c r="EG1" s="715"/>
      <c r="EH1" s="715"/>
      <c r="EI1" s="715"/>
      <c r="EJ1" s="715"/>
      <c r="EK1" s="715"/>
      <c r="EL1" s="715"/>
      <c r="EM1" s="715"/>
      <c r="EN1" s="715"/>
      <c r="EO1" s="715"/>
      <c r="EP1" s="715"/>
      <c r="EQ1" s="715"/>
      <c r="ER1" s="715"/>
      <c r="ES1" s="715"/>
      <c r="ET1" s="715"/>
      <c r="EU1" s="715"/>
      <c r="EV1" s="715"/>
      <c r="EW1" s="715"/>
      <c r="EX1" s="715"/>
      <c r="EY1" s="715"/>
      <c r="EZ1" s="715"/>
      <c r="FA1" s="715"/>
      <c r="FB1" s="715"/>
      <c r="FC1" s="715"/>
      <c r="FD1" s="715"/>
      <c r="FE1" s="715"/>
      <c r="FF1" s="715"/>
      <c r="FG1" s="715"/>
      <c r="FH1" s="715"/>
      <c r="FI1" s="715"/>
      <c r="FJ1" s="715"/>
      <c r="FK1" s="715"/>
      <c r="FL1" s="715"/>
      <c r="FM1" s="715"/>
      <c r="FN1" s="715"/>
      <c r="FO1" s="715"/>
      <c r="FP1" s="715"/>
      <c r="FQ1" s="715"/>
      <c r="FR1" s="715"/>
      <c r="FS1" s="715"/>
      <c r="FT1" s="715"/>
      <c r="FU1" s="715"/>
      <c r="FV1" s="715"/>
      <c r="FW1" s="715"/>
      <c r="FX1" s="715"/>
      <c r="FY1" s="715"/>
      <c r="FZ1" s="715"/>
      <c r="GA1" s="715"/>
      <c r="GB1" s="715"/>
      <c r="GC1" s="715"/>
      <c r="GD1" s="715"/>
      <c r="GE1" s="715"/>
      <c r="GF1" s="715"/>
      <c r="GG1" s="715"/>
      <c r="GH1" s="715"/>
      <c r="GI1" s="715"/>
      <c r="GJ1" s="715"/>
      <c r="GK1" s="715"/>
      <c r="GL1" s="715"/>
      <c r="GM1" s="715"/>
      <c r="GN1" s="715"/>
      <c r="GO1" s="715"/>
      <c r="GP1" s="715"/>
      <c r="GQ1" s="715"/>
      <c r="GR1" s="715"/>
      <c r="GS1" s="715"/>
      <c r="GT1" s="715"/>
      <c r="GU1" s="715"/>
      <c r="GV1" s="715"/>
      <c r="GW1" s="715"/>
      <c r="GX1" s="715"/>
      <c r="GY1" s="715"/>
      <c r="GZ1" s="715"/>
      <c r="HA1" s="715"/>
      <c r="HB1" s="715"/>
      <c r="HC1" s="715"/>
      <c r="HD1" s="715"/>
      <c r="HE1" s="715"/>
      <c r="HF1" s="715"/>
      <c r="HG1" s="715"/>
      <c r="HH1" s="715"/>
      <c r="HI1" s="715"/>
      <c r="HJ1" s="715"/>
      <c r="HK1" s="715"/>
      <c r="HL1" s="715"/>
      <c r="HM1" s="715"/>
      <c r="HN1" s="715"/>
      <c r="HO1" s="715"/>
      <c r="HP1" s="715"/>
      <c r="HQ1" s="715"/>
      <c r="HR1" s="715"/>
      <c r="HS1" s="715"/>
      <c r="HT1" s="715"/>
      <c r="HU1" s="715"/>
      <c r="HV1" s="715"/>
      <c r="HW1" s="715"/>
      <c r="HX1" s="715"/>
      <c r="HY1" s="715"/>
      <c r="HZ1" s="715"/>
      <c r="IA1" s="715"/>
      <c r="IB1" s="715"/>
      <c r="IC1" s="715"/>
      <c r="ID1" s="715"/>
      <c r="IE1" s="715"/>
      <c r="IF1" s="715"/>
      <c r="IG1" s="715"/>
      <c r="IH1" s="715"/>
      <c r="II1" s="715"/>
      <c r="IJ1" s="715"/>
      <c r="IK1" s="715"/>
      <c r="IL1" s="715"/>
      <c r="IM1" s="715"/>
      <c r="IN1" s="715"/>
      <c r="IO1" s="715"/>
      <c r="IP1" s="715"/>
    </row>
    <row r="2" spans="1:256" s="141" customFormat="1" ht="16.5" x14ac:dyDescent="0.3">
      <c r="A2" s="126"/>
      <c r="B2" s="1896"/>
      <c r="C2" s="1896"/>
      <c r="D2" s="1896"/>
      <c r="E2" s="1896"/>
      <c r="F2" s="1896"/>
      <c r="G2" s="118"/>
      <c r="H2" s="118"/>
      <c r="I2" s="118"/>
      <c r="J2" s="282"/>
    </row>
    <row r="3" spans="1:256" ht="24.75" customHeight="1" x14ac:dyDescent="0.35">
      <c r="A3" s="2082" t="s">
        <v>14</v>
      </c>
      <c r="B3" s="2082"/>
      <c r="C3" s="2082"/>
      <c r="D3" s="2082"/>
      <c r="E3" s="2082"/>
      <c r="F3" s="2082"/>
      <c r="G3" s="2082"/>
      <c r="H3" s="2082"/>
      <c r="I3" s="2082"/>
      <c r="J3" s="2082"/>
      <c r="K3" s="2082"/>
      <c r="L3" s="2082"/>
      <c r="M3" s="2082"/>
      <c r="N3" s="2082"/>
      <c r="O3" s="2082"/>
      <c r="P3" s="2082"/>
    </row>
    <row r="4" spans="1:256" ht="24.75" customHeight="1" x14ac:dyDescent="0.35">
      <c r="A4" s="2128" t="s">
        <v>700</v>
      </c>
      <c r="B4" s="2128"/>
      <c r="C4" s="2128"/>
      <c r="D4" s="2128"/>
      <c r="E4" s="2128"/>
      <c r="F4" s="2128"/>
      <c r="G4" s="2128"/>
      <c r="H4" s="2128"/>
      <c r="I4" s="2128"/>
      <c r="J4" s="2128"/>
      <c r="K4" s="2128"/>
      <c r="L4" s="2128"/>
      <c r="M4" s="2128"/>
      <c r="N4" s="2128"/>
      <c r="O4" s="2128"/>
      <c r="P4" s="2128"/>
    </row>
    <row r="5" spans="1:256" s="917" customFormat="1" ht="18" customHeight="1" x14ac:dyDescent="0.3">
      <c r="A5" s="713"/>
      <c r="B5" s="713"/>
      <c r="C5" s="713"/>
      <c r="E5" s="669"/>
      <c r="F5" s="669"/>
      <c r="G5" s="669"/>
      <c r="H5" s="918"/>
      <c r="I5" s="669"/>
      <c r="J5" s="669"/>
      <c r="K5" s="669"/>
      <c r="L5" s="669"/>
      <c r="M5" s="669"/>
      <c r="N5" s="669"/>
      <c r="O5" s="919"/>
      <c r="P5" s="675" t="s">
        <v>0</v>
      </c>
    </row>
    <row r="6" spans="1:256" s="923" customFormat="1" ht="18" customHeight="1" thickBot="1" x14ac:dyDescent="0.35">
      <c r="A6" s="920"/>
      <c r="B6" s="921" t="s">
        <v>1</v>
      </c>
      <c r="C6" s="922" t="s">
        <v>3</v>
      </c>
      <c r="D6" s="922" t="s">
        <v>2</v>
      </c>
      <c r="E6" s="922" t="s">
        <v>4</v>
      </c>
      <c r="F6" s="922" t="s">
        <v>5</v>
      </c>
      <c r="G6" s="922" t="s">
        <v>15</v>
      </c>
      <c r="H6" s="922" t="s">
        <v>16</v>
      </c>
      <c r="I6" s="922" t="s">
        <v>17</v>
      </c>
      <c r="J6" s="922" t="s">
        <v>34</v>
      </c>
      <c r="K6" s="922" t="s">
        <v>30</v>
      </c>
      <c r="L6" s="922" t="s">
        <v>23</v>
      </c>
      <c r="M6" s="922" t="s">
        <v>35</v>
      </c>
      <c r="N6" s="922" t="s">
        <v>36</v>
      </c>
      <c r="O6" s="922" t="s">
        <v>151</v>
      </c>
      <c r="P6" s="922" t="s">
        <v>152</v>
      </c>
      <c r="Q6" s="920"/>
      <c r="R6" s="920"/>
      <c r="S6" s="920"/>
      <c r="T6" s="920"/>
      <c r="U6" s="920"/>
      <c r="V6" s="920"/>
      <c r="W6" s="920"/>
      <c r="X6" s="920"/>
      <c r="Y6" s="920"/>
      <c r="Z6" s="920"/>
      <c r="AA6" s="920"/>
      <c r="AB6" s="920"/>
      <c r="AC6" s="920"/>
      <c r="AD6" s="920"/>
      <c r="AE6" s="920"/>
      <c r="AF6" s="920"/>
      <c r="AG6" s="920"/>
      <c r="AH6" s="920"/>
      <c r="AI6" s="920"/>
      <c r="AJ6" s="920"/>
      <c r="AK6" s="920"/>
      <c r="AL6" s="920"/>
      <c r="AM6" s="920"/>
      <c r="AN6" s="920"/>
      <c r="AO6" s="920"/>
      <c r="AP6" s="920"/>
      <c r="AQ6" s="920"/>
      <c r="AR6" s="920"/>
      <c r="AS6" s="920"/>
      <c r="AT6" s="920"/>
      <c r="AU6" s="920"/>
      <c r="AV6" s="920"/>
      <c r="AW6" s="920"/>
      <c r="AX6" s="920"/>
      <c r="AY6" s="920"/>
      <c r="AZ6" s="920"/>
      <c r="BA6" s="920"/>
      <c r="BB6" s="920"/>
      <c r="BC6" s="920"/>
      <c r="BD6" s="920"/>
      <c r="BE6" s="920"/>
      <c r="BF6" s="920"/>
      <c r="BG6" s="920"/>
      <c r="BH6" s="920"/>
      <c r="BI6" s="920"/>
      <c r="BJ6" s="920"/>
      <c r="BK6" s="920"/>
      <c r="BL6" s="920"/>
      <c r="BM6" s="920"/>
      <c r="BN6" s="920"/>
      <c r="BO6" s="920"/>
      <c r="BP6" s="920"/>
      <c r="BQ6" s="920"/>
      <c r="BR6" s="920"/>
      <c r="BS6" s="920"/>
      <c r="BT6" s="920"/>
      <c r="BU6" s="920"/>
      <c r="BV6" s="920"/>
      <c r="BW6" s="920"/>
      <c r="BX6" s="920"/>
      <c r="BY6" s="920"/>
      <c r="BZ6" s="920"/>
      <c r="CA6" s="920"/>
      <c r="CB6" s="920"/>
      <c r="CC6" s="920"/>
      <c r="CD6" s="920"/>
      <c r="CE6" s="920"/>
      <c r="CF6" s="920"/>
      <c r="CG6" s="920"/>
      <c r="CH6" s="920"/>
      <c r="CI6" s="920"/>
      <c r="CJ6" s="920"/>
      <c r="CK6" s="920"/>
      <c r="CL6" s="920"/>
      <c r="CM6" s="920"/>
      <c r="CN6" s="920"/>
      <c r="CO6" s="920"/>
      <c r="CP6" s="920"/>
      <c r="CQ6" s="920"/>
      <c r="CR6" s="920"/>
      <c r="CS6" s="920"/>
      <c r="CT6" s="920"/>
      <c r="CU6" s="920"/>
      <c r="CV6" s="920"/>
      <c r="CW6" s="920"/>
      <c r="CX6" s="920"/>
      <c r="CY6" s="920"/>
      <c r="CZ6" s="920"/>
      <c r="DA6" s="920"/>
      <c r="DB6" s="920"/>
      <c r="DC6" s="920"/>
      <c r="DD6" s="920"/>
      <c r="DE6" s="920"/>
      <c r="DF6" s="920"/>
      <c r="DG6" s="920"/>
      <c r="DH6" s="920"/>
      <c r="DI6" s="920"/>
      <c r="DJ6" s="920"/>
      <c r="DK6" s="920"/>
      <c r="DL6" s="920"/>
      <c r="DM6" s="920"/>
      <c r="DN6" s="920"/>
      <c r="DO6" s="920"/>
      <c r="DP6" s="920"/>
      <c r="DQ6" s="920"/>
      <c r="DR6" s="920"/>
      <c r="DS6" s="920"/>
      <c r="DT6" s="920"/>
      <c r="DU6" s="920"/>
      <c r="DV6" s="920"/>
      <c r="DW6" s="920"/>
      <c r="DX6" s="920"/>
      <c r="DY6" s="920"/>
      <c r="DZ6" s="920"/>
      <c r="EA6" s="920"/>
      <c r="EB6" s="920"/>
      <c r="EC6" s="920"/>
      <c r="ED6" s="920"/>
      <c r="EE6" s="920"/>
      <c r="EF6" s="920"/>
      <c r="EG6" s="920"/>
      <c r="EH6" s="920"/>
      <c r="EI6" s="920"/>
      <c r="EJ6" s="920"/>
      <c r="EK6" s="920"/>
      <c r="EL6" s="920"/>
      <c r="EM6" s="920"/>
      <c r="EN6" s="920"/>
      <c r="EO6" s="920"/>
      <c r="EP6" s="920"/>
      <c r="EQ6" s="920"/>
      <c r="ER6" s="920"/>
      <c r="ES6" s="920"/>
      <c r="ET6" s="920"/>
      <c r="EU6" s="920"/>
      <c r="EV6" s="920"/>
      <c r="EW6" s="920"/>
      <c r="EX6" s="920"/>
      <c r="EY6" s="920"/>
      <c r="EZ6" s="920"/>
      <c r="FA6" s="920"/>
      <c r="FB6" s="920"/>
      <c r="FC6" s="920"/>
      <c r="FD6" s="920"/>
      <c r="FE6" s="920"/>
      <c r="FF6" s="920"/>
      <c r="FG6" s="920"/>
      <c r="FH6" s="920"/>
      <c r="FI6" s="920"/>
      <c r="FJ6" s="920"/>
      <c r="FK6" s="920"/>
      <c r="FL6" s="920"/>
      <c r="FM6" s="920"/>
      <c r="FN6" s="920"/>
      <c r="FO6" s="920"/>
      <c r="FP6" s="920"/>
      <c r="FQ6" s="920"/>
      <c r="FR6" s="920"/>
      <c r="FS6" s="920"/>
      <c r="FT6" s="920"/>
      <c r="FU6" s="920"/>
      <c r="FV6" s="920"/>
      <c r="FW6" s="920"/>
      <c r="FX6" s="920"/>
      <c r="FY6" s="920"/>
      <c r="FZ6" s="920"/>
      <c r="GA6" s="920"/>
      <c r="GB6" s="920"/>
      <c r="GC6" s="920"/>
      <c r="GD6" s="920"/>
      <c r="GE6" s="920"/>
      <c r="GF6" s="920"/>
      <c r="GG6" s="920"/>
      <c r="GH6" s="920"/>
      <c r="GI6" s="920"/>
      <c r="GJ6" s="920"/>
      <c r="GK6" s="920"/>
      <c r="GL6" s="920"/>
      <c r="GM6" s="920"/>
      <c r="GN6" s="920"/>
      <c r="GO6" s="920"/>
      <c r="GP6" s="920"/>
      <c r="GQ6" s="920"/>
      <c r="GR6" s="920"/>
      <c r="GS6" s="920"/>
      <c r="GT6" s="920"/>
      <c r="GU6" s="920"/>
      <c r="GV6" s="920"/>
      <c r="GW6" s="920"/>
      <c r="GX6" s="920"/>
      <c r="GY6" s="920"/>
      <c r="GZ6" s="920"/>
      <c r="HA6" s="920"/>
      <c r="HB6" s="920"/>
      <c r="HC6" s="920"/>
      <c r="HD6" s="920"/>
      <c r="HE6" s="920"/>
      <c r="HF6" s="920"/>
      <c r="HG6" s="920"/>
      <c r="HH6" s="920"/>
      <c r="HI6" s="920"/>
      <c r="HJ6" s="920"/>
      <c r="HK6" s="920"/>
      <c r="HL6" s="920"/>
      <c r="HM6" s="920"/>
      <c r="HN6" s="920"/>
      <c r="HO6" s="920"/>
      <c r="HP6" s="920"/>
      <c r="HQ6" s="920"/>
      <c r="HR6" s="920"/>
      <c r="HS6" s="920"/>
      <c r="HT6" s="920"/>
      <c r="HU6" s="920"/>
      <c r="HV6" s="920"/>
      <c r="HW6" s="920"/>
      <c r="HX6" s="920"/>
      <c r="HY6" s="920"/>
      <c r="HZ6" s="920"/>
      <c r="IA6" s="920"/>
      <c r="IB6" s="920"/>
      <c r="IC6" s="920"/>
      <c r="ID6" s="920"/>
      <c r="IE6" s="920"/>
      <c r="IF6" s="920"/>
      <c r="IG6" s="920"/>
      <c r="IH6" s="920"/>
      <c r="II6" s="920"/>
      <c r="IJ6" s="920"/>
      <c r="IK6" s="920"/>
      <c r="IL6" s="920"/>
      <c r="IM6" s="920"/>
      <c r="IN6" s="920"/>
      <c r="IO6" s="920"/>
      <c r="IP6" s="920"/>
    </row>
    <row r="7" spans="1:256" ht="22.5" customHeight="1" x14ac:dyDescent="0.3">
      <c r="B7" s="2122" t="s">
        <v>18</v>
      </c>
      <c r="C7" s="2158" t="s">
        <v>19</v>
      </c>
      <c r="D7" s="2129" t="s">
        <v>6</v>
      </c>
      <c r="E7" s="2125" t="s">
        <v>489</v>
      </c>
      <c r="F7" s="2125" t="s">
        <v>702</v>
      </c>
      <c r="G7" s="2132" t="s">
        <v>1077</v>
      </c>
      <c r="H7" s="2105" t="s">
        <v>20</v>
      </c>
      <c r="I7" s="2135" t="s">
        <v>638</v>
      </c>
      <c r="J7" s="2125"/>
      <c r="K7" s="2125"/>
      <c r="L7" s="2125"/>
      <c r="M7" s="2125"/>
      <c r="N7" s="2125"/>
      <c r="O7" s="2136"/>
      <c r="P7" s="2137" t="s">
        <v>701</v>
      </c>
      <c r="Q7" s="2121"/>
      <c r="R7" s="2121"/>
    </row>
    <row r="8" spans="1:256" ht="33" customHeight="1" x14ac:dyDescent="0.3">
      <c r="B8" s="2123"/>
      <c r="C8" s="2159"/>
      <c r="D8" s="2130"/>
      <c r="E8" s="2126"/>
      <c r="F8" s="2126"/>
      <c r="G8" s="2133"/>
      <c r="H8" s="2106"/>
      <c r="I8" s="2140" t="s">
        <v>491</v>
      </c>
      <c r="J8" s="2141"/>
      <c r="K8" s="2142"/>
      <c r="L8" s="2142"/>
      <c r="M8" s="2149" t="s">
        <v>154</v>
      </c>
      <c r="N8" s="2149"/>
      <c r="O8" s="2150" t="s">
        <v>120</v>
      </c>
      <c r="P8" s="2138"/>
    </row>
    <row r="9" spans="1:256" ht="53.25" customHeight="1" thickBot="1" x14ac:dyDescent="0.35">
      <c r="B9" s="2124"/>
      <c r="C9" s="2160"/>
      <c r="D9" s="2131"/>
      <c r="E9" s="2127"/>
      <c r="F9" s="2127"/>
      <c r="G9" s="2134"/>
      <c r="H9" s="2107"/>
      <c r="I9" s="941" t="s">
        <v>38</v>
      </c>
      <c r="J9" s="717" t="s">
        <v>486</v>
      </c>
      <c r="K9" s="718" t="s">
        <v>40</v>
      </c>
      <c r="L9" s="718" t="s">
        <v>488</v>
      </c>
      <c r="M9" s="717" t="s">
        <v>219</v>
      </c>
      <c r="N9" s="717" t="s">
        <v>155</v>
      </c>
      <c r="O9" s="2151"/>
      <c r="P9" s="2139"/>
    </row>
    <row r="10" spans="1:256" s="721" customFormat="1" x14ac:dyDescent="0.35">
      <c r="A10" s="735">
        <v>1</v>
      </c>
      <c r="B10" s="719">
        <v>18</v>
      </c>
      <c r="C10" s="731" t="s">
        <v>14</v>
      </c>
      <c r="D10" s="929"/>
      <c r="E10" s="413"/>
      <c r="F10" s="411"/>
      <c r="G10" s="412"/>
      <c r="H10" s="945"/>
      <c r="I10" s="961"/>
      <c r="J10" s="962"/>
      <c r="K10" s="962"/>
      <c r="L10" s="962"/>
      <c r="M10" s="962"/>
      <c r="N10" s="962"/>
      <c r="O10" s="963"/>
      <c r="P10" s="723"/>
      <c r="Q10" s="404"/>
      <c r="R10" s="404"/>
      <c r="S10" s="404"/>
      <c r="T10" s="404"/>
      <c r="U10" s="404"/>
      <c r="V10" s="404"/>
      <c r="W10" s="404"/>
      <c r="X10" s="404"/>
      <c r="Y10" s="404"/>
      <c r="Z10" s="404"/>
      <c r="AA10" s="404"/>
      <c r="AB10" s="404"/>
      <c r="AC10" s="404"/>
      <c r="AD10" s="404"/>
      <c r="AE10" s="404"/>
      <c r="AF10" s="404"/>
      <c r="AG10" s="404"/>
      <c r="AH10" s="404"/>
      <c r="AI10" s="404"/>
      <c r="AJ10" s="404"/>
      <c r="AK10" s="404"/>
      <c r="AL10" s="404"/>
      <c r="AM10" s="404"/>
      <c r="AN10" s="404"/>
      <c r="AO10" s="404"/>
      <c r="AP10" s="404"/>
      <c r="AQ10" s="404"/>
      <c r="AR10" s="404"/>
      <c r="AS10" s="404"/>
      <c r="AT10" s="404"/>
      <c r="AU10" s="404"/>
      <c r="AV10" s="404"/>
      <c r="AW10" s="404"/>
      <c r="AX10" s="404"/>
      <c r="AY10" s="404"/>
      <c r="AZ10" s="404"/>
      <c r="BA10" s="404"/>
      <c r="BB10" s="404"/>
      <c r="BC10" s="404"/>
      <c r="BD10" s="404"/>
      <c r="BE10" s="404"/>
      <c r="BF10" s="404"/>
      <c r="BG10" s="404"/>
      <c r="BH10" s="404"/>
      <c r="BI10" s="404"/>
      <c r="BJ10" s="404"/>
      <c r="BK10" s="404"/>
      <c r="BL10" s="404"/>
      <c r="BM10" s="404"/>
      <c r="BN10" s="404"/>
      <c r="BO10" s="404"/>
      <c r="BP10" s="404"/>
      <c r="BQ10" s="404"/>
      <c r="BR10" s="404"/>
      <c r="BS10" s="404"/>
      <c r="BT10" s="404"/>
      <c r="BU10" s="404"/>
      <c r="BV10" s="404"/>
      <c r="BW10" s="404"/>
      <c r="BX10" s="404"/>
      <c r="BY10" s="404"/>
      <c r="BZ10" s="404"/>
      <c r="CA10" s="404"/>
      <c r="CB10" s="404"/>
      <c r="CC10" s="404"/>
      <c r="CD10" s="404"/>
      <c r="CE10" s="404"/>
      <c r="CF10" s="404"/>
      <c r="CG10" s="404"/>
      <c r="CH10" s="404"/>
      <c r="CI10" s="404"/>
      <c r="CJ10" s="404"/>
      <c r="CK10" s="404"/>
      <c r="CL10" s="404"/>
      <c r="CM10" s="404"/>
      <c r="CN10" s="404"/>
      <c r="CO10" s="404"/>
      <c r="CP10" s="404"/>
      <c r="CQ10" s="404"/>
      <c r="CR10" s="404"/>
      <c r="CS10" s="404"/>
      <c r="CT10" s="404"/>
      <c r="CU10" s="404"/>
      <c r="CV10" s="404"/>
      <c r="CW10" s="404"/>
      <c r="CX10" s="404"/>
      <c r="CY10" s="404"/>
      <c r="CZ10" s="404"/>
      <c r="DA10" s="404"/>
      <c r="DB10" s="404"/>
      <c r="DC10" s="404"/>
      <c r="DD10" s="404"/>
      <c r="DE10" s="404"/>
      <c r="DF10" s="404"/>
      <c r="DG10" s="404"/>
      <c r="DH10" s="404"/>
      <c r="DI10" s="404"/>
      <c r="DJ10" s="404"/>
      <c r="DK10" s="404"/>
      <c r="DL10" s="404"/>
      <c r="DM10" s="404"/>
      <c r="DN10" s="404"/>
      <c r="DO10" s="404"/>
      <c r="DP10" s="404"/>
      <c r="DQ10" s="404"/>
      <c r="DR10" s="404"/>
      <c r="DS10" s="404"/>
      <c r="DT10" s="404"/>
      <c r="DU10" s="404"/>
      <c r="DV10" s="404"/>
      <c r="DW10" s="404"/>
      <c r="DX10" s="404"/>
      <c r="DY10" s="404"/>
      <c r="DZ10" s="404"/>
      <c r="EA10" s="404"/>
      <c r="EB10" s="404"/>
      <c r="EC10" s="404"/>
      <c r="ED10" s="404"/>
      <c r="EE10" s="404"/>
      <c r="EF10" s="404"/>
      <c r="EG10" s="404"/>
      <c r="EH10" s="404"/>
      <c r="EI10" s="404"/>
      <c r="EJ10" s="404"/>
      <c r="EK10" s="404"/>
      <c r="EL10" s="404"/>
      <c r="EM10" s="404"/>
      <c r="EN10" s="404"/>
      <c r="EO10" s="404"/>
      <c r="EP10" s="404"/>
      <c r="EQ10" s="404"/>
      <c r="ER10" s="404"/>
      <c r="ES10" s="404"/>
      <c r="ET10" s="404"/>
      <c r="EU10" s="404"/>
      <c r="EV10" s="404"/>
      <c r="EW10" s="404"/>
      <c r="EX10" s="404"/>
      <c r="EY10" s="404"/>
      <c r="EZ10" s="404"/>
      <c r="FA10" s="404"/>
      <c r="FB10" s="404"/>
      <c r="FC10" s="404"/>
      <c r="FD10" s="404"/>
      <c r="FE10" s="404"/>
      <c r="FF10" s="404"/>
      <c r="FG10" s="404"/>
      <c r="FH10" s="404"/>
      <c r="FI10" s="404"/>
      <c r="FJ10" s="404"/>
      <c r="FK10" s="404"/>
      <c r="FL10" s="404"/>
      <c r="FM10" s="404"/>
      <c r="FN10" s="404"/>
      <c r="FO10" s="404"/>
      <c r="FP10" s="404"/>
      <c r="FQ10" s="404"/>
      <c r="FR10" s="404"/>
      <c r="FS10" s="404"/>
      <c r="FT10" s="404"/>
      <c r="FU10" s="404"/>
      <c r="FV10" s="404"/>
      <c r="FW10" s="404"/>
      <c r="FX10" s="404"/>
      <c r="FY10" s="404"/>
      <c r="FZ10" s="404"/>
      <c r="GA10" s="404"/>
      <c r="GB10" s="404"/>
      <c r="GC10" s="404"/>
      <c r="GD10" s="404"/>
      <c r="GE10" s="404"/>
      <c r="GF10" s="404"/>
      <c r="GG10" s="404"/>
      <c r="GH10" s="404"/>
      <c r="GI10" s="404"/>
      <c r="GJ10" s="404"/>
      <c r="GK10" s="404"/>
      <c r="GL10" s="404"/>
      <c r="GM10" s="404"/>
      <c r="GN10" s="404"/>
      <c r="GO10" s="404"/>
      <c r="GP10" s="404"/>
      <c r="GQ10" s="404"/>
      <c r="GR10" s="404"/>
      <c r="GS10" s="404"/>
      <c r="GT10" s="404"/>
      <c r="GU10" s="404"/>
      <c r="GV10" s="404"/>
      <c r="GW10" s="404"/>
      <c r="GX10" s="404"/>
      <c r="GY10" s="404"/>
      <c r="GZ10" s="404"/>
      <c r="HA10" s="404"/>
      <c r="HB10" s="404"/>
      <c r="HC10" s="404"/>
      <c r="HD10" s="404"/>
      <c r="HE10" s="404"/>
      <c r="HF10" s="404"/>
      <c r="HG10" s="404"/>
      <c r="HH10" s="404"/>
      <c r="HI10" s="404"/>
      <c r="HJ10" s="404"/>
      <c r="HK10" s="404"/>
      <c r="HL10" s="404"/>
      <c r="HM10" s="404"/>
      <c r="HN10" s="404"/>
      <c r="HO10" s="404"/>
      <c r="HP10" s="404"/>
      <c r="HQ10" s="404"/>
      <c r="HR10" s="404"/>
      <c r="HS10" s="404"/>
      <c r="HT10" s="404"/>
      <c r="HU10" s="404"/>
      <c r="HV10" s="404"/>
      <c r="HW10" s="404"/>
      <c r="HX10" s="404"/>
      <c r="HY10" s="404"/>
      <c r="HZ10" s="404"/>
      <c r="IA10" s="404"/>
      <c r="IB10" s="404"/>
      <c r="IC10" s="404"/>
      <c r="ID10" s="404"/>
      <c r="IE10" s="404"/>
      <c r="IF10" s="404"/>
      <c r="IG10" s="404"/>
      <c r="IH10" s="404"/>
      <c r="II10" s="404"/>
      <c r="IJ10" s="404"/>
      <c r="IK10" s="404"/>
      <c r="IL10" s="404"/>
      <c r="IM10" s="404"/>
      <c r="IN10" s="404"/>
      <c r="IO10" s="404"/>
      <c r="IP10" s="404"/>
      <c r="IQ10" s="404"/>
      <c r="IR10" s="404"/>
      <c r="IS10" s="404"/>
      <c r="IT10" s="404"/>
      <c r="IU10" s="404"/>
      <c r="IV10" s="404"/>
    </row>
    <row r="11" spans="1:256" s="721" customFormat="1" x14ac:dyDescent="0.35">
      <c r="A11" s="735">
        <v>2</v>
      </c>
      <c r="B11" s="729"/>
      <c r="C11" s="447">
        <v>1</v>
      </c>
      <c r="D11" s="732" t="s">
        <v>417</v>
      </c>
      <c r="E11" s="416"/>
      <c r="F11" s="725"/>
      <c r="G11" s="417"/>
      <c r="H11" s="946" t="s">
        <v>24</v>
      </c>
      <c r="I11" s="964"/>
      <c r="J11" s="960"/>
      <c r="K11" s="960"/>
      <c r="L11" s="960"/>
      <c r="M11" s="960"/>
      <c r="N11" s="960"/>
      <c r="O11" s="930"/>
      <c r="P11" s="726"/>
      <c r="Q11" s="404"/>
      <c r="R11" s="404"/>
      <c r="S11" s="404"/>
      <c r="T11" s="404"/>
      <c r="U11" s="404"/>
      <c r="V11" s="404"/>
      <c r="W11" s="404"/>
      <c r="X11" s="404"/>
      <c r="Y11" s="404"/>
      <c r="Z11" s="404"/>
      <c r="AA11" s="404"/>
      <c r="AB11" s="404"/>
      <c r="AC11" s="404"/>
      <c r="AD11" s="404"/>
      <c r="AE11" s="404"/>
      <c r="AF11" s="404"/>
      <c r="AG11" s="404"/>
      <c r="AH11" s="404"/>
      <c r="AI11" s="404"/>
      <c r="AJ11" s="404"/>
      <c r="AK11" s="404"/>
      <c r="AL11" s="404"/>
      <c r="AM11" s="404"/>
      <c r="AN11" s="404"/>
      <c r="AO11" s="404"/>
      <c r="AP11" s="404"/>
      <c r="AQ11" s="404"/>
      <c r="AR11" s="404"/>
      <c r="AS11" s="404"/>
      <c r="AT11" s="404"/>
      <c r="AU11" s="404"/>
      <c r="AV11" s="404"/>
      <c r="AW11" s="404"/>
      <c r="AX11" s="404"/>
      <c r="AY11" s="404"/>
      <c r="AZ11" s="404"/>
      <c r="BA11" s="404"/>
      <c r="BB11" s="404"/>
      <c r="BC11" s="404"/>
      <c r="BD11" s="404"/>
      <c r="BE11" s="404"/>
      <c r="BF11" s="404"/>
      <c r="BG11" s="404"/>
      <c r="BH11" s="404"/>
      <c r="BI11" s="404"/>
      <c r="BJ11" s="404"/>
      <c r="BK11" s="404"/>
      <c r="BL11" s="404"/>
      <c r="BM11" s="404"/>
      <c r="BN11" s="404"/>
      <c r="BO11" s="404"/>
      <c r="BP11" s="404"/>
      <c r="BQ11" s="404"/>
      <c r="BR11" s="404"/>
      <c r="BS11" s="404"/>
      <c r="BT11" s="404"/>
      <c r="BU11" s="404"/>
      <c r="BV11" s="404"/>
      <c r="BW11" s="404"/>
      <c r="BX11" s="404"/>
      <c r="BY11" s="404"/>
      <c r="BZ11" s="404"/>
      <c r="CA11" s="404"/>
      <c r="CB11" s="404"/>
      <c r="CC11" s="404"/>
      <c r="CD11" s="404"/>
      <c r="CE11" s="404"/>
      <c r="CF11" s="404"/>
      <c r="CG11" s="404"/>
      <c r="CH11" s="404"/>
      <c r="CI11" s="404"/>
      <c r="CJ11" s="404"/>
      <c r="CK11" s="404"/>
      <c r="CL11" s="404"/>
      <c r="CM11" s="404"/>
      <c r="CN11" s="404"/>
      <c r="CO11" s="404"/>
      <c r="CP11" s="404"/>
      <c r="CQ11" s="404"/>
      <c r="CR11" s="404"/>
      <c r="CS11" s="404"/>
      <c r="CT11" s="404"/>
      <c r="CU11" s="404"/>
      <c r="CV11" s="404"/>
      <c r="CW11" s="404"/>
      <c r="CX11" s="404"/>
      <c r="CY11" s="404"/>
      <c r="CZ11" s="404"/>
      <c r="DA11" s="404"/>
      <c r="DB11" s="404"/>
      <c r="DC11" s="404"/>
      <c r="DD11" s="404"/>
      <c r="DE11" s="404"/>
      <c r="DF11" s="404"/>
      <c r="DG11" s="404"/>
      <c r="DH11" s="404"/>
      <c r="DI11" s="404"/>
      <c r="DJ11" s="404"/>
      <c r="DK11" s="404"/>
      <c r="DL11" s="404"/>
      <c r="DM11" s="404"/>
      <c r="DN11" s="404"/>
      <c r="DO11" s="404"/>
      <c r="DP11" s="404"/>
      <c r="DQ11" s="404"/>
      <c r="DR11" s="404"/>
      <c r="DS11" s="404"/>
      <c r="DT11" s="404"/>
      <c r="DU11" s="404"/>
      <c r="DV11" s="404"/>
      <c r="DW11" s="404"/>
      <c r="DX11" s="404"/>
      <c r="DY11" s="404"/>
      <c r="DZ11" s="404"/>
      <c r="EA11" s="404"/>
      <c r="EB11" s="404"/>
      <c r="EC11" s="404"/>
      <c r="ED11" s="404"/>
      <c r="EE11" s="404"/>
      <c r="EF11" s="404"/>
      <c r="EG11" s="404"/>
      <c r="EH11" s="404"/>
      <c r="EI11" s="404"/>
      <c r="EJ11" s="404"/>
      <c r="EK11" s="404"/>
      <c r="EL11" s="404"/>
      <c r="EM11" s="404"/>
      <c r="EN11" s="404"/>
      <c r="EO11" s="404"/>
      <c r="EP11" s="404"/>
      <c r="EQ11" s="404"/>
      <c r="ER11" s="404"/>
      <c r="ES11" s="404"/>
      <c r="ET11" s="404"/>
      <c r="EU11" s="404"/>
      <c r="EV11" s="404"/>
      <c r="EW11" s="404"/>
      <c r="EX11" s="404"/>
      <c r="EY11" s="404"/>
      <c r="EZ11" s="404"/>
      <c r="FA11" s="404"/>
      <c r="FB11" s="404"/>
      <c r="FC11" s="404"/>
      <c r="FD11" s="404"/>
      <c r="FE11" s="404"/>
      <c r="FF11" s="404"/>
      <c r="FG11" s="404"/>
      <c r="FH11" s="404"/>
      <c r="FI11" s="404"/>
      <c r="FJ11" s="404"/>
      <c r="FK11" s="404"/>
      <c r="FL11" s="404"/>
      <c r="FM11" s="404"/>
      <c r="FN11" s="404"/>
      <c r="FO11" s="404"/>
      <c r="FP11" s="404"/>
      <c r="FQ11" s="404"/>
      <c r="FR11" s="404"/>
      <c r="FS11" s="404"/>
      <c r="FT11" s="404"/>
      <c r="FU11" s="404"/>
      <c r="FV11" s="404"/>
      <c r="FW11" s="404"/>
      <c r="FX11" s="404"/>
      <c r="FY11" s="404"/>
      <c r="FZ11" s="404"/>
      <c r="GA11" s="404"/>
      <c r="GB11" s="404"/>
      <c r="GC11" s="404"/>
      <c r="GD11" s="404"/>
      <c r="GE11" s="404"/>
      <c r="GF11" s="404"/>
      <c r="GG11" s="404"/>
      <c r="GH11" s="404"/>
      <c r="GI11" s="404"/>
      <c r="GJ11" s="404"/>
      <c r="GK11" s="404"/>
      <c r="GL11" s="404"/>
      <c r="GM11" s="404"/>
      <c r="GN11" s="404"/>
      <c r="GO11" s="404"/>
      <c r="GP11" s="404"/>
      <c r="GQ11" s="404"/>
      <c r="GR11" s="404"/>
      <c r="GS11" s="404"/>
      <c r="GT11" s="404"/>
      <c r="GU11" s="404"/>
      <c r="GV11" s="404"/>
      <c r="GW11" s="404"/>
      <c r="GX11" s="404"/>
      <c r="GY11" s="404"/>
      <c r="GZ11" s="404"/>
      <c r="HA11" s="404"/>
      <c r="HB11" s="404"/>
      <c r="HC11" s="404"/>
      <c r="HD11" s="404"/>
      <c r="HE11" s="404"/>
      <c r="HF11" s="404"/>
      <c r="HG11" s="404"/>
      <c r="HH11" s="404"/>
      <c r="HI11" s="404"/>
      <c r="HJ11" s="404"/>
      <c r="HK11" s="404"/>
      <c r="HL11" s="404"/>
      <c r="HM11" s="404"/>
      <c r="HN11" s="404"/>
      <c r="HO11" s="404"/>
      <c r="HP11" s="404"/>
      <c r="HQ11" s="404"/>
      <c r="HR11" s="404"/>
      <c r="HS11" s="404"/>
      <c r="HT11" s="404"/>
      <c r="HU11" s="404"/>
      <c r="HV11" s="404"/>
      <c r="HW11" s="404"/>
      <c r="HX11" s="404"/>
      <c r="HY11" s="404"/>
      <c r="HZ11" s="404"/>
      <c r="IA11" s="404"/>
      <c r="IB11" s="404"/>
      <c r="IC11" s="404"/>
      <c r="ID11" s="404"/>
      <c r="IE11" s="404"/>
      <c r="IF11" s="404"/>
      <c r="IG11" s="404"/>
      <c r="IH11" s="404"/>
      <c r="II11" s="404"/>
      <c r="IJ11" s="404"/>
      <c r="IK11" s="404"/>
      <c r="IL11" s="404"/>
      <c r="IM11" s="404"/>
      <c r="IN11" s="404"/>
      <c r="IO11" s="404"/>
      <c r="IP11" s="404"/>
      <c r="IQ11" s="404"/>
      <c r="IR11" s="404"/>
      <c r="IS11" s="404"/>
      <c r="IT11" s="404"/>
      <c r="IU11" s="404"/>
      <c r="IV11" s="404"/>
    </row>
    <row r="12" spans="1:256" s="939" customFormat="1" x14ac:dyDescent="0.35">
      <c r="A12" s="735">
        <v>3</v>
      </c>
      <c r="B12" s="931"/>
      <c r="C12" s="932"/>
      <c r="D12" s="1729" t="s">
        <v>292</v>
      </c>
      <c r="E12" s="416">
        <f>F12+G12+O14+P12</f>
        <v>25975</v>
      </c>
      <c r="F12" s="725">
        <f>6208+6205+12386</f>
        <v>24799</v>
      </c>
      <c r="G12" s="417">
        <v>416</v>
      </c>
      <c r="H12" s="946"/>
      <c r="I12" s="944"/>
      <c r="J12" s="937"/>
      <c r="K12" s="937"/>
      <c r="L12" s="937">
        <v>760</v>
      </c>
      <c r="M12" s="937"/>
      <c r="N12" s="937"/>
      <c r="O12" s="930">
        <f>SUM(I12:N12)</f>
        <v>760</v>
      </c>
      <c r="P12" s="938"/>
    </row>
    <row r="13" spans="1:256" s="721" customFormat="1" x14ac:dyDescent="0.35">
      <c r="A13" s="735">
        <v>4</v>
      </c>
      <c r="B13" s="931"/>
      <c r="C13" s="932"/>
      <c r="D13" s="1499" t="s">
        <v>929</v>
      </c>
      <c r="E13" s="416"/>
      <c r="F13" s="725"/>
      <c r="G13" s="417"/>
      <c r="H13" s="946"/>
      <c r="I13" s="1730"/>
      <c r="J13" s="1731"/>
      <c r="K13" s="1731"/>
      <c r="L13" s="1731"/>
      <c r="M13" s="1731"/>
      <c r="N13" s="1731"/>
      <c r="O13" s="1732">
        <f t="shared" ref="O13:O14" si="0">SUM(I13:N13)</f>
        <v>0</v>
      </c>
      <c r="P13" s="938"/>
      <c r="Q13" s="404"/>
      <c r="R13" s="404"/>
      <c r="S13" s="404"/>
      <c r="T13" s="404"/>
      <c r="U13" s="404"/>
      <c r="V13" s="404"/>
      <c r="W13" s="404"/>
      <c r="X13" s="404"/>
      <c r="Y13" s="404"/>
      <c r="Z13" s="404"/>
      <c r="AA13" s="404"/>
      <c r="AB13" s="404"/>
      <c r="AC13" s="404"/>
      <c r="AD13" s="404"/>
      <c r="AE13" s="404"/>
      <c r="AF13" s="404"/>
      <c r="AG13" s="404"/>
      <c r="AH13" s="404"/>
      <c r="AI13" s="404"/>
      <c r="AJ13" s="404"/>
      <c r="AK13" s="404"/>
      <c r="AL13" s="404"/>
      <c r="AM13" s="404"/>
      <c r="AN13" s="404"/>
      <c r="AO13" s="404"/>
      <c r="AP13" s="404"/>
      <c r="AQ13" s="404"/>
      <c r="AR13" s="404"/>
      <c r="AS13" s="404"/>
      <c r="AT13" s="404"/>
      <c r="AU13" s="404"/>
      <c r="AV13" s="404"/>
      <c r="AW13" s="404"/>
      <c r="AX13" s="404"/>
      <c r="AY13" s="404"/>
      <c r="AZ13" s="404"/>
      <c r="BA13" s="404"/>
      <c r="BB13" s="404"/>
      <c r="BC13" s="404"/>
      <c r="BD13" s="404"/>
      <c r="BE13" s="404"/>
      <c r="BF13" s="404"/>
      <c r="BG13" s="404"/>
      <c r="BH13" s="404"/>
      <c r="BI13" s="404"/>
      <c r="BJ13" s="404"/>
      <c r="BK13" s="404"/>
      <c r="BL13" s="404"/>
      <c r="BM13" s="404"/>
      <c r="BN13" s="404"/>
      <c r="BO13" s="404"/>
      <c r="BP13" s="404"/>
      <c r="BQ13" s="404"/>
      <c r="BR13" s="404"/>
      <c r="BS13" s="404"/>
      <c r="BT13" s="404"/>
      <c r="BU13" s="404"/>
      <c r="BV13" s="404"/>
      <c r="BW13" s="404"/>
      <c r="BX13" s="404"/>
      <c r="BY13" s="404"/>
      <c r="BZ13" s="404"/>
      <c r="CA13" s="404"/>
      <c r="CB13" s="404"/>
      <c r="CC13" s="404"/>
      <c r="CD13" s="404"/>
      <c r="CE13" s="404"/>
      <c r="CF13" s="404"/>
      <c r="CG13" s="404"/>
      <c r="CH13" s="404"/>
      <c r="CI13" s="404"/>
      <c r="CJ13" s="404"/>
      <c r="CK13" s="404"/>
      <c r="CL13" s="404"/>
      <c r="CM13" s="404"/>
      <c r="CN13" s="404"/>
      <c r="CO13" s="404"/>
      <c r="CP13" s="404"/>
      <c r="CQ13" s="404"/>
      <c r="CR13" s="404"/>
      <c r="CS13" s="404"/>
      <c r="CT13" s="404"/>
      <c r="CU13" s="404"/>
      <c r="CV13" s="404"/>
      <c r="CW13" s="404"/>
      <c r="CX13" s="404"/>
      <c r="CY13" s="404"/>
      <c r="CZ13" s="404"/>
      <c r="DA13" s="404"/>
      <c r="DB13" s="404"/>
      <c r="DC13" s="404"/>
      <c r="DD13" s="404"/>
      <c r="DE13" s="404"/>
      <c r="DF13" s="404"/>
      <c r="DG13" s="404"/>
      <c r="DH13" s="404"/>
      <c r="DI13" s="404"/>
      <c r="DJ13" s="404"/>
      <c r="DK13" s="404"/>
      <c r="DL13" s="404"/>
      <c r="DM13" s="404"/>
      <c r="DN13" s="404"/>
      <c r="DO13" s="404"/>
      <c r="DP13" s="404"/>
      <c r="DQ13" s="404"/>
      <c r="DR13" s="404"/>
      <c r="DS13" s="404"/>
      <c r="DT13" s="404"/>
      <c r="DU13" s="404"/>
      <c r="DV13" s="404"/>
      <c r="DW13" s="404"/>
      <c r="DX13" s="404"/>
      <c r="DY13" s="404"/>
      <c r="DZ13" s="404"/>
      <c r="EA13" s="404"/>
      <c r="EB13" s="404"/>
      <c r="EC13" s="404"/>
      <c r="ED13" s="404"/>
      <c r="EE13" s="404"/>
      <c r="EF13" s="404"/>
      <c r="EG13" s="404"/>
      <c r="EH13" s="404"/>
      <c r="EI13" s="404"/>
      <c r="EJ13" s="404"/>
      <c r="EK13" s="404"/>
      <c r="EL13" s="404"/>
      <c r="EM13" s="404"/>
      <c r="EN13" s="404"/>
      <c r="EO13" s="404"/>
      <c r="EP13" s="404"/>
      <c r="EQ13" s="404"/>
      <c r="ER13" s="404"/>
      <c r="ES13" s="404"/>
      <c r="ET13" s="404"/>
      <c r="EU13" s="404"/>
      <c r="EV13" s="404"/>
      <c r="EW13" s="404"/>
      <c r="EX13" s="404"/>
      <c r="EY13" s="404"/>
      <c r="EZ13" s="404"/>
      <c r="FA13" s="404"/>
      <c r="FB13" s="404"/>
      <c r="FC13" s="404"/>
      <c r="FD13" s="404"/>
      <c r="FE13" s="404"/>
      <c r="FF13" s="404"/>
      <c r="FG13" s="404"/>
      <c r="FH13" s="404"/>
      <c r="FI13" s="404"/>
      <c r="FJ13" s="404"/>
      <c r="FK13" s="404"/>
      <c r="FL13" s="404"/>
      <c r="FM13" s="404"/>
      <c r="FN13" s="404"/>
      <c r="FO13" s="404"/>
      <c r="FP13" s="404"/>
      <c r="FQ13" s="404"/>
      <c r="FR13" s="404"/>
      <c r="FS13" s="404"/>
      <c r="FT13" s="404"/>
      <c r="FU13" s="404"/>
      <c r="FV13" s="404"/>
      <c r="FW13" s="404"/>
      <c r="FX13" s="404"/>
      <c r="FY13" s="404"/>
      <c r="FZ13" s="404"/>
      <c r="GA13" s="404"/>
      <c r="GB13" s="404"/>
      <c r="GC13" s="404"/>
      <c r="GD13" s="404"/>
      <c r="GE13" s="404"/>
      <c r="GF13" s="404"/>
      <c r="GG13" s="404"/>
      <c r="GH13" s="404"/>
      <c r="GI13" s="404"/>
      <c r="GJ13" s="404"/>
      <c r="GK13" s="404"/>
      <c r="GL13" s="404"/>
      <c r="GM13" s="404"/>
      <c r="GN13" s="404"/>
      <c r="GO13" s="404"/>
      <c r="GP13" s="404"/>
      <c r="GQ13" s="404"/>
      <c r="GR13" s="404"/>
      <c r="GS13" s="404"/>
      <c r="GT13" s="404"/>
      <c r="GU13" s="404"/>
      <c r="GV13" s="404"/>
      <c r="GW13" s="404"/>
      <c r="GX13" s="404"/>
      <c r="GY13" s="404"/>
      <c r="GZ13" s="404"/>
      <c r="HA13" s="404"/>
      <c r="HB13" s="404"/>
      <c r="HC13" s="404"/>
      <c r="HD13" s="404"/>
      <c r="HE13" s="404"/>
      <c r="HF13" s="404"/>
      <c r="HG13" s="404"/>
      <c r="HH13" s="404"/>
      <c r="HI13" s="404"/>
      <c r="HJ13" s="404"/>
      <c r="HK13" s="404"/>
      <c r="HL13" s="404"/>
      <c r="HM13" s="404"/>
      <c r="HN13" s="404"/>
      <c r="HO13" s="404"/>
      <c r="HP13" s="404"/>
      <c r="HQ13" s="404"/>
      <c r="HR13" s="404"/>
      <c r="HS13" s="404"/>
      <c r="HT13" s="404"/>
      <c r="HU13" s="404"/>
      <c r="HV13" s="404"/>
      <c r="HW13" s="404"/>
      <c r="HX13" s="404"/>
      <c r="HY13" s="404"/>
      <c r="HZ13" s="404"/>
      <c r="IA13" s="404"/>
      <c r="IB13" s="404"/>
      <c r="IC13" s="404"/>
      <c r="ID13" s="404"/>
      <c r="IE13" s="404"/>
      <c r="IF13" s="404"/>
      <c r="IG13" s="404"/>
      <c r="IH13" s="404"/>
      <c r="II13" s="404"/>
      <c r="IJ13" s="404"/>
      <c r="IK13" s="404"/>
      <c r="IL13" s="404"/>
      <c r="IM13" s="404"/>
      <c r="IN13" s="404"/>
      <c r="IO13" s="404"/>
      <c r="IP13" s="404"/>
      <c r="IQ13" s="404"/>
      <c r="IR13" s="404"/>
      <c r="IS13" s="404"/>
      <c r="IT13" s="404"/>
      <c r="IU13" s="404"/>
      <c r="IV13" s="404"/>
    </row>
    <row r="14" spans="1:256" s="939" customFormat="1" x14ac:dyDescent="0.35">
      <c r="A14" s="735">
        <v>5</v>
      </c>
      <c r="B14" s="931"/>
      <c r="C14" s="932"/>
      <c r="D14" s="641" t="s">
        <v>927</v>
      </c>
      <c r="E14" s="416"/>
      <c r="F14" s="725"/>
      <c r="G14" s="417"/>
      <c r="H14" s="946"/>
      <c r="I14" s="1733"/>
      <c r="J14" s="1734"/>
      <c r="K14" s="1734"/>
      <c r="L14" s="1734">
        <f>SUM(L12:L13)</f>
        <v>760</v>
      </c>
      <c r="M14" s="1734"/>
      <c r="N14" s="1734"/>
      <c r="O14" s="730">
        <f t="shared" si="0"/>
        <v>760</v>
      </c>
      <c r="P14" s="938"/>
    </row>
    <row r="15" spans="1:256" s="721" customFormat="1" ht="33.75" x14ac:dyDescent="0.35">
      <c r="A15" s="735">
        <v>6</v>
      </c>
      <c r="B15" s="729"/>
      <c r="C15" s="406">
        <v>2</v>
      </c>
      <c r="D15" s="967" t="s">
        <v>509</v>
      </c>
      <c r="E15" s="416"/>
      <c r="F15" s="725"/>
      <c r="G15" s="417"/>
      <c r="H15" s="971" t="s">
        <v>24</v>
      </c>
      <c r="I15" s="944"/>
      <c r="J15" s="937"/>
      <c r="K15" s="937"/>
      <c r="L15" s="937"/>
      <c r="M15" s="937"/>
      <c r="N15" s="960"/>
      <c r="O15" s="930"/>
      <c r="P15" s="726"/>
      <c r="Q15" s="404"/>
      <c r="R15" s="404"/>
      <c r="S15" s="404"/>
      <c r="T15" s="404"/>
      <c r="U15" s="404"/>
      <c r="V15" s="404"/>
      <c r="W15" s="404"/>
      <c r="X15" s="404"/>
      <c r="Y15" s="404"/>
      <c r="Z15" s="404"/>
      <c r="AA15" s="404"/>
      <c r="AB15" s="404"/>
      <c r="AC15" s="404"/>
      <c r="AD15" s="404"/>
      <c r="AE15" s="404"/>
      <c r="AF15" s="404"/>
      <c r="AG15" s="404"/>
      <c r="AH15" s="404"/>
      <c r="AI15" s="404"/>
      <c r="AJ15" s="404"/>
      <c r="AK15" s="404"/>
      <c r="AL15" s="404"/>
      <c r="AM15" s="404"/>
      <c r="AN15" s="404"/>
      <c r="AO15" s="404"/>
      <c r="AP15" s="404"/>
      <c r="AQ15" s="404"/>
      <c r="AR15" s="404"/>
      <c r="AS15" s="404"/>
      <c r="AT15" s="404"/>
      <c r="AU15" s="404"/>
      <c r="AV15" s="404"/>
      <c r="AW15" s="404"/>
      <c r="AX15" s="404"/>
      <c r="AY15" s="404"/>
      <c r="AZ15" s="404"/>
      <c r="BA15" s="404"/>
      <c r="BB15" s="404"/>
      <c r="BC15" s="404"/>
      <c r="BD15" s="404"/>
      <c r="BE15" s="404"/>
      <c r="BF15" s="404"/>
      <c r="BG15" s="404"/>
      <c r="BH15" s="404"/>
      <c r="BI15" s="404"/>
      <c r="BJ15" s="404"/>
      <c r="BK15" s="404"/>
      <c r="BL15" s="404"/>
      <c r="BM15" s="404"/>
      <c r="BN15" s="404"/>
      <c r="BO15" s="404"/>
      <c r="BP15" s="404"/>
      <c r="BQ15" s="404"/>
      <c r="BR15" s="404"/>
      <c r="BS15" s="404"/>
      <c r="BT15" s="404"/>
      <c r="BU15" s="404"/>
      <c r="BV15" s="404"/>
      <c r="BW15" s="404"/>
      <c r="BX15" s="404"/>
      <c r="BY15" s="404"/>
      <c r="BZ15" s="404"/>
      <c r="CA15" s="404"/>
      <c r="CB15" s="404"/>
      <c r="CC15" s="404"/>
      <c r="CD15" s="404"/>
      <c r="CE15" s="404"/>
      <c r="CF15" s="404"/>
      <c r="CG15" s="404"/>
      <c r="CH15" s="404"/>
      <c r="CI15" s="404"/>
      <c r="CJ15" s="404"/>
      <c r="CK15" s="404"/>
      <c r="CL15" s="404"/>
      <c r="CM15" s="404"/>
      <c r="CN15" s="404"/>
      <c r="CO15" s="404"/>
      <c r="CP15" s="404"/>
      <c r="CQ15" s="404"/>
      <c r="CR15" s="404"/>
      <c r="CS15" s="404"/>
      <c r="CT15" s="404"/>
      <c r="CU15" s="404"/>
      <c r="CV15" s="404"/>
      <c r="CW15" s="404"/>
      <c r="CX15" s="404"/>
      <c r="CY15" s="404"/>
      <c r="CZ15" s="404"/>
      <c r="DA15" s="404"/>
      <c r="DB15" s="404"/>
      <c r="DC15" s="404"/>
      <c r="DD15" s="404"/>
      <c r="DE15" s="404"/>
      <c r="DF15" s="404"/>
      <c r="DG15" s="404"/>
      <c r="DH15" s="404"/>
      <c r="DI15" s="404"/>
      <c r="DJ15" s="404"/>
      <c r="DK15" s="404"/>
      <c r="DL15" s="404"/>
      <c r="DM15" s="404"/>
      <c r="DN15" s="404"/>
      <c r="DO15" s="404"/>
      <c r="DP15" s="404"/>
      <c r="DQ15" s="404"/>
      <c r="DR15" s="404"/>
      <c r="DS15" s="404"/>
      <c r="DT15" s="404"/>
      <c r="DU15" s="404"/>
      <c r="DV15" s="404"/>
      <c r="DW15" s="404"/>
      <c r="DX15" s="404"/>
      <c r="DY15" s="404"/>
      <c r="DZ15" s="404"/>
      <c r="EA15" s="404"/>
      <c r="EB15" s="404"/>
      <c r="EC15" s="404"/>
      <c r="ED15" s="404"/>
      <c r="EE15" s="404"/>
      <c r="EF15" s="404"/>
      <c r="EG15" s="404"/>
      <c r="EH15" s="404"/>
      <c r="EI15" s="404"/>
      <c r="EJ15" s="404"/>
      <c r="EK15" s="404"/>
      <c r="EL15" s="404"/>
      <c r="EM15" s="404"/>
      <c r="EN15" s="404"/>
      <c r="EO15" s="404"/>
      <c r="EP15" s="404"/>
      <c r="EQ15" s="404"/>
      <c r="ER15" s="404"/>
      <c r="ES15" s="404"/>
      <c r="ET15" s="404"/>
      <c r="EU15" s="404"/>
      <c r="EV15" s="404"/>
      <c r="EW15" s="404"/>
      <c r="EX15" s="404"/>
      <c r="EY15" s="404"/>
      <c r="EZ15" s="404"/>
      <c r="FA15" s="404"/>
      <c r="FB15" s="404"/>
      <c r="FC15" s="404"/>
      <c r="FD15" s="404"/>
      <c r="FE15" s="404"/>
      <c r="FF15" s="404"/>
      <c r="FG15" s="404"/>
      <c r="FH15" s="404"/>
      <c r="FI15" s="404"/>
      <c r="FJ15" s="404"/>
      <c r="FK15" s="404"/>
      <c r="FL15" s="404"/>
      <c r="FM15" s="404"/>
      <c r="FN15" s="404"/>
      <c r="FO15" s="404"/>
      <c r="FP15" s="404"/>
      <c r="FQ15" s="404"/>
      <c r="FR15" s="404"/>
      <c r="FS15" s="404"/>
      <c r="FT15" s="404"/>
      <c r="FU15" s="404"/>
      <c r="FV15" s="404"/>
      <c r="FW15" s="404"/>
      <c r="FX15" s="404"/>
      <c r="FY15" s="404"/>
      <c r="FZ15" s="404"/>
      <c r="GA15" s="404"/>
      <c r="GB15" s="404"/>
      <c r="GC15" s="404"/>
      <c r="GD15" s="404"/>
      <c r="GE15" s="404"/>
      <c r="GF15" s="404"/>
      <c r="GG15" s="404"/>
      <c r="GH15" s="404"/>
      <c r="GI15" s="404"/>
      <c r="GJ15" s="404"/>
      <c r="GK15" s="404"/>
      <c r="GL15" s="404"/>
      <c r="GM15" s="404"/>
      <c r="GN15" s="404"/>
      <c r="GO15" s="404"/>
      <c r="GP15" s="404"/>
      <c r="GQ15" s="404"/>
      <c r="GR15" s="404"/>
      <c r="GS15" s="404"/>
      <c r="GT15" s="404"/>
      <c r="GU15" s="404"/>
      <c r="GV15" s="404"/>
      <c r="GW15" s="404"/>
      <c r="GX15" s="404"/>
      <c r="GY15" s="404"/>
      <c r="GZ15" s="404"/>
      <c r="HA15" s="404"/>
      <c r="HB15" s="404"/>
      <c r="HC15" s="404"/>
      <c r="HD15" s="404"/>
      <c r="HE15" s="404"/>
      <c r="HF15" s="404"/>
      <c r="HG15" s="404"/>
      <c r="HH15" s="404"/>
      <c r="HI15" s="404"/>
      <c r="HJ15" s="404"/>
      <c r="HK15" s="404"/>
      <c r="HL15" s="404"/>
      <c r="HM15" s="404"/>
      <c r="HN15" s="404"/>
      <c r="HO15" s="404"/>
      <c r="HP15" s="404"/>
      <c r="HQ15" s="404"/>
      <c r="HR15" s="404"/>
      <c r="HS15" s="404"/>
      <c r="HT15" s="404"/>
      <c r="HU15" s="404"/>
      <c r="HV15" s="404"/>
      <c r="HW15" s="404"/>
      <c r="HX15" s="404"/>
      <c r="HY15" s="404"/>
      <c r="HZ15" s="404"/>
      <c r="IA15" s="404"/>
      <c r="IB15" s="404"/>
      <c r="IC15" s="404"/>
      <c r="ID15" s="404"/>
      <c r="IE15" s="404"/>
      <c r="IF15" s="404"/>
      <c r="IG15" s="404"/>
      <c r="IH15" s="404"/>
      <c r="II15" s="404"/>
      <c r="IJ15" s="404"/>
      <c r="IK15" s="404"/>
      <c r="IL15" s="404"/>
      <c r="IM15" s="404"/>
      <c r="IN15" s="404"/>
      <c r="IO15" s="404"/>
      <c r="IP15" s="404"/>
      <c r="IQ15" s="404"/>
      <c r="IR15" s="404"/>
      <c r="IS15" s="404"/>
      <c r="IT15" s="404"/>
      <c r="IU15" s="404"/>
      <c r="IV15" s="404"/>
    </row>
    <row r="16" spans="1:256" x14ac:dyDescent="0.35">
      <c r="A16" s="735">
        <v>7</v>
      </c>
      <c r="B16" s="931"/>
      <c r="C16" s="932"/>
      <c r="D16" s="1729" t="s">
        <v>292</v>
      </c>
      <c r="E16" s="416">
        <f>F16+G16+O18+P16</f>
        <v>319576</v>
      </c>
      <c r="F16" s="725">
        <v>6699</v>
      </c>
      <c r="G16" s="417"/>
      <c r="H16" s="946"/>
      <c r="I16" s="944"/>
      <c r="J16" s="937"/>
      <c r="K16" s="937">
        <v>278</v>
      </c>
      <c r="L16" s="937"/>
      <c r="M16" s="937">
        <v>312599</v>
      </c>
      <c r="N16" s="937"/>
      <c r="O16" s="930">
        <f>SUM(I16:N16)</f>
        <v>312877</v>
      </c>
      <c r="P16" s="938"/>
    </row>
    <row r="17" spans="1:256" x14ac:dyDescent="0.35">
      <c r="A17" s="735">
        <v>8</v>
      </c>
      <c r="B17" s="931"/>
      <c r="C17" s="932"/>
      <c r="D17" s="1499" t="s">
        <v>929</v>
      </c>
      <c r="E17" s="416"/>
      <c r="F17" s="725"/>
      <c r="G17" s="417"/>
      <c r="H17" s="946"/>
      <c r="I17" s="944"/>
      <c r="J17" s="937"/>
      <c r="K17" s="937"/>
      <c r="L17" s="937"/>
      <c r="M17" s="937"/>
      <c r="N17" s="937"/>
      <c r="O17" s="1732">
        <f t="shared" ref="O17:O18" si="1">SUM(I17:N17)</f>
        <v>0</v>
      </c>
      <c r="P17" s="938"/>
    </row>
    <row r="18" spans="1:256" x14ac:dyDescent="0.35">
      <c r="A18" s="735">
        <v>9</v>
      </c>
      <c r="B18" s="931"/>
      <c r="C18" s="932"/>
      <c r="D18" s="641" t="s">
        <v>927</v>
      </c>
      <c r="E18" s="416"/>
      <c r="F18" s="725"/>
      <c r="G18" s="417"/>
      <c r="H18" s="946"/>
      <c r="I18" s="944"/>
      <c r="J18" s="937"/>
      <c r="K18" s="1734">
        <f>SUM(K16:K17)</f>
        <v>278</v>
      </c>
      <c r="L18" s="1734"/>
      <c r="M18" s="1734">
        <f>SUM(M16:M17)</f>
        <v>312599</v>
      </c>
      <c r="N18" s="937"/>
      <c r="O18" s="730">
        <f t="shared" si="1"/>
        <v>312877</v>
      </c>
      <c r="P18" s="938"/>
    </row>
    <row r="19" spans="1:256" ht="33" x14ac:dyDescent="0.35">
      <c r="A19" s="735">
        <v>10</v>
      </c>
      <c r="B19" s="729"/>
      <c r="C19" s="406">
        <v>3</v>
      </c>
      <c r="D19" s="408" t="s">
        <v>471</v>
      </c>
      <c r="E19" s="416"/>
      <c r="F19" s="416"/>
      <c r="G19" s="417"/>
      <c r="H19" s="971" t="s">
        <v>24</v>
      </c>
      <c r="I19" s="1275"/>
      <c r="J19" s="934"/>
      <c r="K19" s="934"/>
      <c r="L19" s="934"/>
      <c r="M19" s="934"/>
      <c r="N19" s="959"/>
      <c r="O19" s="966"/>
      <c r="P19" s="726"/>
    </row>
    <row r="20" spans="1:256" x14ac:dyDescent="0.35">
      <c r="A20" s="735">
        <v>11</v>
      </c>
      <c r="B20" s="602"/>
      <c r="C20" s="447"/>
      <c r="D20" s="1735" t="s">
        <v>292</v>
      </c>
      <c r="E20" s="416">
        <f>F20+G20+O22+P20+3250</f>
        <v>163747</v>
      </c>
      <c r="F20" s="416">
        <v>6541</v>
      </c>
      <c r="G20" s="417">
        <v>40</v>
      </c>
      <c r="H20" s="946"/>
      <c r="I20" s="1275"/>
      <c r="J20" s="934"/>
      <c r="K20" s="934">
        <v>342</v>
      </c>
      <c r="L20" s="934"/>
      <c r="M20" s="934">
        <v>153574</v>
      </c>
      <c r="N20" s="959"/>
      <c r="O20" s="930">
        <f>SUM(I20:N20)</f>
        <v>153916</v>
      </c>
      <c r="P20" s="726"/>
    </row>
    <row r="21" spans="1:256" s="721" customFormat="1" x14ac:dyDescent="0.35">
      <c r="A21" s="735">
        <v>12</v>
      </c>
      <c r="B21" s="602"/>
      <c r="C21" s="447"/>
      <c r="D21" s="1499" t="s">
        <v>929</v>
      </c>
      <c r="E21" s="416"/>
      <c r="F21" s="416"/>
      <c r="G21" s="417"/>
      <c r="H21" s="946"/>
      <c r="I21" s="1275"/>
      <c r="J21" s="934"/>
      <c r="K21" s="934"/>
      <c r="L21" s="934"/>
      <c r="M21" s="934"/>
      <c r="N21" s="959"/>
      <c r="O21" s="1732">
        <f t="shared" ref="O21:O22" si="2">SUM(I21:N21)</f>
        <v>0</v>
      </c>
      <c r="P21" s="726"/>
      <c r="Q21" s="404"/>
      <c r="R21" s="404"/>
      <c r="S21" s="404"/>
      <c r="T21" s="404"/>
      <c r="U21" s="404"/>
      <c r="V21" s="404"/>
      <c r="W21" s="404"/>
      <c r="X21" s="404"/>
      <c r="Y21" s="404"/>
      <c r="Z21" s="404"/>
      <c r="AA21" s="404"/>
      <c r="AB21" s="404"/>
      <c r="AC21" s="404"/>
      <c r="AD21" s="404"/>
      <c r="AE21" s="404"/>
      <c r="AF21" s="404"/>
      <c r="AG21" s="404"/>
      <c r="AH21" s="404"/>
      <c r="AI21" s="404"/>
      <c r="AJ21" s="404"/>
      <c r="AK21" s="404"/>
      <c r="AL21" s="404"/>
      <c r="AM21" s="404"/>
      <c r="AN21" s="404"/>
      <c r="AO21" s="404"/>
      <c r="AP21" s="404"/>
      <c r="AQ21" s="404"/>
      <c r="AR21" s="404"/>
      <c r="AS21" s="404"/>
      <c r="AT21" s="404"/>
      <c r="AU21" s="404"/>
      <c r="AV21" s="404"/>
      <c r="AW21" s="404"/>
      <c r="AX21" s="404"/>
      <c r="AY21" s="404"/>
      <c r="AZ21" s="404"/>
      <c r="BA21" s="404"/>
      <c r="BB21" s="404"/>
      <c r="BC21" s="404"/>
      <c r="BD21" s="404"/>
      <c r="BE21" s="404"/>
      <c r="BF21" s="404"/>
      <c r="BG21" s="404"/>
      <c r="BH21" s="404"/>
      <c r="BI21" s="404"/>
      <c r="BJ21" s="404"/>
      <c r="BK21" s="404"/>
      <c r="BL21" s="404"/>
      <c r="BM21" s="404"/>
      <c r="BN21" s="404"/>
      <c r="BO21" s="404"/>
      <c r="BP21" s="404"/>
      <c r="BQ21" s="404"/>
      <c r="BR21" s="404"/>
      <c r="BS21" s="404"/>
      <c r="BT21" s="404"/>
      <c r="BU21" s="404"/>
      <c r="BV21" s="404"/>
      <c r="BW21" s="404"/>
      <c r="BX21" s="404"/>
      <c r="BY21" s="404"/>
      <c r="BZ21" s="404"/>
      <c r="CA21" s="404"/>
      <c r="CB21" s="404"/>
      <c r="CC21" s="404"/>
      <c r="CD21" s="404"/>
      <c r="CE21" s="404"/>
      <c r="CF21" s="404"/>
      <c r="CG21" s="404"/>
      <c r="CH21" s="404"/>
      <c r="CI21" s="404"/>
      <c r="CJ21" s="404"/>
      <c r="CK21" s="404"/>
      <c r="CL21" s="404"/>
      <c r="CM21" s="404"/>
      <c r="CN21" s="404"/>
      <c r="CO21" s="404"/>
      <c r="CP21" s="404"/>
      <c r="CQ21" s="404"/>
      <c r="CR21" s="404"/>
      <c r="CS21" s="404"/>
      <c r="CT21" s="404"/>
      <c r="CU21" s="404"/>
      <c r="CV21" s="404"/>
      <c r="CW21" s="404"/>
      <c r="CX21" s="404"/>
      <c r="CY21" s="404"/>
      <c r="CZ21" s="404"/>
      <c r="DA21" s="404"/>
      <c r="DB21" s="404"/>
      <c r="DC21" s="404"/>
      <c r="DD21" s="404"/>
      <c r="DE21" s="404"/>
      <c r="DF21" s="404"/>
      <c r="DG21" s="404"/>
      <c r="DH21" s="404"/>
      <c r="DI21" s="404"/>
      <c r="DJ21" s="404"/>
      <c r="DK21" s="404"/>
      <c r="DL21" s="404"/>
      <c r="DM21" s="404"/>
      <c r="DN21" s="404"/>
      <c r="DO21" s="404"/>
      <c r="DP21" s="404"/>
      <c r="DQ21" s="404"/>
      <c r="DR21" s="404"/>
      <c r="DS21" s="404"/>
      <c r="DT21" s="404"/>
      <c r="DU21" s="404"/>
      <c r="DV21" s="404"/>
      <c r="DW21" s="404"/>
      <c r="DX21" s="404"/>
      <c r="DY21" s="404"/>
      <c r="DZ21" s="404"/>
      <c r="EA21" s="404"/>
      <c r="EB21" s="404"/>
      <c r="EC21" s="404"/>
      <c r="ED21" s="404"/>
      <c r="EE21" s="404"/>
      <c r="EF21" s="404"/>
      <c r="EG21" s="404"/>
      <c r="EH21" s="404"/>
      <c r="EI21" s="404"/>
      <c r="EJ21" s="404"/>
      <c r="EK21" s="404"/>
      <c r="EL21" s="404"/>
      <c r="EM21" s="404"/>
      <c r="EN21" s="404"/>
      <c r="EO21" s="404"/>
      <c r="EP21" s="404"/>
      <c r="EQ21" s="404"/>
      <c r="ER21" s="404"/>
      <c r="ES21" s="404"/>
      <c r="ET21" s="404"/>
      <c r="EU21" s="404"/>
      <c r="EV21" s="404"/>
      <c r="EW21" s="404"/>
      <c r="EX21" s="404"/>
      <c r="EY21" s="404"/>
      <c r="EZ21" s="404"/>
      <c r="FA21" s="404"/>
      <c r="FB21" s="404"/>
      <c r="FC21" s="404"/>
      <c r="FD21" s="404"/>
      <c r="FE21" s="404"/>
      <c r="FF21" s="404"/>
      <c r="FG21" s="404"/>
      <c r="FH21" s="404"/>
      <c r="FI21" s="404"/>
      <c r="FJ21" s="404"/>
      <c r="FK21" s="404"/>
      <c r="FL21" s="404"/>
      <c r="FM21" s="404"/>
      <c r="FN21" s="404"/>
      <c r="FO21" s="404"/>
      <c r="FP21" s="404"/>
      <c r="FQ21" s="404"/>
      <c r="FR21" s="404"/>
      <c r="FS21" s="404"/>
      <c r="FT21" s="404"/>
      <c r="FU21" s="404"/>
      <c r="FV21" s="404"/>
      <c r="FW21" s="404"/>
      <c r="FX21" s="404"/>
      <c r="FY21" s="404"/>
      <c r="FZ21" s="404"/>
      <c r="GA21" s="404"/>
      <c r="GB21" s="404"/>
      <c r="GC21" s="404"/>
      <c r="GD21" s="404"/>
      <c r="GE21" s="404"/>
      <c r="GF21" s="404"/>
      <c r="GG21" s="404"/>
      <c r="GH21" s="404"/>
      <c r="GI21" s="404"/>
      <c r="GJ21" s="404"/>
      <c r="GK21" s="404"/>
      <c r="GL21" s="404"/>
      <c r="GM21" s="404"/>
      <c r="GN21" s="404"/>
      <c r="GO21" s="404"/>
      <c r="GP21" s="404"/>
      <c r="GQ21" s="404"/>
      <c r="GR21" s="404"/>
      <c r="GS21" s="404"/>
      <c r="GT21" s="404"/>
      <c r="GU21" s="404"/>
      <c r="GV21" s="404"/>
      <c r="GW21" s="404"/>
      <c r="GX21" s="404"/>
      <c r="GY21" s="404"/>
      <c r="GZ21" s="404"/>
      <c r="HA21" s="404"/>
      <c r="HB21" s="404"/>
      <c r="HC21" s="404"/>
      <c r="HD21" s="404"/>
      <c r="HE21" s="404"/>
      <c r="HF21" s="404"/>
      <c r="HG21" s="404"/>
      <c r="HH21" s="404"/>
      <c r="HI21" s="404"/>
      <c r="HJ21" s="404"/>
      <c r="HK21" s="404"/>
      <c r="HL21" s="404"/>
      <c r="HM21" s="404"/>
      <c r="HN21" s="404"/>
      <c r="HO21" s="404"/>
      <c r="HP21" s="404"/>
      <c r="HQ21" s="404"/>
      <c r="HR21" s="404"/>
      <c r="HS21" s="404"/>
      <c r="HT21" s="404"/>
      <c r="HU21" s="404"/>
      <c r="HV21" s="404"/>
      <c r="HW21" s="404"/>
      <c r="HX21" s="404"/>
      <c r="HY21" s="404"/>
      <c r="HZ21" s="404"/>
      <c r="IA21" s="404"/>
      <c r="IB21" s="404"/>
      <c r="IC21" s="404"/>
      <c r="ID21" s="404"/>
      <c r="IE21" s="404"/>
      <c r="IF21" s="404"/>
      <c r="IG21" s="404"/>
      <c r="IH21" s="404"/>
      <c r="II21" s="404"/>
      <c r="IJ21" s="404"/>
      <c r="IK21" s="404"/>
      <c r="IL21" s="404"/>
      <c r="IM21" s="404"/>
      <c r="IN21" s="404"/>
      <c r="IO21" s="404"/>
      <c r="IP21" s="404"/>
      <c r="IQ21" s="404"/>
      <c r="IR21" s="404"/>
      <c r="IS21" s="404"/>
      <c r="IT21" s="404"/>
      <c r="IU21" s="404"/>
      <c r="IV21" s="404"/>
    </row>
    <row r="22" spans="1:256" x14ac:dyDescent="0.35">
      <c r="A22" s="735">
        <v>13</v>
      </c>
      <c r="B22" s="602"/>
      <c r="C22" s="447"/>
      <c r="D22" s="641" t="s">
        <v>927</v>
      </c>
      <c r="E22" s="416"/>
      <c r="F22" s="416"/>
      <c r="G22" s="417"/>
      <c r="H22" s="946"/>
      <c r="I22" s="1275"/>
      <c r="J22" s="934"/>
      <c r="K22" s="1236">
        <f>SUM(K20:K21)</f>
        <v>342</v>
      </c>
      <c r="L22" s="1236"/>
      <c r="M22" s="1236">
        <f>SUM(M20:M21)</f>
        <v>153574</v>
      </c>
      <c r="N22" s="959"/>
      <c r="O22" s="730">
        <f t="shared" si="2"/>
        <v>153916</v>
      </c>
      <c r="P22" s="726"/>
    </row>
    <row r="23" spans="1:256" s="721" customFormat="1" ht="33" x14ac:dyDescent="0.35">
      <c r="A23" s="735">
        <v>14</v>
      </c>
      <c r="B23" s="602"/>
      <c r="C23" s="406">
        <v>4</v>
      </c>
      <c r="D23" s="928" t="s">
        <v>511</v>
      </c>
      <c r="E23" s="416"/>
      <c r="F23" s="416"/>
      <c r="G23" s="417"/>
      <c r="H23" s="946" t="s">
        <v>24</v>
      </c>
      <c r="I23" s="1275"/>
      <c r="J23" s="934"/>
      <c r="K23" s="934"/>
      <c r="L23" s="934"/>
      <c r="M23" s="934"/>
      <c r="N23" s="959"/>
      <c r="O23" s="930"/>
      <c r="P23" s="726"/>
      <c r="Q23" s="404"/>
      <c r="R23" s="404"/>
      <c r="S23" s="404"/>
      <c r="T23" s="404"/>
      <c r="U23" s="404"/>
      <c r="V23" s="404"/>
      <c r="W23" s="404"/>
      <c r="X23" s="404"/>
      <c r="Y23" s="404"/>
      <c r="Z23" s="404"/>
      <c r="AA23" s="404"/>
      <c r="AB23" s="404"/>
      <c r="AC23" s="404"/>
      <c r="AD23" s="404"/>
      <c r="AE23" s="404"/>
      <c r="AF23" s="404"/>
      <c r="AG23" s="404"/>
      <c r="AH23" s="404"/>
      <c r="AI23" s="404"/>
      <c r="AJ23" s="404"/>
      <c r="AK23" s="404"/>
      <c r="AL23" s="404"/>
      <c r="AM23" s="404"/>
      <c r="AN23" s="404"/>
      <c r="AO23" s="404"/>
      <c r="AP23" s="404"/>
      <c r="AQ23" s="404"/>
      <c r="AR23" s="404"/>
      <c r="AS23" s="404"/>
      <c r="AT23" s="404"/>
      <c r="AU23" s="404"/>
      <c r="AV23" s="404"/>
      <c r="AW23" s="404"/>
      <c r="AX23" s="404"/>
      <c r="AY23" s="404"/>
      <c r="AZ23" s="404"/>
      <c r="BA23" s="404"/>
      <c r="BB23" s="404"/>
      <c r="BC23" s="404"/>
      <c r="BD23" s="404"/>
      <c r="BE23" s="404"/>
      <c r="BF23" s="404"/>
      <c r="BG23" s="404"/>
      <c r="BH23" s="404"/>
      <c r="BI23" s="404"/>
      <c r="BJ23" s="404"/>
      <c r="BK23" s="404"/>
      <c r="BL23" s="404"/>
      <c r="BM23" s="404"/>
      <c r="BN23" s="404"/>
      <c r="BO23" s="404"/>
      <c r="BP23" s="404"/>
      <c r="BQ23" s="404"/>
      <c r="BR23" s="404"/>
      <c r="BS23" s="404"/>
      <c r="BT23" s="404"/>
      <c r="BU23" s="404"/>
      <c r="BV23" s="404"/>
      <c r="BW23" s="404"/>
      <c r="BX23" s="404"/>
      <c r="BY23" s="404"/>
      <c r="BZ23" s="404"/>
      <c r="CA23" s="404"/>
      <c r="CB23" s="404"/>
      <c r="CC23" s="404"/>
      <c r="CD23" s="404"/>
      <c r="CE23" s="404"/>
      <c r="CF23" s="404"/>
      <c r="CG23" s="404"/>
      <c r="CH23" s="404"/>
      <c r="CI23" s="404"/>
      <c r="CJ23" s="404"/>
      <c r="CK23" s="404"/>
      <c r="CL23" s="404"/>
      <c r="CM23" s="404"/>
      <c r="CN23" s="404"/>
      <c r="CO23" s="404"/>
      <c r="CP23" s="404"/>
      <c r="CQ23" s="404"/>
      <c r="CR23" s="404"/>
      <c r="CS23" s="404"/>
      <c r="CT23" s="404"/>
      <c r="CU23" s="404"/>
      <c r="CV23" s="404"/>
      <c r="CW23" s="404"/>
      <c r="CX23" s="404"/>
      <c r="CY23" s="404"/>
      <c r="CZ23" s="404"/>
      <c r="DA23" s="404"/>
      <c r="DB23" s="404"/>
      <c r="DC23" s="404"/>
      <c r="DD23" s="404"/>
      <c r="DE23" s="404"/>
      <c r="DF23" s="404"/>
      <c r="DG23" s="404"/>
      <c r="DH23" s="404"/>
      <c r="DI23" s="404"/>
      <c r="DJ23" s="404"/>
      <c r="DK23" s="404"/>
      <c r="DL23" s="404"/>
      <c r="DM23" s="404"/>
      <c r="DN23" s="404"/>
      <c r="DO23" s="404"/>
      <c r="DP23" s="404"/>
      <c r="DQ23" s="404"/>
      <c r="DR23" s="404"/>
      <c r="DS23" s="404"/>
      <c r="DT23" s="404"/>
      <c r="DU23" s="404"/>
      <c r="DV23" s="404"/>
      <c r="DW23" s="404"/>
      <c r="DX23" s="404"/>
      <c r="DY23" s="404"/>
      <c r="DZ23" s="404"/>
      <c r="EA23" s="404"/>
      <c r="EB23" s="404"/>
      <c r="EC23" s="404"/>
      <c r="ED23" s="404"/>
      <c r="EE23" s="404"/>
      <c r="EF23" s="404"/>
      <c r="EG23" s="404"/>
      <c r="EH23" s="404"/>
      <c r="EI23" s="404"/>
      <c r="EJ23" s="404"/>
      <c r="EK23" s="404"/>
      <c r="EL23" s="404"/>
      <c r="EM23" s="404"/>
      <c r="EN23" s="404"/>
      <c r="EO23" s="404"/>
      <c r="EP23" s="404"/>
      <c r="EQ23" s="404"/>
      <c r="ER23" s="404"/>
      <c r="ES23" s="404"/>
      <c r="ET23" s="404"/>
      <c r="EU23" s="404"/>
      <c r="EV23" s="404"/>
      <c r="EW23" s="404"/>
      <c r="EX23" s="404"/>
      <c r="EY23" s="404"/>
      <c r="EZ23" s="404"/>
      <c r="FA23" s="404"/>
      <c r="FB23" s="404"/>
      <c r="FC23" s="404"/>
      <c r="FD23" s="404"/>
      <c r="FE23" s="404"/>
      <c r="FF23" s="404"/>
      <c r="FG23" s="404"/>
      <c r="FH23" s="404"/>
      <c r="FI23" s="404"/>
      <c r="FJ23" s="404"/>
      <c r="FK23" s="404"/>
      <c r="FL23" s="404"/>
      <c r="FM23" s="404"/>
      <c r="FN23" s="404"/>
      <c r="FO23" s="404"/>
      <c r="FP23" s="404"/>
      <c r="FQ23" s="404"/>
      <c r="FR23" s="404"/>
      <c r="FS23" s="404"/>
      <c r="FT23" s="404"/>
      <c r="FU23" s="404"/>
      <c r="FV23" s="404"/>
      <c r="FW23" s="404"/>
      <c r="FX23" s="404"/>
      <c r="FY23" s="404"/>
      <c r="FZ23" s="404"/>
      <c r="GA23" s="404"/>
      <c r="GB23" s="404"/>
      <c r="GC23" s="404"/>
      <c r="GD23" s="404"/>
      <c r="GE23" s="404"/>
      <c r="GF23" s="404"/>
      <c r="GG23" s="404"/>
      <c r="GH23" s="404"/>
      <c r="GI23" s="404"/>
      <c r="GJ23" s="404"/>
      <c r="GK23" s="404"/>
      <c r="GL23" s="404"/>
      <c r="GM23" s="404"/>
      <c r="GN23" s="404"/>
      <c r="GO23" s="404"/>
      <c r="GP23" s="404"/>
      <c r="GQ23" s="404"/>
      <c r="GR23" s="404"/>
      <c r="GS23" s="404"/>
      <c r="GT23" s="404"/>
      <c r="GU23" s="404"/>
      <c r="GV23" s="404"/>
      <c r="GW23" s="404"/>
      <c r="GX23" s="404"/>
      <c r="GY23" s="404"/>
      <c r="GZ23" s="404"/>
      <c r="HA23" s="404"/>
      <c r="HB23" s="404"/>
      <c r="HC23" s="404"/>
      <c r="HD23" s="404"/>
      <c r="HE23" s="404"/>
      <c r="HF23" s="404"/>
      <c r="HG23" s="404"/>
      <c r="HH23" s="404"/>
      <c r="HI23" s="404"/>
      <c r="HJ23" s="404"/>
      <c r="HK23" s="404"/>
      <c r="HL23" s="404"/>
      <c r="HM23" s="404"/>
      <c r="HN23" s="404"/>
      <c r="HO23" s="404"/>
      <c r="HP23" s="404"/>
      <c r="HQ23" s="404"/>
      <c r="HR23" s="404"/>
      <c r="HS23" s="404"/>
      <c r="HT23" s="404"/>
      <c r="HU23" s="404"/>
      <c r="HV23" s="404"/>
      <c r="HW23" s="404"/>
      <c r="HX23" s="404"/>
      <c r="HY23" s="404"/>
      <c r="HZ23" s="404"/>
      <c r="IA23" s="404"/>
      <c r="IB23" s="404"/>
      <c r="IC23" s="404"/>
      <c r="ID23" s="404"/>
      <c r="IE23" s="404"/>
      <c r="IF23" s="404"/>
      <c r="IG23" s="404"/>
      <c r="IH23" s="404"/>
      <c r="II23" s="404"/>
      <c r="IJ23" s="404"/>
      <c r="IK23" s="404"/>
      <c r="IL23" s="404"/>
      <c r="IM23" s="404"/>
      <c r="IN23" s="404"/>
      <c r="IO23" s="404"/>
      <c r="IP23" s="404"/>
      <c r="IQ23" s="404"/>
      <c r="IR23" s="404"/>
      <c r="IS23" s="404"/>
      <c r="IT23" s="404"/>
      <c r="IU23" s="404"/>
      <c r="IV23" s="404"/>
    </row>
    <row r="24" spans="1:256" x14ac:dyDescent="0.35">
      <c r="A24" s="735">
        <v>15</v>
      </c>
      <c r="B24" s="602"/>
      <c r="C24" s="447"/>
      <c r="D24" s="1735" t="s">
        <v>292</v>
      </c>
      <c r="E24" s="416">
        <f>F24+G24+O26+P24</f>
        <v>64792</v>
      </c>
      <c r="F24" s="416">
        <v>1956</v>
      </c>
      <c r="G24" s="417"/>
      <c r="H24" s="946"/>
      <c r="I24" s="1275"/>
      <c r="J24" s="934"/>
      <c r="K24" s="934">
        <v>270</v>
      </c>
      <c r="L24" s="934"/>
      <c r="M24" s="934">
        <v>62566</v>
      </c>
      <c r="N24" s="959"/>
      <c r="O24" s="930">
        <f>SUM(I24:N24)</f>
        <v>62836</v>
      </c>
      <c r="P24" s="726"/>
    </row>
    <row r="25" spans="1:256" x14ac:dyDescent="0.35">
      <c r="A25" s="735">
        <v>16</v>
      </c>
      <c r="B25" s="602"/>
      <c r="C25" s="447"/>
      <c r="D25" s="1499" t="s">
        <v>929</v>
      </c>
      <c r="E25" s="416"/>
      <c r="F25" s="416"/>
      <c r="G25" s="417"/>
      <c r="H25" s="946"/>
      <c r="I25" s="1275"/>
      <c r="J25" s="934"/>
      <c r="K25" s="934"/>
      <c r="L25" s="934"/>
      <c r="M25" s="934"/>
      <c r="N25" s="959"/>
      <c r="O25" s="1732">
        <f t="shared" ref="O25:O26" si="3">SUM(I25:N25)</f>
        <v>0</v>
      </c>
      <c r="P25" s="726"/>
    </row>
    <row r="26" spans="1:256" s="721" customFormat="1" x14ac:dyDescent="0.35">
      <c r="A26" s="735">
        <v>17</v>
      </c>
      <c r="B26" s="602"/>
      <c r="C26" s="447"/>
      <c r="D26" s="641" t="s">
        <v>927</v>
      </c>
      <c r="E26" s="416"/>
      <c r="F26" s="416"/>
      <c r="G26" s="417"/>
      <c r="H26" s="946"/>
      <c r="I26" s="1275"/>
      <c r="J26" s="934"/>
      <c r="K26" s="1236">
        <f>SUM(K24:K25)</f>
        <v>270</v>
      </c>
      <c r="L26" s="1236"/>
      <c r="M26" s="1236">
        <f>SUM(M24:M25)</f>
        <v>62566</v>
      </c>
      <c r="N26" s="959"/>
      <c r="O26" s="730">
        <f t="shared" si="3"/>
        <v>62836</v>
      </c>
      <c r="P26" s="726"/>
      <c r="Q26" s="404"/>
      <c r="R26" s="404"/>
      <c r="S26" s="404"/>
      <c r="T26" s="404"/>
      <c r="U26" s="404"/>
      <c r="V26" s="404"/>
      <c r="W26" s="404"/>
      <c r="X26" s="404"/>
      <c r="Y26" s="404"/>
      <c r="Z26" s="404"/>
      <c r="AA26" s="404"/>
      <c r="AB26" s="404"/>
      <c r="AC26" s="404"/>
      <c r="AD26" s="404"/>
      <c r="AE26" s="404"/>
      <c r="AF26" s="404"/>
      <c r="AG26" s="404"/>
      <c r="AH26" s="404"/>
      <c r="AI26" s="404"/>
      <c r="AJ26" s="404"/>
      <c r="AK26" s="404"/>
      <c r="AL26" s="404"/>
      <c r="AM26" s="404"/>
      <c r="AN26" s="404"/>
      <c r="AO26" s="404"/>
      <c r="AP26" s="404"/>
      <c r="AQ26" s="404"/>
      <c r="AR26" s="404"/>
      <c r="AS26" s="404"/>
      <c r="AT26" s="404"/>
      <c r="AU26" s="404"/>
      <c r="AV26" s="404"/>
      <c r="AW26" s="404"/>
      <c r="AX26" s="404"/>
      <c r="AY26" s="404"/>
      <c r="AZ26" s="404"/>
      <c r="BA26" s="404"/>
      <c r="BB26" s="404"/>
      <c r="BC26" s="404"/>
      <c r="BD26" s="404"/>
      <c r="BE26" s="404"/>
      <c r="BF26" s="404"/>
      <c r="BG26" s="404"/>
      <c r="BH26" s="404"/>
      <c r="BI26" s="404"/>
      <c r="BJ26" s="404"/>
      <c r="BK26" s="404"/>
      <c r="BL26" s="404"/>
      <c r="BM26" s="404"/>
      <c r="BN26" s="404"/>
      <c r="BO26" s="404"/>
      <c r="BP26" s="404"/>
      <c r="BQ26" s="404"/>
      <c r="BR26" s="404"/>
      <c r="BS26" s="404"/>
      <c r="BT26" s="404"/>
      <c r="BU26" s="404"/>
      <c r="BV26" s="404"/>
      <c r="BW26" s="404"/>
      <c r="BX26" s="404"/>
      <c r="BY26" s="404"/>
      <c r="BZ26" s="404"/>
      <c r="CA26" s="404"/>
      <c r="CB26" s="404"/>
      <c r="CC26" s="404"/>
      <c r="CD26" s="404"/>
      <c r="CE26" s="404"/>
      <c r="CF26" s="404"/>
      <c r="CG26" s="404"/>
      <c r="CH26" s="404"/>
      <c r="CI26" s="404"/>
      <c r="CJ26" s="404"/>
      <c r="CK26" s="404"/>
      <c r="CL26" s="404"/>
      <c r="CM26" s="404"/>
      <c r="CN26" s="404"/>
      <c r="CO26" s="404"/>
      <c r="CP26" s="404"/>
      <c r="CQ26" s="404"/>
      <c r="CR26" s="404"/>
      <c r="CS26" s="404"/>
      <c r="CT26" s="404"/>
      <c r="CU26" s="404"/>
      <c r="CV26" s="404"/>
      <c r="CW26" s="404"/>
      <c r="CX26" s="404"/>
      <c r="CY26" s="404"/>
      <c r="CZ26" s="404"/>
      <c r="DA26" s="404"/>
      <c r="DB26" s="404"/>
      <c r="DC26" s="404"/>
      <c r="DD26" s="404"/>
      <c r="DE26" s="404"/>
      <c r="DF26" s="404"/>
      <c r="DG26" s="404"/>
      <c r="DH26" s="404"/>
      <c r="DI26" s="404"/>
      <c r="DJ26" s="404"/>
      <c r="DK26" s="404"/>
      <c r="DL26" s="404"/>
      <c r="DM26" s="404"/>
      <c r="DN26" s="404"/>
      <c r="DO26" s="404"/>
      <c r="DP26" s="404"/>
      <c r="DQ26" s="404"/>
      <c r="DR26" s="404"/>
      <c r="DS26" s="404"/>
      <c r="DT26" s="404"/>
      <c r="DU26" s="404"/>
      <c r="DV26" s="404"/>
      <c r="DW26" s="404"/>
      <c r="DX26" s="404"/>
      <c r="DY26" s="404"/>
      <c r="DZ26" s="404"/>
      <c r="EA26" s="404"/>
      <c r="EB26" s="404"/>
      <c r="EC26" s="404"/>
      <c r="ED26" s="404"/>
      <c r="EE26" s="404"/>
      <c r="EF26" s="404"/>
      <c r="EG26" s="404"/>
      <c r="EH26" s="404"/>
      <c r="EI26" s="404"/>
      <c r="EJ26" s="404"/>
      <c r="EK26" s="404"/>
      <c r="EL26" s="404"/>
      <c r="EM26" s="404"/>
      <c r="EN26" s="404"/>
      <c r="EO26" s="404"/>
      <c r="EP26" s="404"/>
      <c r="EQ26" s="404"/>
      <c r="ER26" s="404"/>
      <c r="ES26" s="404"/>
      <c r="ET26" s="404"/>
      <c r="EU26" s="404"/>
      <c r="EV26" s="404"/>
      <c r="EW26" s="404"/>
      <c r="EX26" s="404"/>
      <c r="EY26" s="404"/>
      <c r="EZ26" s="404"/>
      <c r="FA26" s="404"/>
      <c r="FB26" s="404"/>
      <c r="FC26" s="404"/>
      <c r="FD26" s="404"/>
      <c r="FE26" s="404"/>
      <c r="FF26" s="404"/>
      <c r="FG26" s="404"/>
      <c r="FH26" s="404"/>
      <c r="FI26" s="404"/>
      <c r="FJ26" s="404"/>
      <c r="FK26" s="404"/>
      <c r="FL26" s="404"/>
      <c r="FM26" s="404"/>
      <c r="FN26" s="404"/>
      <c r="FO26" s="404"/>
      <c r="FP26" s="404"/>
      <c r="FQ26" s="404"/>
      <c r="FR26" s="404"/>
      <c r="FS26" s="404"/>
      <c r="FT26" s="404"/>
      <c r="FU26" s="404"/>
      <c r="FV26" s="404"/>
      <c r="FW26" s="404"/>
      <c r="FX26" s="404"/>
      <c r="FY26" s="404"/>
      <c r="FZ26" s="404"/>
      <c r="GA26" s="404"/>
      <c r="GB26" s="404"/>
      <c r="GC26" s="404"/>
      <c r="GD26" s="404"/>
      <c r="GE26" s="404"/>
      <c r="GF26" s="404"/>
      <c r="GG26" s="404"/>
      <c r="GH26" s="404"/>
      <c r="GI26" s="404"/>
      <c r="GJ26" s="404"/>
      <c r="GK26" s="404"/>
      <c r="GL26" s="404"/>
      <c r="GM26" s="404"/>
      <c r="GN26" s="404"/>
      <c r="GO26" s="404"/>
      <c r="GP26" s="404"/>
      <c r="GQ26" s="404"/>
      <c r="GR26" s="404"/>
      <c r="GS26" s="404"/>
      <c r="GT26" s="404"/>
      <c r="GU26" s="404"/>
      <c r="GV26" s="404"/>
      <c r="GW26" s="404"/>
      <c r="GX26" s="404"/>
      <c r="GY26" s="404"/>
      <c r="GZ26" s="404"/>
      <c r="HA26" s="404"/>
      <c r="HB26" s="404"/>
      <c r="HC26" s="404"/>
      <c r="HD26" s="404"/>
      <c r="HE26" s="404"/>
      <c r="HF26" s="404"/>
      <c r="HG26" s="404"/>
      <c r="HH26" s="404"/>
      <c r="HI26" s="404"/>
      <c r="HJ26" s="404"/>
      <c r="HK26" s="404"/>
      <c r="HL26" s="404"/>
      <c r="HM26" s="404"/>
      <c r="HN26" s="404"/>
      <c r="HO26" s="404"/>
      <c r="HP26" s="404"/>
      <c r="HQ26" s="404"/>
      <c r="HR26" s="404"/>
      <c r="HS26" s="404"/>
      <c r="HT26" s="404"/>
      <c r="HU26" s="404"/>
      <c r="HV26" s="404"/>
      <c r="HW26" s="404"/>
      <c r="HX26" s="404"/>
      <c r="HY26" s="404"/>
      <c r="HZ26" s="404"/>
      <c r="IA26" s="404"/>
      <c r="IB26" s="404"/>
      <c r="IC26" s="404"/>
      <c r="ID26" s="404"/>
      <c r="IE26" s="404"/>
      <c r="IF26" s="404"/>
      <c r="IG26" s="404"/>
      <c r="IH26" s="404"/>
      <c r="II26" s="404"/>
      <c r="IJ26" s="404"/>
      <c r="IK26" s="404"/>
      <c r="IL26" s="404"/>
      <c r="IM26" s="404"/>
      <c r="IN26" s="404"/>
      <c r="IO26" s="404"/>
      <c r="IP26" s="404"/>
      <c r="IQ26" s="404"/>
      <c r="IR26" s="404"/>
      <c r="IS26" s="404"/>
      <c r="IT26" s="404"/>
      <c r="IU26" s="404"/>
      <c r="IV26" s="404"/>
    </row>
    <row r="27" spans="1:256" ht="33" x14ac:dyDescent="0.35">
      <c r="A27" s="735">
        <v>18</v>
      </c>
      <c r="B27" s="602"/>
      <c r="C27" s="406">
        <v>5</v>
      </c>
      <c r="D27" s="927" t="s">
        <v>512</v>
      </c>
      <c r="E27" s="416"/>
      <c r="F27" s="416"/>
      <c r="G27" s="417"/>
      <c r="H27" s="946" t="s">
        <v>24</v>
      </c>
      <c r="I27" s="1275"/>
      <c r="J27" s="934"/>
      <c r="K27" s="934"/>
      <c r="L27" s="934"/>
      <c r="M27" s="934"/>
      <c r="N27" s="959"/>
      <c r="O27" s="930"/>
      <c r="P27" s="726"/>
    </row>
    <row r="28" spans="1:256" s="721" customFormat="1" x14ac:dyDescent="0.35">
      <c r="A28" s="735">
        <v>19</v>
      </c>
      <c r="B28" s="602"/>
      <c r="C28" s="447"/>
      <c r="D28" s="1735" t="s">
        <v>292</v>
      </c>
      <c r="E28" s="416">
        <f>F28+G28+O30+P28</f>
        <v>79678</v>
      </c>
      <c r="F28" s="416">
        <v>2459</v>
      </c>
      <c r="G28" s="417">
        <v>140</v>
      </c>
      <c r="H28" s="946"/>
      <c r="I28" s="1275"/>
      <c r="J28" s="934"/>
      <c r="K28" s="934">
        <v>170</v>
      </c>
      <c r="L28" s="934"/>
      <c r="M28" s="934">
        <v>76280</v>
      </c>
      <c r="N28" s="959"/>
      <c r="O28" s="930">
        <f>SUM(I28:N28)</f>
        <v>76450</v>
      </c>
      <c r="P28" s="726"/>
      <c r="Q28" s="404"/>
      <c r="R28" s="404"/>
      <c r="S28" s="404"/>
      <c r="T28" s="404"/>
      <c r="U28" s="404"/>
      <c r="V28" s="404"/>
      <c r="W28" s="404"/>
      <c r="X28" s="404"/>
      <c r="Y28" s="404"/>
      <c r="Z28" s="404"/>
      <c r="AA28" s="404"/>
      <c r="AB28" s="404"/>
      <c r="AC28" s="404"/>
      <c r="AD28" s="404"/>
      <c r="AE28" s="404"/>
      <c r="AF28" s="404"/>
      <c r="AG28" s="404"/>
      <c r="AH28" s="404"/>
      <c r="AI28" s="404"/>
      <c r="AJ28" s="404"/>
      <c r="AK28" s="404"/>
      <c r="AL28" s="404"/>
      <c r="AM28" s="404"/>
      <c r="AN28" s="404"/>
      <c r="AO28" s="404"/>
      <c r="AP28" s="404"/>
      <c r="AQ28" s="404"/>
      <c r="AR28" s="404"/>
      <c r="AS28" s="404"/>
      <c r="AT28" s="404"/>
      <c r="AU28" s="404"/>
      <c r="AV28" s="404"/>
      <c r="AW28" s="404"/>
      <c r="AX28" s="404"/>
      <c r="AY28" s="404"/>
      <c r="AZ28" s="404"/>
      <c r="BA28" s="404"/>
      <c r="BB28" s="404"/>
      <c r="BC28" s="404"/>
      <c r="BD28" s="404"/>
      <c r="BE28" s="404"/>
      <c r="BF28" s="404"/>
      <c r="BG28" s="404"/>
      <c r="BH28" s="404"/>
      <c r="BI28" s="404"/>
      <c r="BJ28" s="404"/>
      <c r="BK28" s="404"/>
      <c r="BL28" s="404"/>
      <c r="BM28" s="404"/>
      <c r="BN28" s="404"/>
      <c r="BO28" s="404"/>
      <c r="BP28" s="404"/>
      <c r="BQ28" s="404"/>
      <c r="BR28" s="404"/>
      <c r="BS28" s="404"/>
      <c r="BT28" s="404"/>
      <c r="BU28" s="404"/>
      <c r="BV28" s="404"/>
      <c r="BW28" s="404"/>
      <c r="BX28" s="404"/>
      <c r="BY28" s="404"/>
      <c r="BZ28" s="404"/>
      <c r="CA28" s="404"/>
      <c r="CB28" s="404"/>
      <c r="CC28" s="404"/>
      <c r="CD28" s="404"/>
      <c r="CE28" s="404"/>
      <c r="CF28" s="404"/>
      <c r="CG28" s="404"/>
      <c r="CH28" s="404"/>
      <c r="CI28" s="404"/>
      <c r="CJ28" s="404"/>
      <c r="CK28" s="404"/>
      <c r="CL28" s="404"/>
      <c r="CM28" s="404"/>
      <c r="CN28" s="404"/>
      <c r="CO28" s="404"/>
      <c r="CP28" s="404"/>
      <c r="CQ28" s="404"/>
      <c r="CR28" s="404"/>
      <c r="CS28" s="404"/>
      <c r="CT28" s="404"/>
      <c r="CU28" s="404"/>
      <c r="CV28" s="404"/>
      <c r="CW28" s="404"/>
      <c r="CX28" s="404"/>
      <c r="CY28" s="404"/>
      <c r="CZ28" s="404"/>
      <c r="DA28" s="404"/>
      <c r="DB28" s="404"/>
      <c r="DC28" s="404"/>
      <c r="DD28" s="404"/>
      <c r="DE28" s="404"/>
      <c r="DF28" s="404"/>
      <c r="DG28" s="404"/>
      <c r="DH28" s="404"/>
      <c r="DI28" s="404"/>
      <c r="DJ28" s="404"/>
      <c r="DK28" s="404"/>
      <c r="DL28" s="404"/>
      <c r="DM28" s="404"/>
      <c r="DN28" s="404"/>
      <c r="DO28" s="404"/>
      <c r="DP28" s="404"/>
      <c r="DQ28" s="404"/>
      <c r="DR28" s="404"/>
      <c r="DS28" s="404"/>
      <c r="DT28" s="404"/>
      <c r="DU28" s="404"/>
      <c r="DV28" s="404"/>
      <c r="DW28" s="404"/>
      <c r="DX28" s="404"/>
      <c r="DY28" s="404"/>
      <c r="DZ28" s="404"/>
      <c r="EA28" s="404"/>
      <c r="EB28" s="404"/>
      <c r="EC28" s="404"/>
      <c r="ED28" s="404"/>
      <c r="EE28" s="404"/>
      <c r="EF28" s="404"/>
      <c r="EG28" s="404"/>
      <c r="EH28" s="404"/>
      <c r="EI28" s="404"/>
      <c r="EJ28" s="404"/>
      <c r="EK28" s="404"/>
      <c r="EL28" s="404"/>
      <c r="EM28" s="404"/>
      <c r="EN28" s="404"/>
      <c r="EO28" s="404"/>
      <c r="EP28" s="404"/>
      <c r="EQ28" s="404"/>
      <c r="ER28" s="404"/>
      <c r="ES28" s="404"/>
      <c r="ET28" s="404"/>
      <c r="EU28" s="404"/>
      <c r="EV28" s="404"/>
      <c r="EW28" s="404"/>
      <c r="EX28" s="404"/>
      <c r="EY28" s="404"/>
      <c r="EZ28" s="404"/>
      <c r="FA28" s="404"/>
      <c r="FB28" s="404"/>
      <c r="FC28" s="404"/>
      <c r="FD28" s="404"/>
      <c r="FE28" s="404"/>
      <c r="FF28" s="404"/>
      <c r="FG28" s="404"/>
      <c r="FH28" s="404"/>
      <c r="FI28" s="404"/>
      <c r="FJ28" s="404"/>
      <c r="FK28" s="404"/>
      <c r="FL28" s="404"/>
      <c r="FM28" s="404"/>
      <c r="FN28" s="404"/>
      <c r="FO28" s="404"/>
      <c r="FP28" s="404"/>
      <c r="FQ28" s="404"/>
      <c r="FR28" s="404"/>
      <c r="FS28" s="404"/>
      <c r="FT28" s="404"/>
      <c r="FU28" s="404"/>
      <c r="FV28" s="404"/>
      <c r="FW28" s="404"/>
      <c r="FX28" s="404"/>
      <c r="FY28" s="404"/>
      <c r="FZ28" s="404"/>
      <c r="GA28" s="404"/>
      <c r="GB28" s="404"/>
      <c r="GC28" s="404"/>
      <c r="GD28" s="404"/>
      <c r="GE28" s="404"/>
      <c r="GF28" s="404"/>
      <c r="GG28" s="404"/>
      <c r="GH28" s="404"/>
      <c r="GI28" s="404"/>
      <c r="GJ28" s="404"/>
      <c r="GK28" s="404"/>
      <c r="GL28" s="404"/>
      <c r="GM28" s="404"/>
      <c r="GN28" s="404"/>
      <c r="GO28" s="404"/>
      <c r="GP28" s="404"/>
      <c r="GQ28" s="404"/>
      <c r="GR28" s="404"/>
      <c r="GS28" s="404"/>
      <c r="GT28" s="404"/>
      <c r="GU28" s="404"/>
      <c r="GV28" s="404"/>
      <c r="GW28" s="404"/>
      <c r="GX28" s="404"/>
      <c r="GY28" s="404"/>
      <c r="GZ28" s="404"/>
      <c r="HA28" s="404"/>
      <c r="HB28" s="404"/>
      <c r="HC28" s="404"/>
      <c r="HD28" s="404"/>
      <c r="HE28" s="404"/>
      <c r="HF28" s="404"/>
      <c r="HG28" s="404"/>
      <c r="HH28" s="404"/>
      <c r="HI28" s="404"/>
      <c r="HJ28" s="404"/>
      <c r="HK28" s="404"/>
      <c r="HL28" s="404"/>
      <c r="HM28" s="404"/>
      <c r="HN28" s="404"/>
      <c r="HO28" s="404"/>
      <c r="HP28" s="404"/>
      <c r="HQ28" s="404"/>
      <c r="HR28" s="404"/>
      <c r="HS28" s="404"/>
      <c r="HT28" s="404"/>
      <c r="HU28" s="404"/>
      <c r="HV28" s="404"/>
      <c r="HW28" s="404"/>
      <c r="HX28" s="404"/>
      <c r="HY28" s="404"/>
      <c r="HZ28" s="404"/>
      <c r="IA28" s="404"/>
      <c r="IB28" s="404"/>
      <c r="IC28" s="404"/>
      <c r="ID28" s="404"/>
      <c r="IE28" s="404"/>
      <c r="IF28" s="404"/>
      <c r="IG28" s="404"/>
      <c r="IH28" s="404"/>
      <c r="II28" s="404"/>
      <c r="IJ28" s="404"/>
      <c r="IK28" s="404"/>
      <c r="IL28" s="404"/>
      <c r="IM28" s="404"/>
      <c r="IN28" s="404"/>
      <c r="IO28" s="404"/>
      <c r="IP28" s="404"/>
      <c r="IQ28" s="404"/>
      <c r="IR28" s="404"/>
      <c r="IS28" s="404"/>
      <c r="IT28" s="404"/>
      <c r="IU28" s="404"/>
      <c r="IV28" s="404"/>
    </row>
    <row r="29" spans="1:256" x14ac:dyDescent="0.35">
      <c r="A29" s="735">
        <v>20</v>
      </c>
      <c r="B29" s="602"/>
      <c r="C29" s="447"/>
      <c r="D29" s="1499" t="s">
        <v>1078</v>
      </c>
      <c r="E29" s="416"/>
      <c r="F29" s="416"/>
      <c r="G29" s="417"/>
      <c r="H29" s="946"/>
      <c r="I29" s="1275"/>
      <c r="J29" s="934"/>
      <c r="K29" s="934"/>
      <c r="L29" s="934"/>
      <c r="M29" s="1736">
        <v>629</v>
      </c>
      <c r="N29" s="959"/>
      <c r="O29" s="1732">
        <f t="shared" ref="O29:O30" si="4">SUM(I29:N29)</f>
        <v>629</v>
      </c>
      <c r="P29" s="726"/>
    </row>
    <row r="30" spans="1:256" s="721" customFormat="1" x14ac:dyDescent="0.35">
      <c r="A30" s="735">
        <v>21</v>
      </c>
      <c r="B30" s="602"/>
      <c r="C30" s="447"/>
      <c r="D30" s="641" t="s">
        <v>927</v>
      </c>
      <c r="E30" s="416"/>
      <c r="F30" s="416"/>
      <c r="G30" s="417"/>
      <c r="H30" s="946"/>
      <c r="I30" s="1275"/>
      <c r="J30" s="934"/>
      <c r="K30" s="1236">
        <f>SUM(K28:K29)</f>
        <v>170</v>
      </c>
      <c r="L30" s="1236"/>
      <c r="M30" s="1236">
        <f>SUM(M28:M29)</f>
        <v>76909</v>
      </c>
      <c r="N30" s="959"/>
      <c r="O30" s="730">
        <f t="shared" si="4"/>
        <v>77079</v>
      </c>
      <c r="P30" s="726"/>
      <c r="Q30" s="404"/>
      <c r="R30" s="404"/>
      <c r="S30" s="404"/>
      <c r="T30" s="404"/>
      <c r="U30" s="404"/>
      <c r="V30" s="404"/>
      <c r="W30" s="404"/>
      <c r="X30" s="404"/>
      <c r="Y30" s="404"/>
      <c r="Z30" s="404"/>
      <c r="AA30" s="404"/>
      <c r="AB30" s="404"/>
      <c r="AC30" s="404"/>
      <c r="AD30" s="404"/>
      <c r="AE30" s="404"/>
      <c r="AF30" s="404"/>
      <c r="AG30" s="404"/>
      <c r="AH30" s="404"/>
      <c r="AI30" s="404"/>
      <c r="AJ30" s="404"/>
      <c r="AK30" s="404"/>
      <c r="AL30" s="404"/>
      <c r="AM30" s="404"/>
      <c r="AN30" s="404"/>
      <c r="AO30" s="404"/>
      <c r="AP30" s="404"/>
      <c r="AQ30" s="404"/>
      <c r="AR30" s="404"/>
      <c r="AS30" s="404"/>
      <c r="AT30" s="404"/>
      <c r="AU30" s="404"/>
      <c r="AV30" s="404"/>
      <c r="AW30" s="404"/>
      <c r="AX30" s="404"/>
      <c r="AY30" s="404"/>
      <c r="AZ30" s="404"/>
      <c r="BA30" s="404"/>
      <c r="BB30" s="404"/>
      <c r="BC30" s="404"/>
      <c r="BD30" s="404"/>
      <c r="BE30" s="404"/>
      <c r="BF30" s="404"/>
      <c r="BG30" s="404"/>
      <c r="BH30" s="404"/>
      <c r="BI30" s="404"/>
      <c r="BJ30" s="404"/>
      <c r="BK30" s="404"/>
      <c r="BL30" s="404"/>
      <c r="BM30" s="404"/>
      <c r="BN30" s="404"/>
      <c r="BO30" s="404"/>
      <c r="BP30" s="404"/>
      <c r="BQ30" s="404"/>
      <c r="BR30" s="404"/>
      <c r="BS30" s="404"/>
      <c r="BT30" s="404"/>
      <c r="BU30" s="404"/>
      <c r="BV30" s="404"/>
      <c r="BW30" s="404"/>
      <c r="BX30" s="404"/>
      <c r="BY30" s="404"/>
      <c r="BZ30" s="404"/>
      <c r="CA30" s="404"/>
      <c r="CB30" s="404"/>
      <c r="CC30" s="404"/>
      <c r="CD30" s="404"/>
      <c r="CE30" s="404"/>
      <c r="CF30" s="404"/>
      <c r="CG30" s="404"/>
      <c r="CH30" s="404"/>
      <c r="CI30" s="404"/>
      <c r="CJ30" s="404"/>
      <c r="CK30" s="404"/>
      <c r="CL30" s="404"/>
      <c r="CM30" s="404"/>
      <c r="CN30" s="404"/>
      <c r="CO30" s="404"/>
      <c r="CP30" s="404"/>
      <c r="CQ30" s="404"/>
      <c r="CR30" s="404"/>
      <c r="CS30" s="404"/>
      <c r="CT30" s="404"/>
      <c r="CU30" s="404"/>
      <c r="CV30" s="404"/>
      <c r="CW30" s="404"/>
      <c r="CX30" s="404"/>
      <c r="CY30" s="404"/>
      <c r="CZ30" s="404"/>
      <c r="DA30" s="404"/>
      <c r="DB30" s="404"/>
      <c r="DC30" s="404"/>
      <c r="DD30" s="404"/>
      <c r="DE30" s="404"/>
      <c r="DF30" s="404"/>
      <c r="DG30" s="404"/>
      <c r="DH30" s="404"/>
      <c r="DI30" s="404"/>
      <c r="DJ30" s="404"/>
      <c r="DK30" s="404"/>
      <c r="DL30" s="404"/>
      <c r="DM30" s="404"/>
      <c r="DN30" s="404"/>
      <c r="DO30" s="404"/>
      <c r="DP30" s="404"/>
      <c r="DQ30" s="404"/>
      <c r="DR30" s="404"/>
      <c r="DS30" s="404"/>
      <c r="DT30" s="404"/>
      <c r="DU30" s="404"/>
      <c r="DV30" s="404"/>
      <c r="DW30" s="404"/>
      <c r="DX30" s="404"/>
      <c r="DY30" s="404"/>
      <c r="DZ30" s="404"/>
      <c r="EA30" s="404"/>
      <c r="EB30" s="404"/>
      <c r="EC30" s="404"/>
      <c r="ED30" s="404"/>
      <c r="EE30" s="404"/>
      <c r="EF30" s="404"/>
      <c r="EG30" s="404"/>
      <c r="EH30" s="404"/>
      <c r="EI30" s="404"/>
      <c r="EJ30" s="404"/>
      <c r="EK30" s="404"/>
      <c r="EL30" s="404"/>
      <c r="EM30" s="404"/>
      <c r="EN30" s="404"/>
      <c r="EO30" s="404"/>
      <c r="EP30" s="404"/>
      <c r="EQ30" s="404"/>
      <c r="ER30" s="404"/>
      <c r="ES30" s="404"/>
      <c r="ET30" s="404"/>
      <c r="EU30" s="404"/>
      <c r="EV30" s="404"/>
      <c r="EW30" s="404"/>
      <c r="EX30" s="404"/>
      <c r="EY30" s="404"/>
      <c r="EZ30" s="404"/>
      <c r="FA30" s="404"/>
      <c r="FB30" s="404"/>
      <c r="FC30" s="404"/>
      <c r="FD30" s="404"/>
      <c r="FE30" s="404"/>
      <c r="FF30" s="404"/>
      <c r="FG30" s="404"/>
      <c r="FH30" s="404"/>
      <c r="FI30" s="404"/>
      <c r="FJ30" s="404"/>
      <c r="FK30" s="404"/>
      <c r="FL30" s="404"/>
      <c r="FM30" s="404"/>
      <c r="FN30" s="404"/>
      <c r="FO30" s="404"/>
      <c r="FP30" s="404"/>
      <c r="FQ30" s="404"/>
      <c r="FR30" s="404"/>
      <c r="FS30" s="404"/>
      <c r="FT30" s="404"/>
      <c r="FU30" s="404"/>
      <c r="FV30" s="404"/>
      <c r="FW30" s="404"/>
      <c r="FX30" s="404"/>
      <c r="FY30" s="404"/>
      <c r="FZ30" s="404"/>
      <c r="GA30" s="404"/>
      <c r="GB30" s="404"/>
      <c r="GC30" s="404"/>
      <c r="GD30" s="404"/>
      <c r="GE30" s="404"/>
      <c r="GF30" s="404"/>
      <c r="GG30" s="404"/>
      <c r="GH30" s="404"/>
      <c r="GI30" s="404"/>
      <c r="GJ30" s="404"/>
      <c r="GK30" s="404"/>
      <c r="GL30" s="404"/>
      <c r="GM30" s="404"/>
      <c r="GN30" s="404"/>
      <c r="GO30" s="404"/>
      <c r="GP30" s="404"/>
      <c r="GQ30" s="404"/>
      <c r="GR30" s="404"/>
      <c r="GS30" s="404"/>
      <c r="GT30" s="404"/>
      <c r="GU30" s="404"/>
      <c r="GV30" s="404"/>
      <c r="GW30" s="404"/>
      <c r="GX30" s="404"/>
      <c r="GY30" s="404"/>
      <c r="GZ30" s="404"/>
      <c r="HA30" s="404"/>
      <c r="HB30" s="404"/>
      <c r="HC30" s="404"/>
      <c r="HD30" s="404"/>
      <c r="HE30" s="404"/>
      <c r="HF30" s="404"/>
      <c r="HG30" s="404"/>
      <c r="HH30" s="404"/>
      <c r="HI30" s="404"/>
      <c r="HJ30" s="404"/>
      <c r="HK30" s="404"/>
      <c r="HL30" s="404"/>
      <c r="HM30" s="404"/>
      <c r="HN30" s="404"/>
      <c r="HO30" s="404"/>
      <c r="HP30" s="404"/>
      <c r="HQ30" s="404"/>
      <c r="HR30" s="404"/>
      <c r="HS30" s="404"/>
      <c r="HT30" s="404"/>
      <c r="HU30" s="404"/>
      <c r="HV30" s="404"/>
      <c r="HW30" s="404"/>
      <c r="HX30" s="404"/>
      <c r="HY30" s="404"/>
      <c r="HZ30" s="404"/>
      <c r="IA30" s="404"/>
      <c r="IB30" s="404"/>
      <c r="IC30" s="404"/>
      <c r="ID30" s="404"/>
      <c r="IE30" s="404"/>
      <c r="IF30" s="404"/>
      <c r="IG30" s="404"/>
      <c r="IH30" s="404"/>
      <c r="II30" s="404"/>
      <c r="IJ30" s="404"/>
      <c r="IK30" s="404"/>
      <c r="IL30" s="404"/>
      <c r="IM30" s="404"/>
      <c r="IN30" s="404"/>
      <c r="IO30" s="404"/>
      <c r="IP30" s="404"/>
      <c r="IQ30" s="404"/>
      <c r="IR30" s="404"/>
      <c r="IS30" s="404"/>
      <c r="IT30" s="404"/>
      <c r="IU30" s="404"/>
      <c r="IV30" s="404"/>
    </row>
    <row r="31" spans="1:256" s="721" customFormat="1" ht="49.5" x14ac:dyDescent="0.35">
      <c r="A31" s="735">
        <v>22</v>
      </c>
      <c r="B31" s="729"/>
      <c r="C31" s="406">
        <v>6</v>
      </c>
      <c r="D31" s="926" t="s">
        <v>1079</v>
      </c>
      <c r="E31" s="416"/>
      <c r="F31" s="725"/>
      <c r="G31" s="417"/>
      <c r="H31" s="971" t="s">
        <v>24</v>
      </c>
      <c r="I31" s="944"/>
      <c r="J31" s="937"/>
      <c r="K31" s="937"/>
      <c r="L31" s="937"/>
      <c r="M31" s="937"/>
      <c r="N31" s="960"/>
      <c r="O31" s="930"/>
      <c r="P31" s="726"/>
      <c r="Q31" s="404"/>
      <c r="R31" s="404"/>
      <c r="S31" s="404"/>
      <c r="T31" s="404"/>
      <c r="U31" s="404"/>
      <c r="V31" s="404"/>
      <c r="W31" s="404"/>
      <c r="X31" s="404"/>
      <c r="Y31" s="404"/>
      <c r="Z31" s="404"/>
      <c r="AA31" s="404"/>
      <c r="AB31" s="404"/>
      <c r="AC31" s="404"/>
      <c r="AD31" s="404"/>
      <c r="AE31" s="404"/>
      <c r="AF31" s="404"/>
      <c r="AG31" s="404"/>
      <c r="AH31" s="404"/>
      <c r="AI31" s="404"/>
      <c r="AJ31" s="404"/>
      <c r="AK31" s="404"/>
      <c r="AL31" s="404"/>
      <c r="AM31" s="404"/>
      <c r="AN31" s="404"/>
      <c r="AO31" s="404"/>
      <c r="AP31" s="404"/>
      <c r="AQ31" s="404"/>
      <c r="AR31" s="404"/>
      <c r="AS31" s="404"/>
      <c r="AT31" s="404"/>
      <c r="AU31" s="404"/>
      <c r="AV31" s="404"/>
      <c r="AW31" s="404"/>
      <c r="AX31" s="404"/>
      <c r="AY31" s="404"/>
      <c r="AZ31" s="404"/>
      <c r="BA31" s="404"/>
      <c r="BB31" s="404"/>
      <c r="BC31" s="404"/>
      <c r="BD31" s="404"/>
      <c r="BE31" s="404"/>
      <c r="BF31" s="404"/>
      <c r="BG31" s="404"/>
      <c r="BH31" s="404"/>
      <c r="BI31" s="404"/>
      <c r="BJ31" s="404"/>
      <c r="BK31" s="404"/>
      <c r="BL31" s="404"/>
      <c r="BM31" s="404"/>
      <c r="BN31" s="404"/>
      <c r="BO31" s="404"/>
      <c r="BP31" s="404"/>
      <c r="BQ31" s="404"/>
      <c r="BR31" s="404"/>
      <c r="BS31" s="404"/>
      <c r="BT31" s="404"/>
      <c r="BU31" s="404"/>
      <c r="BV31" s="404"/>
      <c r="BW31" s="404"/>
      <c r="BX31" s="404"/>
      <c r="BY31" s="404"/>
      <c r="BZ31" s="404"/>
      <c r="CA31" s="404"/>
      <c r="CB31" s="404"/>
      <c r="CC31" s="404"/>
      <c r="CD31" s="404"/>
      <c r="CE31" s="404"/>
      <c r="CF31" s="404"/>
      <c r="CG31" s="404"/>
      <c r="CH31" s="404"/>
      <c r="CI31" s="404"/>
      <c r="CJ31" s="404"/>
      <c r="CK31" s="404"/>
      <c r="CL31" s="404"/>
      <c r="CM31" s="404"/>
      <c r="CN31" s="404"/>
      <c r="CO31" s="404"/>
      <c r="CP31" s="404"/>
      <c r="CQ31" s="404"/>
      <c r="CR31" s="404"/>
      <c r="CS31" s="404"/>
      <c r="CT31" s="404"/>
      <c r="CU31" s="404"/>
      <c r="CV31" s="404"/>
      <c r="CW31" s="404"/>
      <c r="CX31" s="404"/>
      <c r="CY31" s="404"/>
      <c r="CZ31" s="404"/>
      <c r="DA31" s="404"/>
      <c r="DB31" s="404"/>
      <c r="DC31" s="404"/>
      <c r="DD31" s="404"/>
      <c r="DE31" s="404"/>
      <c r="DF31" s="404"/>
      <c r="DG31" s="404"/>
      <c r="DH31" s="404"/>
      <c r="DI31" s="404"/>
      <c r="DJ31" s="404"/>
      <c r="DK31" s="404"/>
      <c r="DL31" s="404"/>
      <c r="DM31" s="404"/>
      <c r="DN31" s="404"/>
      <c r="DO31" s="404"/>
      <c r="DP31" s="404"/>
      <c r="DQ31" s="404"/>
      <c r="DR31" s="404"/>
      <c r="DS31" s="404"/>
      <c r="DT31" s="404"/>
      <c r="DU31" s="404"/>
      <c r="DV31" s="404"/>
      <c r="DW31" s="404"/>
      <c r="DX31" s="404"/>
      <c r="DY31" s="404"/>
      <c r="DZ31" s="404"/>
      <c r="EA31" s="404"/>
      <c r="EB31" s="404"/>
      <c r="EC31" s="404"/>
      <c r="ED31" s="404"/>
      <c r="EE31" s="404"/>
      <c r="EF31" s="404"/>
      <c r="EG31" s="404"/>
      <c r="EH31" s="404"/>
      <c r="EI31" s="404"/>
      <c r="EJ31" s="404"/>
      <c r="EK31" s="404"/>
      <c r="EL31" s="404"/>
      <c r="EM31" s="404"/>
      <c r="EN31" s="404"/>
      <c r="EO31" s="404"/>
      <c r="EP31" s="404"/>
      <c r="EQ31" s="404"/>
      <c r="ER31" s="404"/>
      <c r="ES31" s="404"/>
      <c r="ET31" s="404"/>
      <c r="EU31" s="404"/>
      <c r="EV31" s="404"/>
      <c r="EW31" s="404"/>
      <c r="EX31" s="404"/>
      <c r="EY31" s="404"/>
      <c r="EZ31" s="404"/>
      <c r="FA31" s="404"/>
      <c r="FB31" s="404"/>
      <c r="FC31" s="404"/>
      <c r="FD31" s="404"/>
      <c r="FE31" s="404"/>
      <c r="FF31" s="404"/>
      <c r="FG31" s="404"/>
      <c r="FH31" s="404"/>
      <c r="FI31" s="404"/>
      <c r="FJ31" s="404"/>
      <c r="FK31" s="404"/>
      <c r="FL31" s="404"/>
      <c r="FM31" s="404"/>
      <c r="FN31" s="404"/>
      <c r="FO31" s="404"/>
      <c r="FP31" s="404"/>
      <c r="FQ31" s="404"/>
      <c r="FR31" s="404"/>
      <c r="FS31" s="404"/>
      <c r="FT31" s="404"/>
      <c r="FU31" s="404"/>
      <c r="FV31" s="404"/>
      <c r="FW31" s="404"/>
      <c r="FX31" s="404"/>
      <c r="FY31" s="404"/>
      <c r="FZ31" s="404"/>
      <c r="GA31" s="404"/>
      <c r="GB31" s="404"/>
      <c r="GC31" s="404"/>
      <c r="GD31" s="404"/>
      <c r="GE31" s="404"/>
      <c r="GF31" s="404"/>
      <c r="GG31" s="404"/>
      <c r="GH31" s="404"/>
      <c r="GI31" s="404"/>
      <c r="GJ31" s="404"/>
      <c r="GK31" s="404"/>
      <c r="GL31" s="404"/>
      <c r="GM31" s="404"/>
      <c r="GN31" s="404"/>
      <c r="GO31" s="404"/>
      <c r="GP31" s="404"/>
      <c r="GQ31" s="404"/>
      <c r="GR31" s="404"/>
      <c r="GS31" s="404"/>
      <c r="GT31" s="404"/>
      <c r="GU31" s="404"/>
      <c r="GV31" s="404"/>
      <c r="GW31" s="404"/>
      <c r="GX31" s="404"/>
      <c r="GY31" s="404"/>
      <c r="GZ31" s="404"/>
      <c r="HA31" s="404"/>
      <c r="HB31" s="404"/>
      <c r="HC31" s="404"/>
      <c r="HD31" s="404"/>
      <c r="HE31" s="404"/>
      <c r="HF31" s="404"/>
      <c r="HG31" s="404"/>
      <c r="HH31" s="404"/>
      <c r="HI31" s="404"/>
      <c r="HJ31" s="404"/>
      <c r="HK31" s="404"/>
      <c r="HL31" s="404"/>
      <c r="HM31" s="404"/>
      <c r="HN31" s="404"/>
      <c r="HO31" s="404"/>
      <c r="HP31" s="404"/>
      <c r="HQ31" s="404"/>
      <c r="HR31" s="404"/>
      <c r="HS31" s="404"/>
      <c r="HT31" s="404"/>
      <c r="HU31" s="404"/>
      <c r="HV31" s="404"/>
      <c r="HW31" s="404"/>
      <c r="HX31" s="404"/>
      <c r="HY31" s="404"/>
      <c r="HZ31" s="404"/>
      <c r="IA31" s="404"/>
      <c r="IB31" s="404"/>
      <c r="IC31" s="404"/>
      <c r="ID31" s="404"/>
      <c r="IE31" s="404"/>
      <c r="IF31" s="404"/>
      <c r="IG31" s="404"/>
      <c r="IH31" s="404"/>
      <c r="II31" s="404"/>
      <c r="IJ31" s="404"/>
      <c r="IK31" s="404"/>
      <c r="IL31" s="404"/>
      <c r="IM31" s="404"/>
      <c r="IN31" s="404"/>
      <c r="IO31" s="404"/>
      <c r="IP31" s="404"/>
      <c r="IQ31" s="404"/>
      <c r="IR31" s="404"/>
      <c r="IS31" s="404"/>
      <c r="IT31" s="404"/>
      <c r="IU31" s="404"/>
      <c r="IV31" s="404"/>
    </row>
    <row r="32" spans="1:256" s="721" customFormat="1" x14ac:dyDescent="0.35">
      <c r="A32" s="735">
        <v>23</v>
      </c>
      <c r="B32" s="602"/>
      <c r="C32" s="447"/>
      <c r="D32" s="1735" t="s">
        <v>292</v>
      </c>
      <c r="E32" s="416">
        <f>F32+G32+O34+P32</f>
        <v>307836</v>
      </c>
      <c r="F32" s="725">
        <f>1024+40</f>
        <v>1064</v>
      </c>
      <c r="G32" s="417">
        <v>908</v>
      </c>
      <c r="H32" s="946"/>
      <c r="I32" s="944"/>
      <c r="J32" s="937"/>
      <c r="K32" s="937">
        <v>474</v>
      </c>
      <c r="L32" s="937"/>
      <c r="M32" s="937">
        <v>305390</v>
      </c>
      <c r="N32" s="960"/>
      <c r="O32" s="930">
        <f>SUM(I32:N32)</f>
        <v>305864</v>
      </c>
      <c r="P32" s="726"/>
      <c r="Q32" s="404"/>
      <c r="R32" s="404"/>
      <c r="S32" s="404"/>
      <c r="T32" s="404"/>
      <c r="U32" s="404"/>
      <c r="V32" s="404"/>
      <c r="W32" s="404"/>
      <c r="X32" s="404"/>
      <c r="Y32" s="404"/>
      <c r="Z32" s="404"/>
      <c r="AA32" s="404"/>
      <c r="AB32" s="404"/>
      <c r="AC32" s="404"/>
      <c r="AD32" s="404"/>
      <c r="AE32" s="404"/>
      <c r="AF32" s="404"/>
      <c r="AG32" s="404"/>
      <c r="AH32" s="404"/>
      <c r="AI32" s="404"/>
      <c r="AJ32" s="404"/>
      <c r="AK32" s="404"/>
      <c r="AL32" s="404"/>
      <c r="AM32" s="404"/>
      <c r="AN32" s="404"/>
      <c r="AO32" s="404"/>
      <c r="AP32" s="404"/>
      <c r="AQ32" s="404"/>
      <c r="AR32" s="404"/>
      <c r="AS32" s="404"/>
      <c r="AT32" s="404"/>
      <c r="AU32" s="404"/>
      <c r="AV32" s="404"/>
      <c r="AW32" s="404"/>
      <c r="AX32" s="404"/>
      <c r="AY32" s="404"/>
      <c r="AZ32" s="404"/>
      <c r="BA32" s="404"/>
      <c r="BB32" s="404"/>
      <c r="BC32" s="404"/>
      <c r="BD32" s="404"/>
      <c r="BE32" s="404"/>
      <c r="BF32" s="404"/>
      <c r="BG32" s="404"/>
      <c r="BH32" s="404"/>
      <c r="BI32" s="404"/>
      <c r="BJ32" s="404"/>
      <c r="BK32" s="404"/>
      <c r="BL32" s="404"/>
      <c r="BM32" s="404"/>
      <c r="BN32" s="404"/>
      <c r="BO32" s="404"/>
      <c r="BP32" s="404"/>
      <c r="BQ32" s="404"/>
      <c r="BR32" s="404"/>
      <c r="BS32" s="404"/>
      <c r="BT32" s="404"/>
      <c r="BU32" s="404"/>
      <c r="BV32" s="404"/>
      <c r="BW32" s="404"/>
      <c r="BX32" s="404"/>
      <c r="BY32" s="404"/>
      <c r="BZ32" s="404"/>
      <c r="CA32" s="404"/>
      <c r="CB32" s="404"/>
      <c r="CC32" s="404"/>
      <c r="CD32" s="404"/>
      <c r="CE32" s="404"/>
      <c r="CF32" s="404"/>
      <c r="CG32" s="404"/>
      <c r="CH32" s="404"/>
      <c r="CI32" s="404"/>
      <c r="CJ32" s="404"/>
      <c r="CK32" s="404"/>
      <c r="CL32" s="404"/>
      <c r="CM32" s="404"/>
      <c r="CN32" s="404"/>
      <c r="CO32" s="404"/>
      <c r="CP32" s="404"/>
      <c r="CQ32" s="404"/>
      <c r="CR32" s="404"/>
      <c r="CS32" s="404"/>
      <c r="CT32" s="404"/>
      <c r="CU32" s="404"/>
      <c r="CV32" s="404"/>
      <c r="CW32" s="404"/>
      <c r="CX32" s="404"/>
      <c r="CY32" s="404"/>
      <c r="CZ32" s="404"/>
      <c r="DA32" s="404"/>
      <c r="DB32" s="404"/>
      <c r="DC32" s="404"/>
      <c r="DD32" s="404"/>
      <c r="DE32" s="404"/>
      <c r="DF32" s="404"/>
      <c r="DG32" s="404"/>
      <c r="DH32" s="404"/>
      <c r="DI32" s="404"/>
      <c r="DJ32" s="404"/>
      <c r="DK32" s="404"/>
      <c r="DL32" s="404"/>
      <c r="DM32" s="404"/>
      <c r="DN32" s="404"/>
      <c r="DO32" s="404"/>
      <c r="DP32" s="404"/>
      <c r="DQ32" s="404"/>
      <c r="DR32" s="404"/>
      <c r="DS32" s="404"/>
      <c r="DT32" s="404"/>
      <c r="DU32" s="404"/>
      <c r="DV32" s="404"/>
      <c r="DW32" s="404"/>
      <c r="DX32" s="404"/>
      <c r="DY32" s="404"/>
      <c r="DZ32" s="404"/>
      <c r="EA32" s="404"/>
      <c r="EB32" s="404"/>
      <c r="EC32" s="404"/>
      <c r="ED32" s="404"/>
      <c r="EE32" s="404"/>
      <c r="EF32" s="404"/>
      <c r="EG32" s="404"/>
      <c r="EH32" s="404"/>
      <c r="EI32" s="404"/>
      <c r="EJ32" s="404"/>
      <c r="EK32" s="404"/>
      <c r="EL32" s="404"/>
      <c r="EM32" s="404"/>
      <c r="EN32" s="404"/>
      <c r="EO32" s="404"/>
      <c r="EP32" s="404"/>
      <c r="EQ32" s="404"/>
      <c r="ER32" s="404"/>
      <c r="ES32" s="404"/>
      <c r="ET32" s="404"/>
      <c r="EU32" s="404"/>
      <c r="EV32" s="404"/>
      <c r="EW32" s="404"/>
      <c r="EX32" s="404"/>
      <c r="EY32" s="404"/>
      <c r="EZ32" s="404"/>
      <c r="FA32" s="404"/>
      <c r="FB32" s="404"/>
      <c r="FC32" s="404"/>
      <c r="FD32" s="404"/>
      <c r="FE32" s="404"/>
      <c r="FF32" s="404"/>
      <c r="FG32" s="404"/>
      <c r="FH32" s="404"/>
      <c r="FI32" s="404"/>
      <c r="FJ32" s="404"/>
      <c r="FK32" s="404"/>
      <c r="FL32" s="404"/>
      <c r="FM32" s="404"/>
      <c r="FN32" s="404"/>
      <c r="FO32" s="404"/>
      <c r="FP32" s="404"/>
      <c r="FQ32" s="404"/>
      <c r="FR32" s="404"/>
      <c r="FS32" s="404"/>
      <c r="FT32" s="404"/>
      <c r="FU32" s="404"/>
      <c r="FV32" s="404"/>
      <c r="FW32" s="404"/>
      <c r="FX32" s="404"/>
      <c r="FY32" s="404"/>
      <c r="FZ32" s="404"/>
      <c r="GA32" s="404"/>
      <c r="GB32" s="404"/>
      <c r="GC32" s="404"/>
      <c r="GD32" s="404"/>
      <c r="GE32" s="404"/>
      <c r="GF32" s="404"/>
      <c r="GG32" s="404"/>
      <c r="GH32" s="404"/>
      <c r="GI32" s="404"/>
      <c r="GJ32" s="404"/>
      <c r="GK32" s="404"/>
      <c r="GL32" s="404"/>
      <c r="GM32" s="404"/>
      <c r="GN32" s="404"/>
      <c r="GO32" s="404"/>
      <c r="GP32" s="404"/>
      <c r="GQ32" s="404"/>
      <c r="GR32" s="404"/>
      <c r="GS32" s="404"/>
      <c r="GT32" s="404"/>
      <c r="GU32" s="404"/>
      <c r="GV32" s="404"/>
      <c r="GW32" s="404"/>
      <c r="GX32" s="404"/>
      <c r="GY32" s="404"/>
      <c r="GZ32" s="404"/>
      <c r="HA32" s="404"/>
      <c r="HB32" s="404"/>
      <c r="HC32" s="404"/>
      <c r="HD32" s="404"/>
      <c r="HE32" s="404"/>
      <c r="HF32" s="404"/>
      <c r="HG32" s="404"/>
      <c r="HH32" s="404"/>
      <c r="HI32" s="404"/>
      <c r="HJ32" s="404"/>
      <c r="HK32" s="404"/>
      <c r="HL32" s="404"/>
      <c r="HM32" s="404"/>
      <c r="HN32" s="404"/>
      <c r="HO32" s="404"/>
      <c r="HP32" s="404"/>
      <c r="HQ32" s="404"/>
      <c r="HR32" s="404"/>
      <c r="HS32" s="404"/>
      <c r="HT32" s="404"/>
      <c r="HU32" s="404"/>
      <c r="HV32" s="404"/>
      <c r="HW32" s="404"/>
      <c r="HX32" s="404"/>
      <c r="HY32" s="404"/>
      <c r="HZ32" s="404"/>
      <c r="IA32" s="404"/>
      <c r="IB32" s="404"/>
      <c r="IC32" s="404"/>
      <c r="ID32" s="404"/>
      <c r="IE32" s="404"/>
      <c r="IF32" s="404"/>
      <c r="IG32" s="404"/>
      <c r="IH32" s="404"/>
      <c r="II32" s="404"/>
      <c r="IJ32" s="404"/>
      <c r="IK32" s="404"/>
      <c r="IL32" s="404"/>
      <c r="IM32" s="404"/>
      <c r="IN32" s="404"/>
      <c r="IO32" s="404"/>
      <c r="IP32" s="404"/>
      <c r="IQ32" s="404"/>
      <c r="IR32" s="404"/>
      <c r="IS32" s="404"/>
      <c r="IT32" s="404"/>
      <c r="IU32" s="404"/>
      <c r="IV32" s="404"/>
    </row>
    <row r="33" spans="1:256" s="721" customFormat="1" x14ac:dyDescent="0.35">
      <c r="A33" s="735">
        <v>24</v>
      </c>
      <c r="B33" s="602"/>
      <c r="C33" s="447"/>
      <c r="D33" s="1499" t="s">
        <v>949</v>
      </c>
      <c r="E33" s="416"/>
      <c r="F33" s="725"/>
      <c r="G33" s="417"/>
      <c r="H33" s="946"/>
      <c r="I33" s="944"/>
      <c r="J33" s="937"/>
      <c r="K33" s="1731">
        <v>1207</v>
      </c>
      <c r="L33" s="1731"/>
      <c r="M33" s="1731">
        <v>-1207</v>
      </c>
      <c r="N33" s="960"/>
      <c r="O33" s="1732">
        <f t="shared" ref="O33:O34" si="5">SUM(I33:N33)</f>
        <v>0</v>
      </c>
      <c r="P33" s="726"/>
      <c r="Q33" s="404"/>
      <c r="R33" s="404"/>
      <c r="S33" s="404"/>
      <c r="T33" s="404"/>
      <c r="U33" s="404"/>
      <c r="V33" s="404"/>
      <c r="W33" s="404"/>
      <c r="X33" s="404"/>
      <c r="Y33" s="404"/>
      <c r="Z33" s="404"/>
      <c r="AA33" s="404"/>
      <c r="AB33" s="404"/>
      <c r="AC33" s="404"/>
      <c r="AD33" s="404"/>
      <c r="AE33" s="404"/>
      <c r="AF33" s="404"/>
      <c r="AG33" s="404"/>
      <c r="AH33" s="404"/>
      <c r="AI33" s="404"/>
      <c r="AJ33" s="404"/>
      <c r="AK33" s="404"/>
      <c r="AL33" s="404"/>
      <c r="AM33" s="404"/>
      <c r="AN33" s="404"/>
      <c r="AO33" s="404"/>
      <c r="AP33" s="404"/>
      <c r="AQ33" s="404"/>
      <c r="AR33" s="404"/>
      <c r="AS33" s="404"/>
      <c r="AT33" s="404"/>
      <c r="AU33" s="404"/>
      <c r="AV33" s="404"/>
      <c r="AW33" s="404"/>
      <c r="AX33" s="404"/>
      <c r="AY33" s="404"/>
      <c r="AZ33" s="404"/>
      <c r="BA33" s="404"/>
      <c r="BB33" s="404"/>
      <c r="BC33" s="404"/>
      <c r="BD33" s="404"/>
      <c r="BE33" s="404"/>
      <c r="BF33" s="404"/>
      <c r="BG33" s="404"/>
      <c r="BH33" s="404"/>
      <c r="BI33" s="404"/>
      <c r="BJ33" s="404"/>
      <c r="BK33" s="404"/>
      <c r="BL33" s="404"/>
      <c r="BM33" s="404"/>
      <c r="BN33" s="404"/>
      <c r="BO33" s="404"/>
      <c r="BP33" s="404"/>
      <c r="BQ33" s="404"/>
      <c r="BR33" s="404"/>
      <c r="BS33" s="404"/>
      <c r="BT33" s="404"/>
      <c r="BU33" s="404"/>
      <c r="BV33" s="404"/>
      <c r="BW33" s="404"/>
      <c r="BX33" s="404"/>
      <c r="BY33" s="404"/>
      <c r="BZ33" s="404"/>
      <c r="CA33" s="404"/>
      <c r="CB33" s="404"/>
      <c r="CC33" s="404"/>
      <c r="CD33" s="404"/>
      <c r="CE33" s="404"/>
      <c r="CF33" s="404"/>
      <c r="CG33" s="404"/>
      <c r="CH33" s="404"/>
      <c r="CI33" s="404"/>
      <c r="CJ33" s="404"/>
      <c r="CK33" s="404"/>
      <c r="CL33" s="404"/>
      <c r="CM33" s="404"/>
      <c r="CN33" s="404"/>
      <c r="CO33" s="404"/>
      <c r="CP33" s="404"/>
      <c r="CQ33" s="404"/>
      <c r="CR33" s="404"/>
      <c r="CS33" s="404"/>
      <c r="CT33" s="404"/>
      <c r="CU33" s="404"/>
      <c r="CV33" s="404"/>
      <c r="CW33" s="404"/>
      <c r="CX33" s="404"/>
      <c r="CY33" s="404"/>
      <c r="CZ33" s="404"/>
      <c r="DA33" s="404"/>
      <c r="DB33" s="404"/>
      <c r="DC33" s="404"/>
      <c r="DD33" s="404"/>
      <c r="DE33" s="404"/>
      <c r="DF33" s="404"/>
      <c r="DG33" s="404"/>
      <c r="DH33" s="404"/>
      <c r="DI33" s="404"/>
      <c r="DJ33" s="404"/>
      <c r="DK33" s="404"/>
      <c r="DL33" s="404"/>
      <c r="DM33" s="404"/>
      <c r="DN33" s="404"/>
      <c r="DO33" s="404"/>
      <c r="DP33" s="404"/>
      <c r="DQ33" s="404"/>
      <c r="DR33" s="404"/>
      <c r="DS33" s="404"/>
      <c r="DT33" s="404"/>
      <c r="DU33" s="404"/>
      <c r="DV33" s="404"/>
      <c r="DW33" s="404"/>
      <c r="DX33" s="404"/>
      <c r="DY33" s="404"/>
      <c r="DZ33" s="404"/>
      <c r="EA33" s="404"/>
      <c r="EB33" s="404"/>
      <c r="EC33" s="404"/>
      <c r="ED33" s="404"/>
      <c r="EE33" s="404"/>
      <c r="EF33" s="404"/>
      <c r="EG33" s="404"/>
      <c r="EH33" s="404"/>
      <c r="EI33" s="404"/>
      <c r="EJ33" s="404"/>
      <c r="EK33" s="404"/>
      <c r="EL33" s="404"/>
      <c r="EM33" s="404"/>
      <c r="EN33" s="404"/>
      <c r="EO33" s="404"/>
      <c r="EP33" s="404"/>
      <c r="EQ33" s="404"/>
      <c r="ER33" s="404"/>
      <c r="ES33" s="404"/>
      <c r="ET33" s="404"/>
      <c r="EU33" s="404"/>
      <c r="EV33" s="404"/>
      <c r="EW33" s="404"/>
      <c r="EX33" s="404"/>
      <c r="EY33" s="404"/>
      <c r="EZ33" s="404"/>
      <c r="FA33" s="404"/>
      <c r="FB33" s="404"/>
      <c r="FC33" s="404"/>
      <c r="FD33" s="404"/>
      <c r="FE33" s="404"/>
      <c r="FF33" s="404"/>
      <c r="FG33" s="404"/>
      <c r="FH33" s="404"/>
      <c r="FI33" s="404"/>
      <c r="FJ33" s="404"/>
      <c r="FK33" s="404"/>
      <c r="FL33" s="404"/>
      <c r="FM33" s="404"/>
      <c r="FN33" s="404"/>
      <c r="FO33" s="404"/>
      <c r="FP33" s="404"/>
      <c r="FQ33" s="404"/>
      <c r="FR33" s="404"/>
      <c r="FS33" s="404"/>
      <c r="FT33" s="404"/>
      <c r="FU33" s="404"/>
      <c r="FV33" s="404"/>
      <c r="FW33" s="404"/>
      <c r="FX33" s="404"/>
      <c r="FY33" s="404"/>
      <c r="FZ33" s="404"/>
      <c r="GA33" s="404"/>
      <c r="GB33" s="404"/>
      <c r="GC33" s="404"/>
      <c r="GD33" s="404"/>
      <c r="GE33" s="404"/>
      <c r="GF33" s="404"/>
      <c r="GG33" s="404"/>
      <c r="GH33" s="404"/>
      <c r="GI33" s="404"/>
      <c r="GJ33" s="404"/>
      <c r="GK33" s="404"/>
      <c r="GL33" s="404"/>
      <c r="GM33" s="404"/>
      <c r="GN33" s="404"/>
      <c r="GO33" s="404"/>
      <c r="GP33" s="404"/>
      <c r="GQ33" s="404"/>
      <c r="GR33" s="404"/>
      <c r="GS33" s="404"/>
      <c r="GT33" s="404"/>
      <c r="GU33" s="404"/>
      <c r="GV33" s="404"/>
      <c r="GW33" s="404"/>
      <c r="GX33" s="404"/>
      <c r="GY33" s="404"/>
      <c r="GZ33" s="404"/>
      <c r="HA33" s="404"/>
      <c r="HB33" s="404"/>
      <c r="HC33" s="404"/>
      <c r="HD33" s="404"/>
      <c r="HE33" s="404"/>
      <c r="HF33" s="404"/>
      <c r="HG33" s="404"/>
      <c r="HH33" s="404"/>
      <c r="HI33" s="404"/>
      <c r="HJ33" s="404"/>
      <c r="HK33" s="404"/>
      <c r="HL33" s="404"/>
      <c r="HM33" s="404"/>
      <c r="HN33" s="404"/>
      <c r="HO33" s="404"/>
      <c r="HP33" s="404"/>
      <c r="HQ33" s="404"/>
      <c r="HR33" s="404"/>
      <c r="HS33" s="404"/>
      <c r="HT33" s="404"/>
      <c r="HU33" s="404"/>
      <c r="HV33" s="404"/>
      <c r="HW33" s="404"/>
      <c r="HX33" s="404"/>
      <c r="HY33" s="404"/>
      <c r="HZ33" s="404"/>
      <c r="IA33" s="404"/>
      <c r="IB33" s="404"/>
      <c r="IC33" s="404"/>
      <c r="ID33" s="404"/>
      <c r="IE33" s="404"/>
      <c r="IF33" s="404"/>
      <c r="IG33" s="404"/>
      <c r="IH33" s="404"/>
      <c r="II33" s="404"/>
      <c r="IJ33" s="404"/>
      <c r="IK33" s="404"/>
      <c r="IL33" s="404"/>
      <c r="IM33" s="404"/>
      <c r="IN33" s="404"/>
      <c r="IO33" s="404"/>
      <c r="IP33" s="404"/>
      <c r="IQ33" s="404"/>
      <c r="IR33" s="404"/>
      <c r="IS33" s="404"/>
      <c r="IT33" s="404"/>
      <c r="IU33" s="404"/>
      <c r="IV33" s="404"/>
    </row>
    <row r="34" spans="1:256" s="721" customFormat="1" x14ac:dyDescent="0.35">
      <c r="A34" s="735">
        <v>25</v>
      </c>
      <c r="B34" s="602"/>
      <c r="C34" s="447"/>
      <c r="D34" s="641" t="s">
        <v>927</v>
      </c>
      <c r="E34" s="416"/>
      <c r="F34" s="725"/>
      <c r="G34" s="417"/>
      <c r="H34" s="946"/>
      <c r="I34" s="944"/>
      <c r="J34" s="937"/>
      <c r="K34" s="1734">
        <f>SUM(K32:K33)</f>
        <v>1681</v>
      </c>
      <c r="L34" s="1734"/>
      <c r="M34" s="1734">
        <f t="shared" ref="M34" si="6">SUM(M32:M33)</f>
        <v>304183</v>
      </c>
      <c r="N34" s="960"/>
      <c r="O34" s="730">
        <f t="shared" si="5"/>
        <v>305864</v>
      </c>
      <c r="P34" s="726"/>
      <c r="Q34" s="404"/>
      <c r="R34" s="404"/>
      <c r="S34" s="404"/>
      <c r="T34" s="404"/>
      <c r="U34" s="404"/>
      <c r="V34" s="404"/>
      <c r="W34" s="404"/>
      <c r="X34" s="404"/>
      <c r="Y34" s="404"/>
      <c r="Z34" s="404"/>
      <c r="AA34" s="404"/>
      <c r="AB34" s="404"/>
      <c r="AC34" s="404"/>
      <c r="AD34" s="404"/>
      <c r="AE34" s="404"/>
      <c r="AF34" s="404"/>
      <c r="AG34" s="404"/>
      <c r="AH34" s="404"/>
      <c r="AI34" s="404"/>
      <c r="AJ34" s="404"/>
      <c r="AK34" s="404"/>
      <c r="AL34" s="404"/>
      <c r="AM34" s="404"/>
      <c r="AN34" s="404"/>
      <c r="AO34" s="404"/>
      <c r="AP34" s="404"/>
      <c r="AQ34" s="404"/>
      <c r="AR34" s="404"/>
      <c r="AS34" s="404"/>
      <c r="AT34" s="404"/>
      <c r="AU34" s="404"/>
      <c r="AV34" s="404"/>
      <c r="AW34" s="404"/>
      <c r="AX34" s="404"/>
      <c r="AY34" s="404"/>
      <c r="AZ34" s="404"/>
      <c r="BA34" s="404"/>
      <c r="BB34" s="404"/>
      <c r="BC34" s="404"/>
      <c r="BD34" s="404"/>
      <c r="BE34" s="404"/>
      <c r="BF34" s="404"/>
      <c r="BG34" s="404"/>
      <c r="BH34" s="404"/>
      <c r="BI34" s="404"/>
      <c r="BJ34" s="404"/>
      <c r="BK34" s="404"/>
      <c r="BL34" s="404"/>
      <c r="BM34" s="404"/>
      <c r="BN34" s="404"/>
      <c r="BO34" s="404"/>
      <c r="BP34" s="404"/>
      <c r="BQ34" s="404"/>
      <c r="BR34" s="404"/>
      <c r="BS34" s="404"/>
      <c r="BT34" s="404"/>
      <c r="BU34" s="404"/>
      <c r="BV34" s="404"/>
      <c r="BW34" s="404"/>
      <c r="BX34" s="404"/>
      <c r="BY34" s="404"/>
      <c r="BZ34" s="404"/>
      <c r="CA34" s="404"/>
      <c r="CB34" s="404"/>
      <c r="CC34" s="404"/>
      <c r="CD34" s="404"/>
      <c r="CE34" s="404"/>
      <c r="CF34" s="404"/>
      <c r="CG34" s="404"/>
      <c r="CH34" s="404"/>
      <c r="CI34" s="404"/>
      <c r="CJ34" s="404"/>
      <c r="CK34" s="404"/>
      <c r="CL34" s="404"/>
      <c r="CM34" s="404"/>
      <c r="CN34" s="404"/>
      <c r="CO34" s="404"/>
      <c r="CP34" s="404"/>
      <c r="CQ34" s="404"/>
      <c r="CR34" s="404"/>
      <c r="CS34" s="404"/>
      <c r="CT34" s="404"/>
      <c r="CU34" s="404"/>
      <c r="CV34" s="404"/>
      <c r="CW34" s="404"/>
      <c r="CX34" s="404"/>
      <c r="CY34" s="404"/>
      <c r="CZ34" s="404"/>
      <c r="DA34" s="404"/>
      <c r="DB34" s="404"/>
      <c r="DC34" s="404"/>
      <c r="DD34" s="404"/>
      <c r="DE34" s="404"/>
      <c r="DF34" s="404"/>
      <c r="DG34" s="404"/>
      <c r="DH34" s="404"/>
      <c r="DI34" s="404"/>
      <c r="DJ34" s="404"/>
      <c r="DK34" s="404"/>
      <c r="DL34" s="404"/>
      <c r="DM34" s="404"/>
      <c r="DN34" s="404"/>
      <c r="DO34" s="404"/>
      <c r="DP34" s="404"/>
      <c r="DQ34" s="404"/>
      <c r="DR34" s="404"/>
      <c r="DS34" s="404"/>
      <c r="DT34" s="404"/>
      <c r="DU34" s="404"/>
      <c r="DV34" s="404"/>
      <c r="DW34" s="404"/>
      <c r="DX34" s="404"/>
      <c r="DY34" s="404"/>
      <c r="DZ34" s="404"/>
      <c r="EA34" s="404"/>
      <c r="EB34" s="404"/>
      <c r="EC34" s="404"/>
      <c r="ED34" s="404"/>
      <c r="EE34" s="404"/>
      <c r="EF34" s="404"/>
      <c r="EG34" s="404"/>
      <c r="EH34" s="404"/>
      <c r="EI34" s="404"/>
      <c r="EJ34" s="404"/>
      <c r="EK34" s="404"/>
      <c r="EL34" s="404"/>
      <c r="EM34" s="404"/>
      <c r="EN34" s="404"/>
      <c r="EO34" s="404"/>
      <c r="EP34" s="404"/>
      <c r="EQ34" s="404"/>
      <c r="ER34" s="404"/>
      <c r="ES34" s="404"/>
      <c r="ET34" s="404"/>
      <c r="EU34" s="404"/>
      <c r="EV34" s="404"/>
      <c r="EW34" s="404"/>
      <c r="EX34" s="404"/>
      <c r="EY34" s="404"/>
      <c r="EZ34" s="404"/>
      <c r="FA34" s="404"/>
      <c r="FB34" s="404"/>
      <c r="FC34" s="404"/>
      <c r="FD34" s="404"/>
      <c r="FE34" s="404"/>
      <c r="FF34" s="404"/>
      <c r="FG34" s="404"/>
      <c r="FH34" s="404"/>
      <c r="FI34" s="404"/>
      <c r="FJ34" s="404"/>
      <c r="FK34" s="404"/>
      <c r="FL34" s="404"/>
      <c r="FM34" s="404"/>
      <c r="FN34" s="404"/>
      <c r="FO34" s="404"/>
      <c r="FP34" s="404"/>
      <c r="FQ34" s="404"/>
      <c r="FR34" s="404"/>
      <c r="FS34" s="404"/>
      <c r="FT34" s="404"/>
      <c r="FU34" s="404"/>
      <c r="FV34" s="404"/>
      <c r="FW34" s="404"/>
      <c r="FX34" s="404"/>
      <c r="FY34" s="404"/>
      <c r="FZ34" s="404"/>
      <c r="GA34" s="404"/>
      <c r="GB34" s="404"/>
      <c r="GC34" s="404"/>
      <c r="GD34" s="404"/>
      <c r="GE34" s="404"/>
      <c r="GF34" s="404"/>
      <c r="GG34" s="404"/>
      <c r="GH34" s="404"/>
      <c r="GI34" s="404"/>
      <c r="GJ34" s="404"/>
      <c r="GK34" s="404"/>
      <c r="GL34" s="404"/>
      <c r="GM34" s="404"/>
      <c r="GN34" s="404"/>
      <c r="GO34" s="404"/>
      <c r="GP34" s="404"/>
      <c r="GQ34" s="404"/>
      <c r="GR34" s="404"/>
      <c r="GS34" s="404"/>
      <c r="GT34" s="404"/>
      <c r="GU34" s="404"/>
      <c r="GV34" s="404"/>
      <c r="GW34" s="404"/>
      <c r="GX34" s="404"/>
      <c r="GY34" s="404"/>
      <c r="GZ34" s="404"/>
      <c r="HA34" s="404"/>
      <c r="HB34" s="404"/>
      <c r="HC34" s="404"/>
      <c r="HD34" s="404"/>
      <c r="HE34" s="404"/>
      <c r="HF34" s="404"/>
      <c r="HG34" s="404"/>
      <c r="HH34" s="404"/>
      <c r="HI34" s="404"/>
      <c r="HJ34" s="404"/>
      <c r="HK34" s="404"/>
      <c r="HL34" s="404"/>
      <c r="HM34" s="404"/>
      <c r="HN34" s="404"/>
      <c r="HO34" s="404"/>
      <c r="HP34" s="404"/>
      <c r="HQ34" s="404"/>
      <c r="HR34" s="404"/>
      <c r="HS34" s="404"/>
      <c r="HT34" s="404"/>
      <c r="HU34" s="404"/>
      <c r="HV34" s="404"/>
      <c r="HW34" s="404"/>
      <c r="HX34" s="404"/>
      <c r="HY34" s="404"/>
      <c r="HZ34" s="404"/>
      <c r="IA34" s="404"/>
      <c r="IB34" s="404"/>
      <c r="IC34" s="404"/>
      <c r="ID34" s="404"/>
      <c r="IE34" s="404"/>
      <c r="IF34" s="404"/>
      <c r="IG34" s="404"/>
      <c r="IH34" s="404"/>
      <c r="II34" s="404"/>
      <c r="IJ34" s="404"/>
      <c r="IK34" s="404"/>
      <c r="IL34" s="404"/>
      <c r="IM34" s="404"/>
      <c r="IN34" s="404"/>
      <c r="IO34" s="404"/>
      <c r="IP34" s="404"/>
      <c r="IQ34" s="404"/>
      <c r="IR34" s="404"/>
      <c r="IS34" s="404"/>
      <c r="IT34" s="404"/>
      <c r="IU34" s="404"/>
      <c r="IV34" s="404"/>
    </row>
    <row r="35" spans="1:256" ht="33" x14ac:dyDescent="0.35">
      <c r="A35" s="735">
        <v>26</v>
      </c>
      <c r="B35" s="729"/>
      <c r="C35" s="406">
        <v>7</v>
      </c>
      <c r="D35" s="408" t="s">
        <v>510</v>
      </c>
      <c r="E35" s="416"/>
      <c r="F35" s="725"/>
      <c r="G35" s="417"/>
      <c r="H35" s="971" t="s">
        <v>24</v>
      </c>
      <c r="I35" s="944"/>
      <c r="J35" s="937"/>
      <c r="K35" s="937"/>
      <c r="L35" s="937"/>
      <c r="M35" s="937"/>
      <c r="N35" s="960"/>
      <c r="O35" s="930"/>
      <c r="P35" s="726"/>
    </row>
    <row r="36" spans="1:256" s="721" customFormat="1" x14ac:dyDescent="0.35">
      <c r="A36" s="735">
        <v>27</v>
      </c>
      <c r="B36" s="602"/>
      <c r="C36" s="447"/>
      <c r="D36" s="1735" t="s">
        <v>292</v>
      </c>
      <c r="E36" s="416">
        <f>F36+G36+O38+P36</f>
        <v>302981</v>
      </c>
      <c r="F36" s="725">
        <f>6401+100</f>
        <v>6501</v>
      </c>
      <c r="G36" s="417">
        <v>128</v>
      </c>
      <c r="H36" s="946"/>
      <c r="I36" s="944"/>
      <c r="J36" s="937"/>
      <c r="K36" s="937">
        <v>150</v>
      </c>
      <c r="L36" s="937"/>
      <c r="M36" s="937">
        <v>296202</v>
      </c>
      <c r="N36" s="960"/>
      <c r="O36" s="930">
        <f>SUM(I36:N36)</f>
        <v>296352</v>
      </c>
      <c r="P36" s="726"/>
      <c r="Q36" s="404"/>
      <c r="R36" s="404"/>
      <c r="S36" s="404"/>
      <c r="T36" s="404"/>
      <c r="U36" s="404"/>
      <c r="V36" s="404"/>
      <c r="W36" s="404"/>
      <c r="X36" s="404"/>
      <c r="Y36" s="404"/>
      <c r="Z36" s="404"/>
      <c r="AA36" s="404"/>
      <c r="AB36" s="404"/>
      <c r="AC36" s="404"/>
      <c r="AD36" s="404"/>
      <c r="AE36" s="404"/>
      <c r="AF36" s="404"/>
      <c r="AG36" s="404"/>
      <c r="AH36" s="404"/>
      <c r="AI36" s="404"/>
      <c r="AJ36" s="404"/>
      <c r="AK36" s="404"/>
      <c r="AL36" s="404"/>
      <c r="AM36" s="404"/>
      <c r="AN36" s="404"/>
      <c r="AO36" s="404"/>
      <c r="AP36" s="404"/>
      <c r="AQ36" s="404"/>
      <c r="AR36" s="404"/>
      <c r="AS36" s="404"/>
      <c r="AT36" s="404"/>
      <c r="AU36" s="404"/>
      <c r="AV36" s="404"/>
      <c r="AW36" s="404"/>
      <c r="AX36" s="404"/>
      <c r="AY36" s="404"/>
      <c r="AZ36" s="404"/>
      <c r="BA36" s="404"/>
      <c r="BB36" s="404"/>
      <c r="BC36" s="404"/>
      <c r="BD36" s="404"/>
      <c r="BE36" s="404"/>
      <c r="BF36" s="404"/>
      <c r="BG36" s="404"/>
      <c r="BH36" s="404"/>
      <c r="BI36" s="404"/>
      <c r="BJ36" s="404"/>
      <c r="BK36" s="404"/>
      <c r="BL36" s="404"/>
      <c r="BM36" s="404"/>
      <c r="BN36" s="404"/>
      <c r="BO36" s="404"/>
      <c r="BP36" s="404"/>
      <c r="BQ36" s="404"/>
      <c r="BR36" s="404"/>
      <c r="BS36" s="404"/>
      <c r="BT36" s="404"/>
      <c r="BU36" s="404"/>
      <c r="BV36" s="404"/>
      <c r="BW36" s="404"/>
      <c r="BX36" s="404"/>
      <c r="BY36" s="404"/>
      <c r="BZ36" s="404"/>
      <c r="CA36" s="404"/>
      <c r="CB36" s="404"/>
      <c r="CC36" s="404"/>
      <c r="CD36" s="404"/>
      <c r="CE36" s="404"/>
      <c r="CF36" s="404"/>
      <c r="CG36" s="404"/>
      <c r="CH36" s="404"/>
      <c r="CI36" s="404"/>
      <c r="CJ36" s="404"/>
      <c r="CK36" s="404"/>
      <c r="CL36" s="404"/>
      <c r="CM36" s="404"/>
      <c r="CN36" s="404"/>
      <c r="CO36" s="404"/>
      <c r="CP36" s="404"/>
      <c r="CQ36" s="404"/>
      <c r="CR36" s="404"/>
      <c r="CS36" s="404"/>
      <c r="CT36" s="404"/>
      <c r="CU36" s="404"/>
      <c r="CV36" s="404"/>
      <c r="CW36" s="404"/>
      <c r="CX36" s="404"/>
      <c r="CY36" s="404"/>
      <c r="CZ36" s="404"/>
      <c r="DA36" s="404"/>
      <c r="DB36" s="404"/>
      <c r="DC36" s="404"/>
      <c r="DD36" s="404"/>
      <c r="DE36" s="404"/>
      <c r="DF36" s="404"/>
      <c r="DG36" s="404"/>
      <c r="DH36" s="404"/>
      <c r="DI36" s="404"/>
      <c r="DJ36" s="404"/>
      <c r="DK36" s="404"/>
      <c r="DL36" s="404"/>
      <c r="DM36" s="404"/>
      <c r="DN36" s="404"/>
      <c r="DO36" s="404"/>
      <c r="DP36" s="404"/>
      <c r="DQ36" s="404"/>
      <c r="DR36" s="404"/>
      <c r="DS36" s="404"/>
      <c r="DT36" s="404"/>
      <c r="DU36" s="404"/>
      <c r="DV36" s="404"/>
      <c r="DW36" s="404"/>
      <c r="DX36" s="404"/>
      <c r="DY36" s="404"/>
      <c r="DZ36" s="404"/>
      <c r="EA36" s="404"/>
      <c r="EB36" s="404"/>
      <c r="EC36" s="404"/>
      <c r="ED36" s="404"/>
      <c r="EE36" s="404"/>
      <c r="EF36" s="404"/>
      <c r="EG36" s="404"/>
      <c r="EH36" s="404"/>
      <c r="EI36" s="404"/>
      <c r="EJ36" s="404"/>
      <c r="EK36" s="404"/>
      <c r="EL36" s="404"/>
      <c r="EM36" s="404"/>
      <c r="EN36" s="404"/>
      <c r="EO36" s="404"/>
      <c r="EP36" s="404"/>
      <c r="EQ36" s="404"/>
      <c r="ER36" s="404"/>
      <c r="ES36" s="404"/>
      <c r="ET36" s="404"/>
      <c r="EU36" s="404"/>
      <c r="EV36" s="404"/>
      <c r="EW36" s="404"/>
      <c r="EX36" s="404"/>
      <c r="EY36" s="404"/>
      <c r="EZ36" s="404"/>
      <c r="FA36" s="404"/>
      <c r="FB36" s="404"/>
      <c r="FC36" s="404"/>
      <c r="FD36" s="404"/>
      <c r="FE36" s="404"/>
      <c r="FF36" s="404"/>
      <c r="FG36" s="404"/>
      <c r="FH36" s="404"/>
      <c r="FI36" s="404"/>
      <c r="FJ36" s="404"/>
      <c r="FK36" s="404"/>
      <c r="FL36" s="404"/>
      <c r="FM36" s="404"/>
      <c r="FN36" s="404"/>
      <c r="FO36" s="404"/>
      <c r="FP36" s="404"/>
      <c r="FQ36" s="404"/>
      <c r="FR36" s="404"/>
      <c r="FS36" s="404"/>
      <c r="FT36" s="404"/>
      <c r="FU36" s="404"/>
      <c r="FV36" s="404"/>
      <c r="FW36" s="404"/>
      <c r="FX36" s="404"/>
      <c r="FY36" s="404"/>
      <c r="FZ36" s="404"/>
      <c r="GA36" s="404"/>
      <c r="GB36" s="404"/>
      <c r="GC36" s="404"/>
      <c r="GD36" s="404"/>
      <c r="GE36" s="404"/>
      <c r="GF36" s="404"/>
      <c r="GG36" s="404"/>
      <c r="GH36" s="404"/>
      <c r="GI36" s="404"/>
      <c r="GJ36" s="404"/>
      <c r="GK36" s="404"/>
      <c r="GL36" s="404"/>
      <c r="GM36" s="404"/>
      <c r="GN36" s="404"/>
      <c r="GO36" s="404"/>
      <c r="GP36" s="404"/>
      <c r="GQ36" s="404"/>
      <c r="GR36" s="404"/>
      <c r="GS36" s="404"/>
      <c r="GT36" s="404"/>
      <c r="GU36" s="404"/>
      <c r="GV36" s="404"/>
      <c r="GW36" s="404"/>
      <c r="GX36" s="404"/>
      <c r="GY36" s="404"/>
      <c r="GZ36" s="404"/>
      <c r="HA36" s="404"/>
      <c r="HB36" s="404"/>
      <c r="HC36" s="404"/>
      <c r="HD36" s="404"/>
      <c r="HE36" s="404"/>
      <c r="HF36" s="404"/>
      <c r="HG36" s="404"/>
      <c r="HH36" s="404"/>
      <c r="HI36" s="404"/>
      <c r="HJ36" s="404"/>
      <c r="HK36" s="404"/>
      <c r="HL36" s="404"/>
      <c r="HM36" s="404"/>
      <c r="HN36" s="404"/>
      <c r="HO36" s="404"/>
      <c r="HP36" s="404"/>
      <c r="HQ36" s="404"/>
      <c r="HR36" s="404"/>
      <c r="HS36" s="404"/>
      <c r="HT36" s="404"/>
      <c r="HU36" s="404"/>
      <c r="HV36" s="404"/>
      <c r="HW36" s="404"/>
      <c r="HX36" s="404"/>
      <c r="HY36" s="404"/>
      <c r="HZ36" s="404"/>
      <c r="IA36" s="404"/>
      <c r="IB36" s="404"/>
      <c r="IC36" s="404"/>
      <c r="ID36" s="404"/>
      <c r="IE36" s="404"/>
      <c r="IF36" s="404"/>
      <c r="IG36" s="404"/>
      <c r="IH36" s="404"/>
      <c r="II36" s="404"/>
      <c r="IJ36" s="404"/>
      <c r="IK36" s="404"/>
      <c r="IL36" s="404"/>
      <c r="IM36" s="404"/>
      <c r="IN36" s="404"/>
      <c r="IO36" s="404"/>
      <c r="IP36" s="404"/>
      <c r="IQ36" s="404"/>
      <c r="IR36" s="404"/>
      <c r="IS36" s="404"/>
      <c r="IT36" s="404"/>
      <c r="IU36" s="404"/>
      <c r="IV36" s="404"/>
    </row>
    <row r="37" spans="1:256" x14ac:dyDescent="0.35">
      <c r="A37" s="735">
        <v>28</v>
      </c>
      <c r="B37" s="602"/>
      <c r="C37" s="447"/>
      <c r="D37" s="1499" t="s">
        <v>929</v>
      </c>
      <c r="E37" s="416"/>
      <c r="F37" s="725"/>
      <c r="G37" s="417"/>
      <c r="H37" s="946"/>
      <c r="I37" s="944"/>
      <c r="J37" s="937"/>
      <c r="K37" s="937"/>
      <c r="L37" s="937"/>
      <c r="M37" s="937"/>
      <c r="N37" s="960"/>
      <c r="O37" s="1732">
        <f t="shared" ref="O37:O38" si="7">SUM(I37:N37)</f>
        <v>0</v>
      </c>
      <c r="P37" s="726"/>
    </row>
    <row r="38" spans="1:256" s="721" customFormat="1" x14ac:dyDescent="0.35">
      <c r="A38" s="735">
        <v>29</v>
      </c>
      <c r="B38" s="602"/>
      <c r="C38" s="447"/>
      <c r="D38" s="641" t="s">
        <v>927</v>
      </c>
      <c r="E38" s="416"/>
      <c r="F38" s="725"/>
      <c r="G38" s="417"/>
      <c r="H38" s="946"/>
      <c r="I38" s="944"/>
      <c r="J38" s="937"/>
      <c r="K38" s="1734">
        <f>SUM(K36:K37)</f>
        <v>150</v>
      </c>
      <c r="L38" s="1734"/>
      <c r="M38" s="1734">
        <f t="shared" ref="M38" si="8">SUM(M36:M37)</f>
        <v>296202</v>
      </c>
      <c r="N38" s="960"/>
      <c r="O38" s="730">
        <f t="shared" si="7"/>
        <v>296352</v>
      </c>
      <c r="P38" s="726"/>
      <c r="Q38" s="404"/>
      <c r="R38" s="404"/>
      <c r="S38" s="404"/>
      <c r="T38" s="404"/>
      <c r="U38" s="404"/>
      <c r="V38" s="404"/>
      <c r="W38" s="404"/>
      <c r="X38" s="404"/>
      <c r="Y38" s="404"/>
      <c r="Z38" s="404"/>
      <c r="AA38" s="404"/>
      <c r="AB38" s="404"/>
      <c r="AC38" s="404"/>
      <c r="AD38" s="404"/>
      <c r="AE38" s="404"/>
      <c r="AF38" s="404"/>
      <c r="AG38" s="404"/>
      <c r="AH38" s="404"/>
      <c r="AI38" s="404"/>
      <c r="AJ38" s="404"/>
      <c r="AK38" s="404"/>
      <c r="AL38" s="404"/>
      <c r="AM38" s="404"/>
      <c r="AN38" s="404"/>
      <c r="AO38" s="404"/>
      <c r="AP38" s="404"/>
      <c r="AQ38" s="404"/>
      <c r="AR38" s="404"/>
      <c r="AS38" s="404"/>
      <c r="AT38" s="404"/>
      <c r="AU38" s="404"/>
      <c r="AV38" s="404"/>
      <c r="AW38" s="404"/>
      <c r="AX38" s="404"/>
      <c r="AY38" s="404"/>
      <c r="AZ38" s="404"/>
      <c r="BA38" s="404"/>
      <c r="BB38" s="404"/>
      <c r="BC38" s="404"/>
      <c r="BD38" s="404"/>
      <c r="BE38" s="404"/>
      <c r="BF38" s="404"/>
      <c r="BG38" s="404"/>
      <c r="BH38" s="404"/>
      <c r="BI38" s="404"/>
      <c r="BJ38" s="404"/>
      <c r="BK38" s="404"/>
      <c r="BL38" s="404"/>
      <c r="BM38" s="404"/>
      <c r="BN38" s="404"/>
      <c r="BO38" s="404"/>
      <c r="BP38" s="404"/>
      <c r="BQ38" s="404"/>
      <c r="BR38" s="404"/>
      <c r="BS38" s="404"/>
      <c r="BT38" s="404"/>
      <c r="BU38" s="404"/>
      <c r="BV38" s="404"/>
      <c r="BW38" s="404"/>
      <c r="BX38" s="404"/>
      <c r="BY38" s="404"/>
      <c r="BZ38" s="404"/>
      <c r="CA38" s="404"/>
      <c r="CB38" s="404"/>
      <c r="CC38" s="404"/>
      <c r="CD38" s="404"/>
      <c r="CE38" s="404"/>
      <c r="CF38" s="404"/>
      <c r="CG38" s="404"/>
      <c r="CH38" s="404"/>
      <c r="CI38" s="404"/>
      <c r="CJ38" s="404"/>
      <c r="CK38" s="404"/>
      <c r="CL38" s="404"/>
      <c r="CM38" s="404"/>
      <c r="CN38" s="404"/>
      <c r="CO38" s="404"/>
      <c r="CP38" s="404"/>
      <c r="CQ38" s="404"/>
      <c r="CR38" s="404"/>
      <c r="CS38" s="404"/>
      <c r="CT38" s="404"/>
      <c r="CU38" s="404"/>
      <c r="CV38" s="404"/>
      <c r="CW38" s="404"/>
      <c r="CX38" s="404"/>
      <c r="CY38" s="404"/>
      <c r="CZ38" s="404"/>
      <c r="DA38" s="404"/>
      <c r="DB38" s="404"/>
      <c r="DC38" s="404"/>
      <c r="DD38" s="404"/>
      <c r="DE38" s="404"/>
      <c r="DF38" s="404"/>
      <c r="DG38" s="404"/>
      <c r="DH38" s="404"/>
      <c r="DI38" s="404"/>
      <c r="DJ38" s="404"/>
      <c r="DK38" s="404"/>
      <c r="DL38" s="404"/>
      <c r="DM38" s="404"/>
      <c r="DN38" s="404"/>
      <c r="DO38" s="404"/>
      <c r="DP38" s="404"/>
      <c r="DQ38" s="404"/>
      <c r="DR38" s="404"/>
      <c r="DS38" s="404"/>
      <c r="DT38" s="404"/>
      <c r="DU38" s="404"/>
      <c r="DV38" s="404"/>
      <c r="DW38" s="404"/>
      <c r="DX38" s="404"/>
      <c r="DY38" s="404"/>
      <c r="DZ38" s="404"/>
      <c r="EA38" s="404"/>
      <c r="EB38" s="404"/>
      <c r="EC38" s="404"/>
      <c r="ED38" s="404"/>
      <c r="EE38" s="404"/>
      <c r="EF38" s="404"/>
      <c r="EG38" s="404"/>
      <c r="EH38" s="404"/>
      <c r="EI38" s="404"/>
      <c r="EJ38" s="404"/>
      <c r="EK38" s="404"/>
      <c r="EL38" s="404"/>
      <c r="EM38" s="404"/>
      <c r="EN38" s="404"/>
      <c r="EO38" s="404"/>
      <c r="EP38" s="404"/>
      <c r="EQ38" s="404"/>
      <c r="ER38" s="404"/>
      <c r="ES38" s="404"/>
      <c r="ET38" s="404"/>
      <c r="EU38" s="404"/>
      <c r="EV38" s="404"/>
      <c r="EW38" s="404"/>
      <c r="EX38" s="404"/>
      <c r="EY38" s="404"/>
      <c r="EZ38" s="404"/>
      <c r="FA38" s="404"/>
      <c r="FB38" s="404"/>
      <c r="FC38" s="404"/>
      <c r="FD38" s="404"/>
      <c r="FE38" s="404"/>
      <c r="FF38" s="404"/>
      <c r="FG38" s="404"/>
      <c r="FH38" s="404"/>
      <c r="FI38" s="404"/>
      <c r="FJ38" s="404"/>
      <c r="FK38" s="404"/>
      <c r="FL38" s="404"/>
      <c r="FM38" s="404"/>
      <c r="FN38" s="404"/>
      <c r="FO38" s="404"/>
      <c r="FP38" s="404"/>
      <c r="FQ38" s="404"/>
      <c r="FR38" s="404"/>
      <c r="FS38" s="404"/>
      <c r="FT38" s="404"/>
      <c r="FU38" s="404"/>
      <c r="FV38" s="404"/>
      <c r="FW38" s="404"/>
      <c r="FX38" s="404"/>
      <c r="FY38" s="404"/>
      <c r="FZ38" s="404"/>
      <c r="GA38" s="404"/>
      <c r="GB38" s="404"/>
      <c r="GC38" s="404"/>
      <c r="GD38" s="404"/>
      <c r="GE38" s="404"/>
      <c r="GF38" s="404"/>
      <c r="GG38" s="404"/>
      <c r="GH38" s="404"/>
      <c r="GI38" s="404"/>
      <c r="GJ38" s="404"/>
      <c r="GK38" s="404"/>
      <c r="GL38" s="404"/>
      <c r="GM38" s="404"/>
      <c r="GN38" s="404"/>
      <c r="GO38" s="404"/>
      <c r="GP38" s="404"/>
      <c r="GQ38" s="404"/>
      <c r="GR38" s="404"/>
      <c r="GS38" s="404"/>
      <c r="GT38" s="404"/>
      <c r="GU38" s="404"/>
      <c r="GV38" s="404"/>
      <c r="GW38" s="404"/>
      <c r="GX38" s="404"/>
      <c r="GY38" s="404"/>
      <c r="GZ38" s="404"/>
      <c r="HA38" s="404"/>
      <c r="HB38" s="404"/>
      <c r="HC38" s="404"/>
      <c r="HD38" s="404"/>
      <c r="HE38" s="404"/>
      <c r="HF38" s="404"/>
      <c r="HG38" s="404"/>
      <c r="HH38" s="404"/>
      <c r="HI38" s="404"/>
      <c r="HJ38" s="404"/>
      <c r="HK38" s="404"/>
      <c r="HL38" s="404"/>
      <c r="HM38" s="404"/>
      <c r="HN38" s="404"/>
      <c r="HO38" s="404"/>
      <c r="HP38" s="404"/>
      <c r="HQ38" s="404"/>
      <c r="HR38" s="404"/>
      <c r="HS38" s="404"/>
      <c r="HT38" s="404"/>
      <c r="HU38" s="404"/>
      <c r="HV38" s="404"/>
      <c r="HW38" s="404"/>
      <c r="HX38" s="404"/>
      <c r="HY38" s="404"/>
      <c r="HZ38" s="404"/>
      <c r="IA38" s="404"/>
      <c r="IB38" s="404"/>
      <c r="IC38" s="404"/>
      <c r="ID38" s="404"/>
      <c r="IE38" s="404"/>
      <c r="IF38" s="404"/>
      <c r="IG38" s="404"/>
      <c r="IH38" s="404"/>
      <c r="II38" s="404"/>
      <c r="IJ38" s="404"/>
      <c r="IK38" s="404"/>
      <c r="IL38" s="404"/>
      <c r="IM38" s="404"/>
      <c r="IN38" s="404"/>
      <c r="IO38" s="404"/>
      <c r="IP38" s="404"/>
      <c r="IQ38" s="404"/>
      <c r="IR38" s="404"/>
      <c r="IS38" s="404"/>
      <c r="IT38" s="404"/>
      <c r="IU38" s="404"/>
      <c r="IV38" s="404"/>
    </row>
    <row r="39" spans="1:256" ht="33" x14ac:dyDescent="0.35">
      <c r="A39" s="735">
        <v>30</v>
      </c>
      <c r="B39" s="602"/>
      <c r="C39" s="406">
        <v>8</v>
      </c>
      <c r="D39" s="408" t="s">
        <v>513</v>
      </c>
      <c r="E39" s="416"/>
      <c r="F39" s="725"/>
      <c r="G39" s="417"/>
      <c r="H39" s="946" t="s">
        <v>24</v>
      </c>
      <c r="I39" s="944"/>
      <c r="J39" s="937"/>
      <c r="K39" s="937"/>
      <c r="L39" s="937"/>
      <c r="M39" s="937"/>
      <c r="N39" s="960"/>
      <c r="O39" s="930"/>
      <c r="P39" s="726"/>
    </row>
    <row r="40" spans="1:256" s="721" customFormat="1" x14ac:dyDescent="0.35">
      <c r="A40" s="735">
        <v>31</v>
      </c>
      <c r="B40" s="729"/>
      <c r="C40" s="406"/>
      <c r="D40" s="1735" t="s">
        <v>292</v>
      </c>
      <c r="E40" s="416">
        <f>F40+G40+O42+P40</f>
        <v>3597000</v>
      </c>
      <c r="F40" s="725">
        <f>450951+1231269</f>
        <v>1682220</v>
      </c>
      <c r="G40" s="417">
        <v>1173643</v>
      </c>
      <c r="H40" s="946"/>
      <c r="I40" s="944"/>
      <c r="J40" s="937"/>
      <c r="K40" s="937">
        <v>712</v>
      </c>
      <c r="L40" s="937"/>
      <c r="M40" s="937">
        <v>740425</v>
      </c>
      <c r="N40" s="960"/>
      <c r="O40" s="930">
        <f>SUM(I40:N40)</f>
        <v>741137</v>
      </c>
      <c r="P40" s="726"/>
      <c r="Q40" s="404"/>
      <c r="R40" s="404"/>
      <c r="S40" s="404"/>
      <c r="T40" s="404"/>
      <c r="U40" s="404"/>
      <c r="V40" s="404"/>
      <c r="W40" s="404"/>
      <c r="X40" s="404"/>
      <c r="Y40" s="404"/>
      <c r="Z40" s="404"/>
      <c r="AA40" s="404"/>
      <c r="AB40" s="404"/>
      <c r="AC40" s="404"/>
      <c r="AD40" s="404"/>
      <c r="AE40" s="404"/>
      <c r="AF40" s="404"/>
      <c r="AG40" s="404"/>
      <c r="AH40" s="404"/>
      <c r="AI40" s="404"/>
      <c r="AJ40" s="404"/>
      <c r="AK40" s="404"/>
      <c r="AL40" s="404"/>
      <c r="AM40" s="404"/>
      <c r="AN40" s="404"/>
      <c r="AO40" s="404"/>
      <c r="AP40" s="404"/>
      <c r="AQ40" s="404"/>
      <c r="AR40" s="404"/>
      <c r="AS40" s="404"/>
      <c r="AT40" s="404"/>
      <c r="AU40" s="404"/>
      <c r="AV40" s="404"/>
      <c r="AW40" s="404"/>
      <c r="AX40" s="404"/>
      <c r="AY40" s="404"/>
      <c r="AZ40" s="404"/>
      <c r="BA40" s="404"/>
      <c r="BB40" s="404"/>
      <c r="BC40" s="404"/>
      <c r="BD40" s="404"/>
      <c r="BE40" s="404"/>
      <c r="BF40" s="404"/>
      <c r="BG40" s="404"/>
      <c r="BH40" s="404"/>
      <c r="BI40" s="404"/>
      <c r="BJ40" s="404"/>
      <c r="BK40" s="404"/>
      <c r="BL40" s="404"/>
      <c r="BM40" s="404"/>
      <c r="BN40" s="404"/>
      <c r="BO40" s="404"/>
      <c r="BP40" s="404"/>
      <c r="BQ40" s="404"/>
      <c r="BR40" s="404"/>
      <c r="BS40" s="404"/>
      <c r="BT40" s="404"/>
      <c r="BU40" s="404"/>
      <c r="BV40" s="404"/>
      <c r="BW40" s="404"/>
      <c r="BX40" s="404"/>
      <c r="BY40" s="404"/>
      <c r="BZ40" s="404"/>
      <c r="CA40" s="404"/>
      <c r="CB40" s="404"/>
      <c r="CC40" s="404"/>
      <c r="CD40" s="404"/>
      <c r="CE40" s="404"/>
      <c r="CF40" s="404"/>
      <c r="CG40" s="404"/>
      <c r="CH40" s="404"/>
      <c r="CI40" s="404"/>
      <c r="CJ40" s="404"/>
      <c r="CK40" s="404"/>
      <c r="CL40" s="404"/>
      <c r="CM40" s="404"/>
      <c r="CN40" s="404"/>
      <c r="CO40" s="404"/>
      <c r="CP40" s="404"/>
      <c r="CQ40" s="404"/>
      <c r="CR40" s="404"/>
      <c r="CS40" s="404"/>
      <c r="CT40" s="404"/>
      <c r="CU40" s="404"/>
      <c r="CV40" s="404"/>
      <c r="CW40" s="404"/>
      <c r="CX40" s="404"/>
      <c r="CY40" s="404"/>
      <c r="CZ40" s="404"/>
      <c r="DA40" s="404"/>
      <c r="DB40" s="404"/>
      <c r="DC40" s="404"/>
      <c r="DD40" s="404"/>
      <c r="DE40" s="404"/>
      <c r="DF40" s="404"/>
      <c r="DG40" s="404"/>
      <c r="DH40" s="404"/>
      <c r="DI40" s="404"/>
      <c r="DJ40" s="404"/>
      <c r="DK40" s="404"/>
      <c r="DL40" s="404"/>
      <c r="DM40" s="404"/>
      <c r="DN40" s="404"/>
      <c r="DO40" s="404"/>
      <c r="DP40" s="404"/>
      <c r="DQ40" s="404"/>
      <c r="DR40" s="404"/>
      <c r="DS40" s="404"/>
      <c r="DT40" s="404"/>
      <c r="DU40" s="404"/>
      <c r="DV40" s="404"/>
      <c r="DW40" s="404"/>
      <c r="DX40" s="404"/>
      <c r="DY40" s="404"/>
      <c r="DZ40" s="404"/>
      <c r="EA40" s="404"/>
      <c r="EB40" s="404"/>
      <c r="EC40" s="404"/>
      <c r="ED40" s="404"/>
      <c r="EE40" s="404"/>
      <c r="EF40" s="404"/>
      <c r="EG40" s="404"/>
      <c r="EH40" s="404"/>
      <c r="EI40" s="404"/>
      <c r="EJ40" s="404"/>
      <c r="EK40" s="404"/>
      <c r="EL40" s="404"/>
      <c r="EM40" s="404"/>
      <c r="EN40" s="404"/>
      <c r="EO40" s="404"/>
      <c r="EP40" s="404"/>
      <c r="EQ40" s="404"/>
      <c r="ER40" s="404"/>
      <c r="ES40" s="404"/>
      <c r="ET40" s="404"/>
      <c r="EU40" s="404"/>
      <c r="EV40" s="404"/>
      <c r="EW40" s="404"/>
      <c r="EX40" s="404"/>
      <c r="EY40" s="404"/>
      <c r="EZ40" s="404"/>
      <c r="FA40" s="404"/>
      <c r="FB40" s="404"/>
      <c r="FC40" s="404"/>
      <c r="FD40" s="404"/>
      <c r="FE40" s="404"/>
      <c r="FF40" s="404"/>
      <c r="FG40" s="404"/>
      <c r="FH40" s="404"/>
      <c r="FI40" s="404"/>
      <c r="FJ40" s="404"/>
      <c r="FK40" s="404"/>
      <c r="FL40" s="404"/>
      <c r="FM40" s="404"/>
      <c r="FN40" s="404"/>
      <c r="FO40" s="404"/>
      <c r="FP40" s="404"/>
      <c r="FQ40" s="404"/>
      <c r="FR40" s="404"/>
      <c r="FS40" s="404"/>
      <c r="FT40" s="404"/>
      <c r="FU40" s="404"/>
      <c r="FV40" s="404"/>
      <c r="FW40" s="404"/>
      <c r="FX40" s="404"/>
      <c r="FY40" s="404"/>
      <c r="FZ40" s="404"/>
      <c r="GA40" s="404"/>
      <c r="GB40" s="404"/>
      <c r="GC40" s="404"/>
      <c r="GD40" s="404"/>
      <c r="GE40" s="404"/>
      <c r="GF40" s="404"/>
      <c r="GG40" s="404"/>
      <c r="GH40" s="404"/>
      <c r="GI40" s="404"/>
      <c r="GJ40" s="404"/>
      <c r="GK40" s="404"/>
      <c r="GL40" s="404"/>
      <c r="GM40" s="404"/>
      <c r="GN40" s="404"/>
      <c r="GO40" s="404"/>
      <c r="GP40" s="404"/>
      <c r="GQ40" s="404"/>
      <c r="GR40" s="404"/>
      <c r="GS40" s="404"/>
      <c r="GT40" s="404"/>
      <c r="GU40" s="404"/>
      <c r="GV40" s="404"/>
      <c r="GW40" s="404"/>
      <c r="GX40" s="404"/>
      <c r="GY40" s="404"/>
      <c r="GZ40" s="404"/>
      <c r="HA40" s="404"/>
      <c r="HB40" s="404"/>
      <c r="HC40" s="404"/>
      <c r="HD40" s="404"/>
      <c r="HE40" s="404"/>
      <c r="HF40" s="404"/>
      <c r="HG40" s="404"/>
      <c r="HH40" s="404"/>
      <c r="HI40" s="404"/>
      <c r="HJ40" s="404"/>
      <c r="HK40" s="404"/>
      <c r="HL40" s="404"/>
      <c r="HM40" s="404"/>
      <c r="HN40" s="404"/>
      <c r="HO40" s="404"/>
      <c r="HP40" s="404"/>
      <c r="HQ40" s="404"/>
      <c r="HR40" s="404"/>
      <c r="HS40" s="404"/>
      <c r="HT40" s="404"/>
      <c r="HU40" s="404"/>
      <c r="HV40" s="404"/>
      <c r="HW40" s="404"/>
      <c r="HX40" s="404"/>
      <c r="HY40" s="404"/>
      <c r="HZ40" s="404"/>
      <c r="IA40" s="404"/>
      <c r="IB40" s="404"/>
      <c r="IC40" s="404"/>
      <c r="ID40" s="404"/>
      <c r="IE40" s="404"/>
      <c r="IF40" s="404"/>
      <c r="IG40" s="404"/>
      <c r="IH40" s="404"/>
      <c r="II40" s="404"/>
      <c r="IJ40" s="404"/>
      <c r="IK40" s="404"/>
      <c r="IL40" s="404"/>
      <c r="IM40" s="404"/>
      <c r="IN40" s="404"/>
      <c r="IO40" s="404"/>
      <c r="IP40" s="404"/>
      <c r="IQ40" s="404"/>
      <c r="IR40" s="404"/>
      <c r="IS40" s="404"/>
      <c r="IT40" s="404"/>
      <c r="IU40" s="404"/>
      <c r="IV40" s="404"/>
    </row>
    <row r="41" spans="1:256" x14ac:dyDescent="0.35">
      <c r="A41" s="735">
        <v>32</v>
      </c>
      <c r="B41" s="729"/>
      <c r="C41" s="406"/>
      <c r="D41" s="1499" t="s">
        <v>929</v>
      </c>
      <c r="E41" s="416"/>
      <c r="F41" s="725"/>
      <c r="G41" s="417"/>
      <c r="H41" s="946"/>
      <c r="I41" s="944"/>
      <c r="J41" s="937"/>
      <c r="K41" s="937"/>
      <c r="L41" s="937"/>
      <c r="M41" s="937"/>
      <c r="N41" s="960"/>
      <c r="O41" s="1732">
        <f t="shared" ref="O41:O42" si="9">SUM(I41:N41)</f>
        <v>0</v>
      </c>
      <c r="P41" s="726"/>
    </row>
    <row r="42" spans="1:256" s="721" customFormat="1" x14ac:dyDescent="0.35">
      <c r="A42" s="735">
        <v>33</v>
      </c>
      <c r="B42" s="729"/>
      <c r="C42" s="406"/>
      <c r="D42" s="641" t="s">
        <v>927</v>
      </c>
      <c r="E42" s="416"/>
      <c r="F42" s="725"/>
      <c r="G42" s="417"/>
      <c r="H42" s="946"/>
      <c r="I42" s="944"/>
      <c r="J42" s="937"/>
      <c r="K42" s="1734">
        <f>SUM(K40:K41)</f>
        <v>712</v>
      </c>
      <c r="L42" s="1734"/>
      <c r="M42" s="1734">
        <f t="shared" ref="M42" si="10">SUM(M40:M41)</f>
        <v>740425</v>
      </c>
      <c r="N42" s="960"/>
      <c r="O42" s="730">
        <f t="shared" si="9"/>
        <v>741137</v>
      </c>
      <c r="P42" s="726"/>
      <c r="Q42" s="404"/>
      <c r="R42" s="404"/>
      <c r="S42" s="404"/>
      <c r="T42" s="404"/>
      <c r="U42" s="404"/>
      <c r="V42" s="404"/>
      <c r="W42" s="404"/>
      <c r="X42" s="404"/>
      <c r="Y42" s="404"/>
      <c r="Z42" s="404"/>
      <c r="AA42" s="404"/>
      <c r="AB42" s="404"/>
      <c r="AC42" s="404"/>
      <c r="AD42" s="404"/>
      <c r="AE42" s="404"/>
      <c r="AF42" s="404"/>
      <c r="AG42" s="404"/>
      <c r="AH42" s="404"/>
      <c r="AI42" s="404"/>
      <c r="AJ42" s="404"/>
      <c r="AK42" s="404"/>
      <c r="AL42" s="404"/>
      <c r="AM42" s="404"/>
      <c r="AN42" s="404"/>
      <c r="AO42" s="404"/>
      <c r="AP42" s="404"/>
      <c r="AQ42" s="404"/>
      <c r="AR42" s="404"/>
      <c r="AS42" s="404"/>
      <c r="AT42" s="404"/>
      <c r="AU42" s="404"/>
      <c r="AV42" s="404"/>
      <c r="AW42" s="404"/>
      <c r="AX42" s="404"/>
      <c r="AY42" s="404"/>
      <c r="AZ42" s="404"/>
      <c r="BA42" s="404"/>
      <c r="BB42" s="404"/>
      <c r="BC42" s="404"/>
      <c r="BD42" s="404"/>
      <c r="BE42" s="404"/>
      <c r="BF42" s="404"/>
      <c r="BG42" s="404"/>
      <c r="BH42" s="404"/>
      <c r="BI42" s="404"/>
      <c r="BJ42" s="404"/>
      <c r="BK42" s="404"/>
      <c r="BL42" s="404"/>
      <c r="BM42" s="404"/>
      <c r="BN42" s="404"/>
      <c r="BO42" s="404"/>
      <c r="BP42" s="404"/>
      <c r="BQ42" s="404"/>
      <c r="BR42" s="404"/>
      <c r="BS42" s="404"/>
      <c r="BT42" s="404"/>
      <c r="BU42" s="404"/>
      <c r="BV42" s="404"/>
      <c r="BW42" s="404"/>
      <c r="BX42" s="404"/>
      <c r="BY42" s="404"/>
      <c r="BZ42" s="404"/>
      <c r="CA42" s="404"/>
      <c r="CB42" s="404"/>
      <c r="CC42" s="404"/>
      <c r="CD42" s="404"/>
      <c r="CE42" s="404"/>
      <c r="CF42" s="404"/>
      <c r="CG42" s="404"/>
      <c r="CH42" s="404"/>
      <c r="CI42" s="404"/>
      <c r="CJ42" s="404"/>
      <c r="CK42" s="404"/>
      <c r="CL42" s="404"/>
      <c r="CM42" s="404"/>
      <c r="CN42" s="404"/>
      <c r="CO42" s="404"/>
      <c r="CP42" s="404"/>
      <c r="CQ42" s="404"/>
      <c r="CR42" s="404"/>
      <c r="CS42" s="404"/>
      <c r="CT42" s="404"/>
      <c r="CU42" s="404"/>
      <c r="CV42" s="404"/>
      <c r="CW42" s="404"/>
      <c r="CX42" s="404"/>
      <c r="CY42" s="404"/>
      <c r="CZ42" s="404"/>
      <c r="DA42" s="404"/>
      <c r="DB42" s="404"/>
      <c r="DC42" s="404"/>
      <c r="DD42" s="404"/>
      <c r="DE42" s="404"/>
      <c r="DF42" s="404"/>
      <c r="DG42" s="404"/>
      <c r="DH42" s="404"/>
      <c r="DI42" s="404"/>
      <c r="DJ42" s="404"/>
      <c r="DK42" s="404"/>
      <c r="DL42" s="404"/>
      <c r="DM42" s="404"/>
      <c r="DN42" s="404"/>
      <c r="DO42" s="404"/>
      <c r="DP42" s="404"/>
      <c r="DQ42" s="404"/>
      <c r="DR42" s="404"/>
      <c r="DS42" s="404"/>
      <c r="DT42" s="404"/>
      <c r="DU42" s="404"/>
      <c r="DV42" s="404"/>
      <c r="DW42" s="404"/>
      <c r="DX42" s="404"/>
      <c r="DY42" s="404"/>
      <c r="DZ42" s="404"/>
      <c r="EA42" s="404"/>
      <c r="EB42" s="404"/>
      <c r="EC42" s="404"/>
      <c r="ED42" s="404"/>
      <c r="EE42" s="404"/>
      <c r="EF42" s="404"/>
      <c r="EG42" s="404"/>
      <c r="EH42" s="404"/>
      <c r="EI42" s="404"/>
      <c r="EJ42" s="404"/>
      <c r="EK42" s="404"/>
      <c r="EL42" s="404"/>
      <c r="EM42" s="404"/>
      <c r="EN42" s="404"/>
      <c r="EO42" s="404"/>
      <c r="EP42" s="404"/>
      <c r="EQ42" s="404"/>
      <c r="ER42" s="404"/>
      <c r="ES42" s="404"/>
      <c r="ET42" s="404"/>
      <c r="EU42" s="404"/>
      <c r="EV42" s="404"/>
      <c r="EW42" s="404"/>
      <c r="EX42" s="404"/>
      <c r="EY42" s="404"/>
      <c r="EZ42" s="404"/>
      <c r="FA42" s="404"/>
      <c r="FB42" s="404"/>
      <c r="FC42" s="404"/>
      <c r="FD42" s="404"/>
      <c r="FE42" s="404"/>
      <c r="FF42" s="404"/>
      <c r="FG42" s="404"/>
      <c r="FH42" s="404"/>
      <c r="FI42" s="404"/>
      <c r="FJ42" s="404"/>
      <c r="FK42" s="404"/>
      <c r="FL42" s="404"/>
      <c r="FM42" s="404"/>
      <c r="FN42" s="404"/>
      <c r="FO42" s="404"/>
      <c r="FP42" s="404"/>
      <c r="FQ42" s="404"/>
      <c r="FR42" s="404"/>
      <c r="FS42" s="404"/>
      <c r="FT42" s="404"/>
      <c r="FU42" s="404"/>
      <c r="FV42" s="404"/>
      <c r="FW42" s="404"/>
      <c r="FX42" s="404"/>
      <c r="FY42" s="404"/>
      <c r="FZ42" s="404"/>
      <c r="GA42" s="404"/>
      <c r="GB42" s="404"/>
      <c r="GC42" s="404"/>
      <c r="GD42" s="404"/>
      <c r="GE42" s="404"/>
      <c r="GF42" s="404"/>
      <c r="GG42" s="404"/>
      <c r="GH42" s="404"/>
      <c r="GI42" s="404"/>
      <c r="GJ42" s="404"/>
      <c r="GK42" s="404"/>
      <c r="GL42" s="404"/>
      <c r="GM42" s="404"/>
      <c r="GN42" s="404"/>
      <c r="GO42" s="404"/>
      <c r="GP42" s="404"/>
      <c r="GQ42" s="404"/>
      <c r="GR42" s="404"/>
      <c r="GS42" s="404"/>
      <c r="GT42" s="404"/>
      <c r="GU42" s="404"/>
      <c r="GV42" s="404"/>
      <c r="GW42" s="404"/>
      <c r="GX42" s="404"/>
      <c r="GY42" s="404"/>
      <c r="GZ42" s="404"/>
      <c r="HA42" s="404"/>
      <c r="HB42" s="404"/>
      <c r="HC42" s="404"/>
      <c r="HD42" s="404"/>
      <c r="HE42" s="404"/>
      <c r="HF42" s="404"/>
      <c r="HG42" s="404"/>
      <c r="HH42" s="404"/>
      <c r="HI42" s="404"/>
      <c r="HJ42" s="404"/>
      <c r="HK42" s="404"/>
      <c r="HL42" s="404"/>
      <c r="HM42" s="404"/>
      <c r="HN42" s="404"/>
      <c r="HO42" s="404"/>
      <c r="HP42" s="404"/>
      <c r="HQ42" s="404"/>
      <c r="HR42" s="404"/>
      <c r="HS42" s="404"/>
      <c r="HT42" s="404"/>
      <c r="HU42" s="404"/>
      <c r="HV42" s="404"/>
      <c r="HW42" s="404"/>
      <c r="HX42" s="404"/>
      <c r="HY42" s="404"/>
      <c r="HZ42" s="404"/>
      <c r="IA42" s="404"/>
      <c r="IB42" s="404"/>
      <c r="IC42" s="404"/>
      <c r="ID42" s="404"/>
      <c r="IE42" s="404"/>
      <c r="IF42" s="404"/>
      <c r="IG42" s="404"/>
      <c r="IH42" s="404"/>
      <c r="II42" s="404"/>
      <c r="IJ42" s="404"/>
      <c r="IK42" s="404"/>
      <c r="IL42" s="404"/>
      <c r="IM42" s="404"/>
      <c r="IN42" s="404"/>
      <c r="IO42" s="404"/>
      <c r="IP42" s="404"/>
      <c r="IQ42" s="404"/>
      <c r="IR42" s="404"/>
      <c r="IS42" s="404"/>
      <c r="IT42" s="404"/>
      <c r="IU42" s="404"/>
      <c r="IV42" s="404"/>
    </row>
    <row r="43" spans="1:256" ht="33" x14ac:dyDescent="0.35">
      <c r="A43" s="735">
        <v>34</v>
      </c>
      <c r="B43" s="602"/>
      <c r="C43" s="406">
        <v>9</v>
      </c>
      <c r="D43" s="408" t="s">
        <v>703</v>
      </c>
      <c r="E43" s="416"/>
      <c r="F43" s="725"/>
      <c r="G43" s="417"/>
      <c r="H43" s="946" t="s">
        <v>24</v>
      </c>
      <c r="I43" s="944"/>
      <c r="J43" s="937"/>
      <c r="K43" s="937"/>
      <c r="L43" s="937"/>
      <c r="M43" s="937"/>
      <c r="N43" s="960"/>
      <c r="O43" s="930"/>
      <c r="P43" s="726"/>
    </row>
    <row r="44" spans="1:256" s="721" customFormat="1" x14ac:dyDescent="0.35">
      <c r="A44" s="735">
        <v>35</v>
      </c>
      <c r="B44" s="729"/>
      <c r="C44" s="447"/>
      <c r="D44" s="1735" t="s">
        <v>292</v>
      </c>
      <c r="E44" s="416">
        <f>F44+G44+O46+P44+6000</f>
        <v>240183</v>
      </c>
      <c r="F44" s="725">
        <f>9749+3835</f>
        <v>13584</v>
      </c>
      <c r="G44" s="417">
        <f>1005+6692</f>
        <v>7697</v>
      </c>
      <c r="H44" s="946"/>
      <c r="I44" s="944"/>
      <c r="J44" s="937"/>
      <c r="K44" s="937">
        <v>2010</v>
      </c>
      <c r="L44" s="937"/>
      <c r="M44" s="937">
        <v>217584</v>
      </c>
      <c r="N44" s="960"/>
      <c r="O44" s="930">
        <f>SUM(I44:N44)</f>
        <v>219594</v>
      </c>
      <c r="P44" s="726"/>
      <c r="Q44" s="404"/>
      <c r="R44" s="404"/>
      <c r="S44" s="404"/>
      <c r="T44" s="404"/>
      <c r="U44" s="404"/>
      <c r="V44" s="404"/>
      <c r="W44" s="404"/>
      <c r="X44" s="404"/>
      <c r="Y44" s="404"/>
      <c r="Z44" s="404"/>
      <c r="AA44" s="404"/>
      <c r="AB44" s="404"/>
      <c r="AC44" s="404"/>
      <c r="AD44" s="404"/>
      <c r="AE44" s="404"/>
      <c r="AF44" s="404"/>
      <c r="AG44" s="404"/>
      <c r="AH44" s="404"/>
      <c r="AI44" s="404"/>
      <c r="AJ44" s="404"/>
      <c r="AK44" s="404"/>
      <c r="AL44" s="404"/>
      <c r="AM44" s="404"/>
      <c r="AN44" s="404"/>
      <c r="AO44" s="404"/>
      <c r="AP44" s="404"/>
      <c r="AQ44" s="404"/>
      <c r="AR44" s="404"/>
      <c r="AS44" s="404"/>
      <c r="AT44" s="404"/>
      <c r="AU44" s="404"/>
      <c r="AV44" s="404"/>
      <c r="AW44" s="404"/>
      <c r="AX44" s="404"/>
      <c r="AY44" s="404"/>
      <c r="AZ44" s="404"/>
      <c r="BA44" s="404"/>
      <c r="BB44" s="404"/>
      <c r="BC44" s="404"/>
      <c r="BD44" s="404"/>
      <c r="BE44" s="404"/>
      <c r="BF44" s="404"/>
      <c r="BG44" s="404"/>
      <c r="BH44" s="404"/>
      <c r="BI44" s="404"/>
      <c r="BJ44" s="404"/>
      <c r="BK44" s="404"/>
      <c r="BL44" s="404"/>
      <c r="BM44" s="404"/>
      <c r="BN44" s="404"/>
      <c r="BO44" s="404"/>
      <c r="BP44" s="404"/>
      <c r="BQ44" s="404"/>
      <c r="BR44" s="404"/>
      <c r="BS44" s="404"/>
      <c r="BT44" s="404"/>
      <c r="BU44" s="404"/>
      <c r="BV44" s="404"/>
      <c r="BW44" s="404"/>
      <c r="BX44" s="404"/>
      <c r="BY44" s="404"/>
      <c r="BZ44" s="404"/>
      <c r="CA44" s="404"/>
      <c r="CB44" s="404"/>
      <c r="CC44" s="404"/>
      <c r="CD44" s="404"/>
      <c r="CE44" s="404"/>
      <c r="CF44" s="404"/>
      <c r="CG44" s="404"/>
      <c r="CH44" s="404"/>
      <c r="CI44" s="404"/>
      <c r="CJ44" s="404"/>
      <c r="CK44" s="404"/>
      <c r="CL44" s="404"/>
      <c r="CM44" s="404"/>
      <c r="CN44" s="404"/>
      <c r="CO44" s="404"/>
      <c r="CP44" s="404"/>
      <c r="CQ44" s="404"/>
      <c r="CR44" s="404"/>
      <c r="CS44" s="404"/>
      <c r="CT44" s="404"/>
      <c r="CU44" s="404"/>
      <c r="CV44" s="404"/>
      <c r="CW44" s="404"/>
      <c r="CX44" s="404"/>
      <c r="CY44" s="404"/>
      <c r="CZ44" s="404"/>
      <c r="DA44" s="404"/>
      <c r="DB44" s="404"/>
      <c r="DC44" s="404"/>
      <c r="DD44" s="404"/>
      <c r="DE44" s="404"/>
      <c r="DF44" s="404"/>
      <c r="DG44" s="404"/>
      <c r="DH44" s="404"/>
      <c r="DI44" s="404"/>
      <c r="DJ44" s="404"/>
      <c r="DK44" s="404"/>
      <c r="DL44" s="404"/>
      <c r="DM44" s="404"/>
      <c r="DN44" s="404"/>
      <c r="DO44" s="404"/>
      <c r="DP44" s="404"/>
      <c r="DQ44" s="404"/>
      <c r="DR44" s="404"/>
      <c r="DS44" s="404"/>
      <c r="DT44" s="404"/>
      <c r="DU44" s="404"/>
      <c r="DV44" s="404"/>
      <c r="DW44" s="404"/>
      <c r="DX44" s="404"/>
      <c r="DY44" s="404"/>
      <c r="DZ44" s="404"/>
      <c r="EA44" s="404"/>
      <c r="EB44" s="404"/>
      <c r="EC44" s="404"/>
      <c r="ED44" s="404"/>
      <c r="EE44" s="404"/>
      <c r="EF44" s="404"/>
      <c r="EG44" s="404"/>
      <c r="EH44" s="404"/>
      <c r="EI44" s="404"/>
      <c r="EJ44" s="404"/>
      <c r="EK44" s="404"/>
      <c r="EL44" s="404"/>
      <c r="EM44" s="404"/>
      <c r="EN44" s="404"/>
      <c r="EO44" s="404"/>
      <c r="EP44" s="404"/>
      <c r="EQ44" s="404"/>
      <c r="ER44" s="404"/>
      <c r="ES44" s="404"/>
      <c r="ET44" s="404"/>
      <c r="EU44" s="404"/>
      <c r="EV44" s="404"/>
      <c r="EW44" s="404"/>
      <c r="EX44" s="404"/>
      <c r="EY44" s="404"/>
      <c r="EZ44" s="404"/>
      <c r="FA44" s="404"/>
      <c r="FB44" s="404"/>
      <c r="FC44" s="404"/>
      <c r="FD44" s="404"/>
      <c r="FE44" s="404"/>
      <c r="FF44" s="404"/>
      <c r="FG44" s="404"/>
      <c r="FH44" s="404"/>
      <c r="FI44" s="404"/>
      <c r="FJ44" s="404"/>
      <c r="FK44" s="404"/>
      <c r="FL44" s="404"/>
      <c r="FM44" s="404"/>
      <c r="FN44" s="404"/>
      <c r="FO44" s="404"/>
      <c r="FP44" s="404"/>
      <c r="FQ44" s="404"/>
      <c r="FR44" s="404"/>
      <c r="FS44" s="404"/>
      <c r="FT44" s="404"/>
      <c r="FU44" s="404"/>
      <c r="FV44" s="404"/>
      <c r="FW44" s="404"/>
      <c r="FX44" s="404"/>
      <c r="FY44" s="404"/>
      <c r="FZ44" s="404"/>
      <c r="GA44" s="404"/>
      <c r="GB44" s="404"/>
      <c r="GC44" s="404"/>
      <c r="GD44" s="404"/>
      <c r="GE44" s="404"/>
      <c r="GF44" s="404"/>
      <c r="GG44" s="404"/>
      <c r="GH44" s="404"/>
      <c r="GI44" s="404"/>
      <c r="GJ44" s="404"/>
      <c r="GK44" s="404"/>
      <c r="GL44" s="404"/>
      <c r="GM44" s="404"/>
      <c r="GN44" s="404"/>
      <c r="GO44" s="404"/>
      <c r="GP44" s="404"/>
      <c r="GQ44" s="404"/>
      <c r="GR44" s="404"/>
      <c r="GS44" s="404"/>
      <c r="GT44" s="404"/>
      <c r="GU44" s="404"/>
      <c r="GV44" s="404"/>
      <c r="GW44" s="404"/>
      <c r="GX44" s="404"/>
      <c r="GY44" s="404"/>
      <c r="GZ44" s="404"/>
      <c r="HA44" s="404"/>
      <c r="HB44" s="404"/>
      <c r="HC44" s="404"/>
      <c r="HD44" s="404"/>
      <c r="HE44" s="404"/>
      <c r="HF44" s="404"/>
      <c r="HG44" s="404"/>
      <c r="HH44" s="404"/>
      <c r="HI44" s="404"/>
      <c r="HJ44" s="404"/>
      <c r="HK44" s="404"/>
      <c r="HL44" s="404"/>
      <c r="HM44" s="404"/>
      <c r="HN44" s="404"/>
      <c r="HO44" s="404"/>
      <c r="HP44" s="404"/>
      <c r="HQ44" s="404"/>
      <c r="HR44" s="404"/>
      <c r="HS44" s="404"/>
      <c r="HT44" s="404"/>
      <c r="HU44" s="404"/>
      <c r="HV44" s="404"/>
      <c r="HW44" s="404"/>
      <c r="HX44" s="404"/>
      <c r="HY44" s="404"/>
      <c r="HZ44" s="404"/>
      <c r="IA44" s="404"/>
      <c r="IB44" s="404"/>
      <c r="IC44" s="404"/>
      <c r="ID44" s="404"/>
      <c r="IE44" s="404"/>
      <c r="IF44" s="404"/>
      <c r="IG44" s="404"/>
      <c r="IH44" s="404"/>
      <c r="II44" s="404"/>
      <c r="IJ44" s="404"/>
      <c r="IK44" s="404"/>
      <c r="IL44" s="404"/>
      <c r="IM44" s="404"/>
      <c r="IN44" s="404"/>
      <c r="IO44" s="404"/>
      <c r="IP44" s="404"/>
      <c r="IQ44" s="404"/>
      <c r="IR44" s="404"/>
      <c r="IS44" s="404"/>
      <c r="IT44" s="404"/>
      <c r="IU44" s="404"/>
      <c r="IV44" s="404"/>
    </row>
    <row r="45" spans="1:256" x14ac:dyDescent="0.35">
      <c r="A45" s="735">
        <v>36</v>
      </c>
      <c r="B45" s="729"/>
      <c r="C45" s="447"/>
      <c r="D45" s="1499" t="s">
        <v>926</v>
      </c>
      <c r="E45" s="416"/>
      <c r="F45" s="725"/>
      <c r="G45" s="417"/>
      <c r="H45" s="946"/>
      <c r="I45" s="944"/>
      <c r="J45" s="937"/>
      <c r="K45" s="937"/>
      <c r="L45" s="937"/>
      <c r="M45" s="1731">
        <v>-6692</v>
      </c>
      <c r="N45" s="960"/>
      <c r="O45" s="1732">
        <f t="shared" ref="O45:O46" si="11">SUM(I45:N45)</f>
        <v>-6692</v>
      </c>
      <c r="P45" s="726"/>
    </row>
    <row r="46" spans="1:256" s="721" customFormat="1" x14ac:dyDescent="0.35">
      <c r="A46" s="735">
        <v>37</v>
      </c>
      <c r="B46" s="729"/>
      <c r="C46" s="447"/>
      <c r="D46" s="641" t="s">
        <v>927</v>
      </c>
      <c r="E46" s="416"/>
      <c r="F46" s="725"/>
      <c r="G46" s="417"/>
      <c r="H46" s="946"/>
      <c r="I46" s="944"/>
      <c r="J46" s="937"/>
      <c r="K46" s="1734">
        <f>SUM(K44:K45)</f>
        <v>2010</v>
      </c>
      <c r="L46" s="1734"/>
      <c r="M46" s="1734">
        <f t="shared" ref="M46" si="12">SUM(M44:M45)</f>
        <v>210892</v>
      </c>
      <c r="N46" s="960"/>
      <c r="O46" s="730">
        <f t="shared" si="11"/>
        <v>212902</v>
      </c>
      <c r="P46" s="726"/>
      <c r="Q46" s="404"/>
      <c r="R46" s="404"/>
      <c r="S46" s="404"/>
      <c r="T46" s="404"/>
      <c r="U46" s="404"/>
      <c r="V46" s="404"/>
      <c r="W46" s="404"/>
      <c r="X46" s="404"/>
      <c r="Y46" s="404"/>
      <c r="Z46" s="404"/>
      <c r="AA46" s="404"/>
      <c r="AB46" s="404"/>
      <c r="AC46" s="404"/>
      <c r="AD46" s="404"/>
      <c r="AE46" s="404"/>
      <c r="AF46" s="404"/>
      <c r="AG46" s="404"/>
      <c r="AH46" s="404"/>
      <c r="AI46" s="404"/>
      <c r="AJ46" s="404"/>
      <c r="AK46" s="404"/>
      <c r="AL46" s="404"/>
      <c r="AM46" s="404"/>
      <c r="AN46" s="404"/>
      <c r="AO46" s="404"/>
      <c r="AP46" s="404"/>
      <c r="AQ46" s="404"/>
      <c r="AR46" s="404"/>
      <c r="AS46" s="404"/>
      <c r="AT46" s="404"/>
      <c r="AU46" s="404"/>
      <c r="AV46" s="404"/>
      <c r="AW46" s="404"/>
      <c r="AX46" s="404"/>
      <c r="AY46" s="404"/>
      <c r="AZ46" s="404"/>
      <c r="BA46" s="404"/>
      <c r="BB46" s="404"/>
      <c r="BC46" s="404"/>
      <c r="BD46" s="404"/>
      <c r="BE46" s="404"/>
      <c r="BF46" s="404"/>
      <c r="BG46" s="404"/>
      <c r="BH46" s="404"/>
      <c r="BI46" s="404"/>
      <c r="BJ46" s="404"/>
      <c r="BK46" s="404"/>
      <c r="BL46" s="404"/>
      <c r="BM46" s="404"/>
      <c r="BN46" s="404"/>
      <c r="BO46" s="404"/>
      <c r="BP46" s="404"/>
      <c r="BQ46" s="404"/>
      <c r="BR46" s="404"/>
      <c r="BS46" s="404"/>
      <c r="BT46" s="404"/>
      <c r="BU46" s="404"/>
      <c r="BV46" s="404"/>
      <c r="BW46" s="404"/>
      <c r="BX46" s="404"/>
      <c r="BY46" s="404"/>
      <c r="BZ46" s="404"/>
      <c r="CA46" s="404"/>
      <c r="CB46" s="404"/>
      <c r="CC46" s="404"/>
      <c r="CD46" s="404"/>
      <c r="CE46" s="404"/>
      <c r="CF46" s="404"/>
      <c r="CG46" s="404"/>
      <c r="CH46" s="404"/>
      <c r="CI46" s="404"/>
      <c r="CJ46" s="404"/>
      <c r="CK46" s="404"/>
      <c r="CL46" s="404"/>
      <c r="CM46" s="404"/>
      <c r="CN46" s="404"/>
      <c r="CO46" s="404"/>
      <c r="CP46" s="404"/>
      <c r="CQ46" s="404"/>
      <c r="CR46" s="404"/>
      <c r="CS46" s="404"/>
      <c r="CT46" s="404"/>
      <c r="CU46" s="404"/>
      <c r="CV46" s="404"/>
      <c r="CW46" s="404"/>
      <c r="CX46" s="404"/>
      <c r="CY46" s="404"/>
      <c r="CZ46" s="404"/>
      <c r="DA46" s="404"/>
      <c r="DB46" s="404"/>
      <c r="DC46" s="404"/>
      <c r="DD46" s="404"/>
      <c r="DE46" s="404"/>
      <c r="DF46" s="404"/>
      <c r="DG46" s="404"/>
      <c r="DH46" s="404"/>
      <c r="DI46" s="404"/>
      <c r="DJ46" s="404"/>
      <c r="DK46" s="404"/>
      <c r="DL46" s="404"/>
      <c r="DM46" s="404"/>
      <c r="DN46" s="404"/>
      <c r="DO46" s="404"/>
      <c r="DP46" s="404"/>
      <c r="DQ46" s="404"/>
      <c r="DR46" s="404"/>
      <c r="DS46" s="404"/>
      <c r="DT46" s="404"/>
      <c r="DU46" s="404"/>
      <c r="DV46" s="404"/>
      <c r="DW46" s="404"/>
      <c r="DX46" s="404"/>
      <c r="DY46" s="404"/>
      <c r="DZ46" s="404"/>
      <c r="EA46" s="404"/>
      <c r="EB46" s="404"/>
      <c r="EC46" s="404"/>
      <c r="ED46" s="404"/>
      <c r="EE46" s="404"/>
      <c r="EF46" s="404"/>
      <c r="EG46" s="404"/>
      <c r="EH46" s="404"/>
      <c r="EI46" s="404"/>
      <c r="EJ46" s="404"/>
      <c r="EK46" s="404"/>
      <c r="EL46" s="404"/>
      <c r="EM46" s="404"/>
      <c r="EN46" s="404"/>
      <c r="EO46" s="404"/>
      <c r="EP46" s="404"/>
      <c r="EQ46" s="404"/>
      <c r="ER46" s="404"/>
      <c r="ES46" s="404"/>
      <c r="ET46" s="404"/>
      <c r="EU46" s="404"/>
      <c r="EV46" s="404"/>
      <c r="EW46" s="404"/>
      <c r="EX46" s="404"/>
      <c r="EY46" s="404"/>
      <c r="EZ46" s="404"/>
      <c r="FA46" s="404"/>
      <c r="FB46" s="404"/>
      <c r="FC46" s="404"/>
      <c r="FD46" s="404"/>
      <c r="FE46" s="404"/>
      <c r="FF46" s="404"/>
      <c r="FG46" s="404"/>
      <c r="FH46" s="404"/>
      <c r="FI46" s="404"/>
      <c r="FJ46" s="404"/>
      <c r="FK46" s="404"/>
      <c r="FL46" s="404"/>
      <c r="FM46" s="404"/>
      <c r="FN46" s="404"/>
      <c r="FO46" s="404"/>
      <c r="FP46" s="404"/>
      <c r="FQ46" s="404"/>
      <c r="FR46" s="404"/>
      <c r="FS46" s="404"/>
      <c r="FT46" s="404"/>
      <c r="FU46" s="404"/>
      <c r="FV46" s="404"/>
      <c r="FW46" s="404"/>
      <c r="FX46" s="404"/>
      <c r="FY46" s="404"/>
      <c r="FZ46" s="404"/>
      <c r="GA46" s="404"/>
      <c r="GB46" s="404"/>
      <c r="GC46" s="404"/>
      <c r="GD46" s="404"/>
      <c r="GE46" s="404"/>
      <c r="GF46" s="404"/>
      <c r="GG46" s="404"/>
      <c r="GH46" s="404"/>
      <c r="GI46" s="404"/>
      <c r="GJ46" s="404"/>
      <c r="GK46" s="404"/>
      <c r="GL46" s="404"/>
      <c r="GM46" s="404"/>
      <c r="GN46" s="404"/>
      <c r="GO46" s="404"/>
      <c r="GP46" s="404"/>
      <c r="GQ46" s="404"/>
      <c r="GR46" s="404"/>
      <c r="GS46" s="404"/>
      <c r="GT46" s="404"/>
      <c r="GU46" s="404"/>
      <c r="GV46" s="404"/>
      <c r="GW46" s="404"/>
      <c r="GX46" s="404"/>
      <c r="GY46" s="404"/>
      <c r="GZ46" s="404"/>
      <c r="HA46" s="404"/>
      <c r="HB46" s="404"/>
      <c r="HC46" s="404"/>
      <c r="HD46" s="404"/>
      <c r="HE46" s="404"/>
      <c r="HF46" s="404"/>
      <c r="HG46" s="404"/>
      <c r="HH46" s="404"/>
      <c r="HI46" s="404"/>
      <c r="HJ46" s="404"/>
      <c r="HK46" s="404"/>
      <c r="HL46" s="404"/>
      <c r="HM46" s="404"/>
      <c r="HN46" s="404"/>
      <c r="HO46" s="404"/>
      <c r="HP46" s="404"/>
      <c r="HQ46" s="404"/>
      <c r="HR46" s="404"/>
      <c r="HS46" s="404"/>
      <c r="HT46" s="404"/>
      <c r="HU46" s="404"/>
      <c r="HV46" s="404"/>
      <c r="HW46" s="404"/>
      <c r="HX46" s="404"/>
      <c r="HY46" s="404"/>
      <c r="HZ46" s="404"/>
      <c r="IA46" s="404"/>
      <c r="IB46" s="404"/>
      <c r="IC46" s="404"/>
      <c r="ID46" s="404"/>
      <c r="IE46" s="404"/>
      <c r="IF46" s="404"/>
      <c r="IG46" s="404"/>
      <c r="IH46" s="404"/>
      <c r="II46" s="404"/>
      <c r="IJ46" s="404"/>
      <c r="IK46" s="404"/>
      <c r="IL46" s="404"/>
      <c r="IM46" s="404"/>
      <c r="IN46" s="404"/>
      <c r="IO46" s="404"/>
      <c r="IP46" s="404"/>
      <c r="IQ46" s="404"/>
      <c r="IR46" s="404"/>
      <c r="IS46" s="404"/>
      <c r="IT46" s="404"/>
      <c r="IU46" s="404"/>
      <c r="IV46" s="404"/>
    </row>
    <row r="47" spans="1:256" ht="33" x14ac:dyDescent="0.35">
      <c r="A47" s="735">
        <v>38</v>
      </c>
      <c r="B47" s="602"/>
      <c r="C47" s="406">
        <v>10</v>
      </c>
      <c r="D47" s="408" t="s">
        <v>514</v>
      </c>
      <c r="E47" s="416"/>
      <c r="F47" s="725"/>
      <c r="G47" s="417"/>
      <c r="H47" s="946" t="s">
        <v>24</v>
      </c>
      <c r="I47" s="944"/>
      <c r="J47" s="937"/>
      <c r="K47" s="937"/>
      <c r="L47" s="937"/>
      <c r="M47" s="937"/>
      <c r="N47" s="960"/>
      <c r="O47" s="930"/>
      <c r="P47" s="726"/>
    </row>
    <row r="48" spans="1:256" x14ac:dyDescent="0.35">
      <c r="A48" s="735">
        <v>39</v>
      </c>
      <c r="B48" s="729"/>
      <c r="C48" s="406"/>
      <c r="D48" s="1735" t="s">
        <v>292</v>
      </c>
      <c r="E48" s="416">
        <f>F48+G48+O50+P48+12000</f>
        <v>501600</v>
      </c>
      <c r="F48" s="725">
        <f>326+17127</f>
        <v>17453</v>
      </c>
      <c r="G48" s="417">
        <v>3982</v>
      </c>
      <c r="H48" s="946"/>
      <c r="I48" s="944"/>
      <c r="J48" s="937"/>
      <c r="K48" s="937">
        <v>8311</v>
      </c>
      <c r="L48" s="937"/>
      <c r="M48" s="937">
        <v>459854</v>
      </c>
      <c r="N48" s="960"/>
      <c r="O48" s="930">
        <f>SUM(I48:N48)</f>
        <v>468165</v>
      </c>
      <c r="P48" s="726"/>
    </row>
    <row r="49" spans="1:256" x14ac:dyDescent="0.35">
      <c r="A49" s="735">
        <v>40</v>
      </c>
      <c r="B49" s="729"/>
      <c r="C49" s="406"/>
      <c r="D49" s="1499" t="s">
        <v>929</v>
      </c>
      <c r="E49" s="416"/>
      <c r="F49" s="725"/>
      <c r="G49" s="417"/>
      <c r="H49" s="946"/>
      <c r="I49" s="944"/>
      <c r="J49" s="937"/>
      <c r="K49" s="937"/>
      <c r="L49" s="937"/>
      <c r="M49" s="937"/>
      <c r="N49" s="960"/>
      <c r="O49" s="1732">
        <f t="shared" ref="O49:O50" si="13">SUM(I49:N49)</f>
        <v>0</v>
      </c>
      <c r="P49" s="726"/>
    </row>
    <row r="50" spans="1:256" x14ac:dyDescent="0.35">
      <c r="A50" s="735">
        <v>41</v>
      </c>
      <c r="B50" s="729"/>
      <c r="C50" s="406"/>
      <c r="D50" s="641" t="s">
        <v>927</v>
      </c>
      <c r="E50" s="416"/>
      <c r="F50" s="725"/>
      <c r="G50" s="417"/>
      <c r="H50" s="946"/>
      <c r="I50" s="944"/>
      <c r="J50" s="937"/>
      <c r="K50" s="1734">
        <f>SUM(K48:K49)</f>
        <v>8311</v>
      </c>
      <c r="L50" s="1734"/>
      <c r="M50" s="1734">
        <f t="shared" ref="M50" si="14">SUM(M48:M49)</f>
        <v>459854</v>
      </c>
      <c r="N50" s="960"/>
      <c r="O50" s="730">
        <f t="shared" si="13"/>
        <v>468165</v>
      </c>
      <c r="P50" s="726"/>
    </row>
    <row r="51" spans="1:256" ht="33" x14ac:dyDescent="0.35">
      <c r="A51" s="735">
        <v>42</v>
      </c>
      <c r="B51" s="729"/>
      <c r="C51" s="406">
        <v>11</v>
      </c>
      <c r="D51" s="408" t="s">
        <v>704</v>
      </c>
      <c r="E51" s="416"/>
      <c r="F51" s="725"/>
      <c r="G51" s="417"/>
      <c r="H51" s="946"/>
      <c r="I51" s="944"/>
      <c r="J51" s="937"/>
      <c r="K51" s="937"/>
      <c r="L51" s="937"/>
      <c r="M51" s="937"/>
      <c r="N51" s="960"/>
      <c r="O51" s="930"/>
      <c r="P51" s="726"/>
    </row>
    <row r="52" spans="1:256" x14ac:dyDescent="0.35">
      <c r="A52" s="735">
        <v>43</v>
      </c>
      <c r="B52" s="729"/>
      <c r="C52" s="406"/>
      <c r="D52" s="1735" t="s">
        <v>292</v>
      </c>
      <c r="E52" s="416">
        <f>F52+G52+O54+P52+22650</f>
        <v>906000</v>
      </c>
      <c r="F52" s="725"/>
      <c r="G52" s="417">
        <v>5906</v>
      </c>
      <c r="H52" s="946"/>
      <c r="I52" s="944"/>
      <c r="J52" s="937"/>
      <c r="K52" s="937">
        <v>19333</v>
      </c>
      <c r="L52" s="937"/>
      <c r="M52" s="937">
        <v>858111</v>
      </c>
      <c r="N52" s="960"/>
      <c r="O52" s="930">
        <f>SUM(I52:N52)</f>
        <v>877444</v>
      </c>
      <c r="P52" s="726"/>
    </row>
    <row r="53" spans="1:256" x14ac:dyDescent="0.35">
      <c r="A53" s="735">
        <v>44</v>
      </c>
      <c r="B53" s="729"/>
      <c r="C53" s="406"/>
      <c r="D53" s="1499" t="s">
        <v>929</v>
      </c>
      <c r="E53" s="416"/>
      <c r="F53" s="725"/>
      <c r="G53" s="417"/>
      <c r="H53" s="946"/>
      <c r="I53" s="944"/>
      <c r="J53" s="937"/>
      <c r="K53" s="937"/>
      <c r="L53" s="937"/>
      <c r="M53" s="937"/>
      <c r="N53" s="960"/>
      <c r="O53" s="1732">
        <f t="shared" ref="O53:O54" si="15">SUM(I53:N53)</f>
        <v>0</v>
      </c>
      <c r="P53" s="726"/>
    </row>
    <row r="54" spans="1:256" x14ac:dyDescent="0.35">
      <c r="A54" s="735">
        <v>45</v>
      </c>
      <c r="B54" s="729"/>
      <c r="C54" s="406"/>
      <c r="D54" s="641" t="s">
        <v>927</v>
      </c>
      <c r="E54" s="416"/>
      <c r="F54" s="725"/>
      <c r="G54" s="417"/>
      <c r="H54" s="946"/>
      <c r="I54" s="944"/>
      <c r="J54" s="937"/>
      <c r="K54" s="1734">
        <f>SUM(K52:K53)</f>
        <v>19333</v>
      </c>
      <c r="L54" s="1734"/>
      <c r="M54" s="1734">
        <f t="shared" ref="M54" si="16">SUM(M52:M53)</f>
        <v>858111</v>
      </c>
      <c r="N54" s="960"/>
      <c r="O54" s="730">
        <f t="shared" si="15"/>
        <v>877444</v>
      </c>
      <c r="P54" s="726"/>
    </row>
    <row r="55" spans="1:256" ht="49.5" x14ac:dyDescent="0.35">
      <c r="A55" s="735">
        <v>46</v>
      </c>
      <c r="B55" s="729"/>
      <c r="C55" s="406">
        <v>12</v>
      </c>
      <c r="D55" s="408" t="s">
        <v>395</v>
      </c>
      <c r="E55" s="416"/>
      <c r="F55" s="725"/>
      <c r="G55" s="417"/>
      <c r="H55" s="971" t="s">
        <v>24</v>
      </c>
      <c r="I55" s="944"/>
      <c r="J55" s="937"/>
      <c r="K55" s="937"/>
      <c r="L55" s="937"/>
      <c r="M55" s="937"/>
      <c r="N55" s="960"/>
      <c r="O55" s="930"/>
      <c r="P55" s="726"/>
    </row>
    <row r="56" spans="1:256" x14ac:dyDescent="0.35">
      <c r="A56" s="735">
        <v>47</v>
      </c>
      <c r="B56" s="729"/>
      <c r="C56" s="406"/>
      <c r="D56" s="1735" t="s">
        <v>292</v>
      </c>
      <c r="E56" s="416">
        <f>F56+G56+O58+P56</f>
        <v>1147594</v>
      </c>
      <c r="F56" s="725">
        <f>25062+32060+393153+688437</f>
        <v>1138712</v>
      </c>
      <c r="G56" s="417">
        <v>260</v>
      </c>
      <c r="H56" s="946"/>
      <c r="I56" s="944"/>
      <c r="J56" s="937"/>
      <c r="K56" s="937">
        <v>8622</v>
      </c>
      <c r="L56" s="937"/>
      <c r="M56" s="937"/>
      <c r="N56" s="960"/>
      <c r="O56" s="930">
        <f>SUM(I56:N56)</f>
        <v>8622</v>
      </c>
      <c r="P56" s="726"/>
    </row>
    <row r="57" spans="1:256" x14ac:dyDescent="0.35">
      <c r="A57" s="735">
        <v>48</v>
      </c>
      <c r="B57" s="729"/>
      <c r="C57" s="406"/>
      <c r="D57" s="1499" t="s">
        <v>929</v>
      </c>
      <c r="E57" s="416"/>
      <c r="F57" s="725"/>
      <c r="G57" s="417"/>
      <c r="H57" s="946"/>
      <c r="I57" s="944"/>
      <c r="J57" s="937"/>
      <c r="K57" s="937"/>
      <c r="L57" s="937"/>
      <c r="M57" s="937"/>
      <c r="N57" s="960"/>
      <c r="O57" s="1732">
        <f t="shared" ref="O57:O58" si="17">SUM(I57:N57)</f>
        <v>0</v>
      </c>
      <c r="P57" s="726"/>
    </row>
    <row r="58" spans="1:256" x14ac:dyDescent="0.35">
      <c r="A58" s="735">
        <v>49</v>
      </c>
      <c r="B58" s="729"/>
      <c r="C58" s="406"/>
      <c r="D58" s="641" t="s">
        <v>927</v>
      </c>
      <c r="E58" s="416"/>
      <c r="F58" s="725"/>
      <c r="G58" s="417"/>
      <c r="H58" s="946"/>
      <c r="I58" s="944"/>
      <c r="J58" s="937"/>
      <c r="K58" s="1734">
        <f>SUM(K56:K57)</f>
        <v>8622</v>
      </c>
      <c r="L58" s="937"/>
      <c r="M58" s="937"/>
      <c r="N58" s="960"/>
      <c r="O58" s="730">
        <f t="shared" si="17"/>
        <v>8622</v>
      </c>
      <c r="P58" s="726"/>
    </row>
    <row r="59" spans="1:256" ht="33" x14ac:dyDescent="0.35">
      <c r="A59" s="735">
        <v>50</v>
      </c>
      <c r="B59" s="602"/>
      <c r="C59" s="406">
        <v>13</v>
      </c>
      <c r="D59" s="408" t="s">
        <v>416</v>
      </c>
      <c r="E59" s="416"/>
      <c r="F59" s="725"/>
      <c r="G59" s="417"/>
      <c r="H59" s="946" t="s">
        <v>24</v>
      </c>
      <c r="I59" s="944"/>
      <c r="J59" s="937"/>
      <c r="K59" s="937"/>
      <c r="L59" s="937"/>
      <c r="M59" s="937"/>
      <c r="N59" s="960"/>
      <c r="O59" s="930"/>
      <c r="P59" s="726"/>
    </row>
    <row r="60" spans="1:256" s="721" customFormat="1" x14ac:dyDescent="0.35">
      <c r="A60" s="735">
        <v>51</v>
      </c>
      <c r="B60" s="729"/>
      <c r="C60" s="406"/>
      <c r="D60" s="1735" t="s">
        <v>292</v>
      </c>
      <c r="E60" s="416">
        <f>F60+G60+O62+P60+5962</f>
        <v>300876</v>
      </c>
      <c r="F60" s="725">
        <f>4460+267453</f>
        <v>271913</v>
      </c>
      <c r="G60" s="417">
        <v>0</v>
      </c>
      <c r="H60" s="946"/>
      <c r="I60" s="944"/>
      <c r="J60" s="937"/>
      <c r="K60" s="937">
        <v>1087</v>
      </c>
      <c r="L60" s="937"/>
      <c r="M60" s="937">
        <v>21914</v>
      </c>
      <c r="N60" s="960"/>
      <c r="O60" s="930">
        <f>SUM(I60:N60)</f>
        <v>23001</v>
      </c>
      <c r="P60" s="726"/>
      <c r="Q60" s="404"/>
      <c r="R60" s="404"/>
      <c r="S60" s="404"/>
      <c r="T60" s="404"/>
      <c r="U60" s="404"/>
      <c r="V60" s="404"/>
      <c r="W60" s="404"/>
      <c r="X60" s="404"/>
      <c r="Y60" s="404"/>
      <c r="Z60" s="404"/>
      <c r="AA60" s="404"/>
      <c r="AB60" s="404"/>
      <c r="AC60" s="404"/>
      <c r="AD60" s="404"/>
      <c r="AE60" s="404"/>
      <c r="AF60" s="404"/>
      <c r="AG60" s="404"/>
      <c r="AH60" s="404"/>
      <c r="AI60" s="404"/>
      <c r="AJ60" s="404"/>
      <c r="AK60" s="404"/>
      <c r="AL60" s="404"/>
      <c r="AM60" s="404"/>
      <c r="AN60" s="404"/>
      <c r="AO60" s="404"/>
      <c r="AP60" s="404"/>
      <c r="AQ60" s="404"/>
      <c r="AR60" s="404"/>
      <c r="AS60" s="404"/>
      <c r="AT60" s="404"/>
      <c r="AU60" s="404"/>
      <c r="AV60" s="404"/>
      <c r="AW60" s="404"/>
      <c r="AX60" s="404"/>
      <c r="AY60" s="404"/>
      <c r="AZ60" s="404"/>
      <c r="BA60" s="404"/>
      <c r="BB60" s="404"/>
      <c r="BC60" s="404"/>
      <c r="BD60" s="404"/>
      <c r="BE60" s="404"/>
      <c r="BF60" s="404"/>
      <c r="BG60" s="404"/>
      <c r="BH60" s="404"/>
      <c r="BI60" s="404"/>
      <c r="BJ60" s="404"/>
      <c r="BK60" s="404"/>
      <c r="BL60" s="404"/>
      <c r="BM60" s="404"/>
      <c r="BN60" s="404"/>
      <c r="BO60" s="404"/>
      <c r="BP60" s="404"/>
      <c r="BQ60" s="404"/>
      <c r="BR60" s="404"/>
      <c r="BS60" s="404"/>
      <c r="BT60" s="404"/>
      <c r="BU60" s="404"/>
      <c r="BV60" s="404"/>
      <c r="BW60" s="404"/>
      <c r="BX60" s="404"/>
      <c r="BY60" s="404"/>
      <c r="BZ60" s="404"/>
      <c r="CA60" s="404"/>
      <c r="CB60" s="404"/>
      <c r="CC60" s="404"/>
      <c r="CD60" s="404"/>
      <c r="CE60" s="404"/>
      <c r="CF60" s="404"/>
      <c r="CG60" s="404"/>
      <c r="CH60" s="404"/>
      <c r="CI60" s="404"/>
      <c r="CJ60" s="404"/>
      <c r="CK60" s="404"/>
      <c r="CL60" s="404"/>
      <c r="CM60" s="404"/>
      <c r="CN60" s="404"/>
      <c r="CO60" s="404"/>
      <c r="CP60" s="404"/>
      <c r="CQ60" s="404"/>
      <c r="CR60" s="404"/>
      <c r="CS60" s="404"/>
      <c r="CT60" s="404"/>
      <c r="CU60" s="404"/>
      <c r="CV60" s="404"/>
      <c r="CW60" s="404"/>
      <c r="CX60" s="404"/>
      <c r="CY60" s="404"/>
      <c r="CZ60" s="404"/>
      <c r="DA60" s="404"/>
      <c r="DB60" s="404"/>
      <c r="DC60" s="404"/>
      <c r="DD60" s="404"/>
      <c r="DE60" s="404"/>
      <c r="DF60" s="404"/>
      <c r="DG60" s="404"/>
      <c r="DH60" s="404"/>
      <c r="DI60" s="404"/>
      <c r="DJ60" s="404"/>
      <c r="DK60" s="404"/>
      <c r="DL60" s="404"/>
      <c r="DM60" s="404"/>
      <c r="DN60" s="404"/>
      <c r="DO60" s="404"/>
      <c r="DP60" s="404"/>
      <c r="DQ60" s="404"/>
      <c r="DR60" s="404"/>
      <c r="DS60" s="404"/>
      <c r="DT60" s="404"/>
      <c r="DU60" s="404"/>
      <c r="DV60" s="404"/>
      <c r="DW60" s="404"/>
      <c r="DX60" s="404"/>
      <c r="DY60" s="404"/>
      <c r="DZ60" s="404"/>
      <c r="EA60" s="404"/>
      <c r="EB60" s="404"/>
      <c r="EC60" s="404"/>
      <c r="ED60" s="404"/>
      <c r="EE60" s="404"/>
      <c r="EF60" s="404"/>
      <c r="EG60" s="404"/>
      <c r="EH60" s="404"/>
      <c r="EI60" s="404"/>
      <c r="EJ60" s="404"/>
      <c r="EK60" s="404"/>
      <c r="EL60" s="404"/>
      <c r="EM60" s="404"/>
      <c r="EN60" s="404"/>
      <c r="EO60" s="404"/>
      <c r="EP60" s="404"/>
      <c r="EQ60" s="404"/>
      <c r="ER60" s="404"/>
      <c r="ES60" s="404"/>
      <c r="ET60" s="404"/>
      <c r="EU60" s="404"/>
      <c r="EV60" s="404"/>
      <c r="EW60" s="404"/>
      <c r="EX60" s="404"/>
      <c r="EY60" s="404"/>
      <c r="EZ60" s="404"/>
      <c r="FA60" s="404"/>
      <c r="FB60" s="404"/>
      <c r="FC60" s="404"/>
      <c r="FD60" s="404"/>
      <c r="FE60" s="404"/>
      <c r="FF60" s="404"/>
      <c r="FG60" s="404"/>
      <c r="FH60" s="404"/>
      <c r="FI60" s="404"/>
      <c r="FJ60" s="404"/>
      <c r="FK60" s="404"/>
      <c r="FL60" s="404"/>
      <c r="FM60" s="404"/>
      <c r="FN60" s="404"/>
      <c r="FO60" s="404"/>
      <c r="FP60" s="404"/>
      <c r="FQ60" s="404"/>
      <c r="FR60" s="404"/>
      <c r="FS60" s="404"/>
      <c r="FT60" s="404"/>
      <c r="FU60" s="404"/>
      <c r="FV60" s="404"/>
      <c r="FW60" s="404"/>
      <c r="FX60" s="404"/>
      <c r="FY60" s="404"/>
      <c r="FZ60" s="404"/>
      <c r="GA60" s="404"/>
      <c r="GB60" s="404"/>
      <c r="GC60" s="404"/>
      <c r="GD60" s="404"/>
      <c r="GE60" s="404"/>
      <c r="GF60" s="404"/>
      <c r="GG60" s="404"/>
      <c r="GH60" s="404"/>
      <c r="GI60" s="404"/>
      <c r="GJ60" s="404"/>
      <c r="GK60" s="404"/>
      <c r="GL60" s="404"/>
      <c r="GM60" s="404"/>
      <c r="GN60" s="404"/>
      <c r="GO60" s="404"/>
      <c r="GP60" s="404"/>
      <c r="GQ60" s="404"/>
      <c r="GR60" s="404"/>
      <c r="GS60" s="404"/>
      <c r="GT60" s="404"/>
      <c r="GU60" s="404"/>
      <c r="GV60" s="404"/>
      <c r="GW60" s="404"/>
      <c r="GX60" s="404"/>
      <c r="GY60" s="404"/>
      <c r="GZ60" s="404"/>
      <c r="HA60" s="404"/>
      <c r="HB60" s="404"/>
      <c r="HC60" s="404"/>
      <c r="HD60" s="404"/>
      <c r="HE60" s="404"/>
      <c r="HF60" s="404"/>
      <c r="HG60" s="404"/>
      <c r="HH60" s="404"/>
      <c r="HI60" s="404"/>
      <c r="HJ60" s="404"/>
      <c r="HK60" s="404"/>
      <c r="HL60" s="404"/>
      <c r="HM60" s="404"/>
      <c r="HN60" s="404"/>
      <c r="HO60" s="404"/>
      <c r="HP60" s="404"/>
      <c r="HQ60" s="404"/>
      <c r="HR60" s="404"/>
      <c r="HS60" s="404"/>
      <c r="HT60" s="404"/>
      <c r="HU60" s="404"/>
      <c r="HV60" s="404"/>
      <c r="HW60" s="404"/>
      <c r="HX60" s="404"/>
      <c r="HY60" s="404"/>
      <c r="HZ60" s="404"/>
      <c r="IA60" s="404"/>
      <c r="IB60" s="404"/>
      <c r="IC60" s="404"/>
      <c r="ID60" s="404"/>
      <c r="IE60" s="404"/>
      <c r="IF60" s="404"/>
      <c r="IG60" s="404"/>
      <c r="IH60" s="404"/>
      <c r="II60" s="404"/>
      <c r="IJ60" s="404"/>
      <c r="IK60" s="404"/>
      <c r="IL60" s="404"/>
      <c r="IM60" s="404"/>
      <c r="IN60" s="404"/>
      <c r="IO60" s="404"/>
      <c r="IP60" s="404"/>
      <c r="IQ60" s="404"/>
      <c r="IR60" s="404"/>
      <c r="IS60" s="404"/>
      <c r="IT60" s="404"/>
      <c r="IU60" s="404"/>
      <c r="IV60" s="404"/>
    </row>
    <row r="61" spans="1:256" s="409" customFormat="1" x14ac:dyDescent="0.35">
      <c r="A61" s="735">
        <v>52</v>
      </c>
      <c r="B61" s="729"/>
      <c r="C61" s="406"/>
      <c r="D61" s="1499" t="s">
        <v>929</v>
      </c>
      <c r="E61" s="416"/>
      <c r="F61" s="725"/>
      <c r="G61" s="417"/>
      <c r="H61" s="946"/>
      <c r="I61" s="944"/>
      <c r="J61" s="937"/>
      <c r="K61" s="937"/>
      <c r="L61" s="937"/>
      <c r="M61" s="937"/>
      <c r="N61" s="960"/>
      <c r="O61" s="1732">
        <f t="shared" ref="O61:O62" si="18">SUM(I61:N61)</f>
        <v>0</v>
      </c>
      <c r="P61" s="726"/>
    </row>
    <row r="62" spans="1:256" x14ac:dyDescent="0.35">
      <c r="A62" s="735">
        <v>53</v>
      </c>
      <c r="B62" s="729"/>
      <c r="C62" s="406"/>
      <c r="D62" s="641" t="s">
        <v>927</v>
      </c>
      <c r="E62" s="416"/>
      <c r="F62" s="725"/>
      <c r="G62" s="417"/>
      <c r="H62" s="946"/>
      <c r="I62" s="944"/>
      <c r="J62" s="937"/>
      <c r="K62" s="1734">
        <f>SUM(K60:K61)</f>
        <v>1087</v>
      </c>
      <c r="L62" s="1734"/>
      <c r="M62" s="1734">
        <f t="shared" ref="M62" si="19">SUM(M60:M61)</f>
        <v>21914</v>
      </c>
      <c r="N62" s="960"/>
      <c r="O62" s="730">
        <f t="shared" si="18"/>
        <v>23001</v>
      </c>
      <c r="P62" s="726"/>
    </row>
    <row r="63" spans="1:256" x14ac:dyDescent="0.35">
      <c r="A63" s="735">
        <v>54</v>
      </c>
      <c r="B63" s="602"/>
      <c r="C63" s="447">
        <v>14</v>
      </c>
      <c r="D63" s="732" t="s">
        <v>705</v>
      </c>
      <c r="E63" s="416"/>
      <c r="F63" s="725"/>
      <c r="G63" s="417"/>
      <c r="H63" s="946" t="s">
        <v>24</v>
      </c>
      <c r="I63" s="944"/>
      <c r="J63" s="937"/>
      <c r="K63" s="937"/>
      <c r="L63" s="937"/>
      <c r="M63" s="937"/>
      <c r="N63" s="960"/>
      <c r="O63" s="930"/>
      <c r="P63" s="726"/>
    </row>
    <row r="64" spans="1:256" x14ac:dyDescent="0.35">
      <c r="A64" s="735">
        <v>55</v>
      </c>
      <c r="B64" s="729"/>
      <c r="C64" s="447"/>
      <c r="D64" s="1735" t="s">
        <v>292</v>
      </c>
      <c r="E64" s="416">
        <f>F64+G64+O66+P64+39749</f>
        <v>2906300</v>
      </c>
      <c r="F64" s="725"/>
      <c r="G64" s="417">
        <f>75-75</f>
        <v>0</v>
      </c>
      <c r="H64" s="946"/>
      <c r="I64" s="944"/>
      <c r="J64" s="937"/>
      <c r="K64" s="937">
        <v>57535</v>
      </c>
      <c r="L64" s="937"/>
      <c r="M64" s="937">
        <v>2690078</v>
      </c>
      <c r="N64" s="960"/>
      <c r="O64" s="930">
        <f>SUM(I64:N64)</f>
        <v>2747613</v>
      </c>
      <c r="P64" s="726">
        <v>118938</v>
      </c>
    </row>
    <row r="65" spans="1:16" x14ac:dyDescent="0.35">
      <c r="A65" s="735">
        <v>56</v>
      </c>
      <c r="B65" s="729"/>
      <c r="C65" s="447"/>
      <c r="D65" s="1499" t="s">
        <v>929</v>
      </c>
      <c r="E65" s="416"/>
      <c r="F65" s="725"/>
      <c r="G65" s="417"/>
      <c r="H65" s="946"/>
      <c r="I65" s="944"/>
      <c r="J65" s="937"/>
      <c r="K65" s="937"/>
      <c r="L65" s="937"/>
      <c r="M65" s="937"/>
      <c r="N65" s="960"/>
      <c r="O65" s="1732">
        <f t="shared" ref="O65:O66" si="20">SUM(I65:N65)</f>
        <v>0</v>
      </c>
      <c r="P65" s="726"/>
    </row>
    <row r="66" spans="1:16" x14ac:dyDescent="0.35">
      <c r="A66" s="735">
        <v>57</v>
      </c>
      <c r="B66" s="729"/>
      <c r="C66" s="447"/>
      <c r="D66" s="641" t="s">
        <v>927</v>
      </c>
      <c r="E66" s="416"/>
      <c r="F66" s="725"/>
      <c r="G66" s="417"/>
      <c r="H66" s="946"/>
      <c r="I66" s="944"/>
      <c r="J66" s="937"/>
      <c r="K66" s="1734">
        <f>SUM(K64:K65)</f>
        <v>57535</v>
      </c>
      <c r="L66" s="1734"/>
      <c r="M66" s="1734">
        <f t="shared" ref="M66" si="21">SUM(M64:M65)</f>
        <v>2690078</v>
      </c>
      <c r="N66" s="960"/>
      <c r="O66" s="730">
        <f t="shared" si="20"/>
        <v>2747613</v>
      </c>
      <c r="P66" s="726"/>
    </row>
    <row r="67" spans="1:16" ht="33" x14ac:dyDescent="0.35">
      <c r="A67" s="735">
        <v>58</v>
      </c>
      <c r="B67" s="602"/>
      <c r="C67" s="406">
        <v>15</v>
      </c>
      <c r="D67" s="408" t="s">
        <v>452</v>
      </c>
      <c r="E67" s="416"/>
      <c r="F67" s="725"/>
      <c r="G67" s="417"/>
      <c r="H67" s="946" t="s">
        <v>24</v>
      </c>
      <c r="I67" s="944"/>
      <c r="J67" s="937"/>
      <c r="K67" s="937"/>
      <c r="L67" s="937"/>
      <c r="M67" s="937"/>
      <c r="N67" s="960"/>
      <c r="O67" s="930"/>
      <c r="P67" s="726"/>
    </row>
    <row r="68" spans="1:16" x14ac:dyDescent="0.35">
      <c r="A68" s="735">
        <v>59</v>
      </c>
      <c r="B68" s="729"/>
      <c r="C68" s="406"/>
      <c r="D68" s="1735" t="s">
        <v>292</v>
      </c>
      <c r="E68" s="416">
        <f>F68+G68+O70+P68</f>
        <v>1629330</v>
      </c>
      <c r="F68" s="725">
        <f>28000+26441</f>
        <v>54441</v>
      </c>
      <c r="G68" s="417">
        <v>46228</v>
      </c>
      <c r="H68" s="946"/>
      <c r="I68" s="944"/>
      <c r="J68" s="937"/>
      <c r="K68" s="937">
        <v>12196</v>
      </c>
      <c r="L68" s="937"/>
      <c r="M68" s="937">
        <v>1516465</v>
      </c>
      <c r="N68" s="960"/>
      <c r="O68" s="930">
        <f>SUM(I68:N68)</f>
        <v>1528661</v>
      </c>
      <c r="P68" s="726"/>
    </row>
    <row r="69" spans="1:16" x14ac:dyDescent="0.35">
      <c r="A69" s="735">
        <v>60</v>
      </c>
      <c r="B69" s="729"/>
      <c r="C69" s="406"/>
      <c r="D69" s="1499" t="s">
        <v>929</v>
      </c>
      <c r="E69" s="416"/>
      <c r="F69" s="725"/>
      <c r="G69" s="417"/>
      <c r="H69" s="946"/>
      <c r="I69" s="944"/>
      <c r="J69" s="937"/>
      <c r="K69" s="937"/>
      <c r="L69" s="937"/>
      <c r="M69" s="937"/>
      <c r="N69" s="960"/>
      <c r="O69" s="1732">
        <f t="shared" ref="O69:O70" si="22">SUM(I69:N69)</f>
        <v>0</v>
      </c>
      <c r="P69" s="726"/>
    </row>
    <row r="70" spans="1:16" x14ac:dyDescent="0.35">
      <c r="A70" s="735">
        <v>61</v>
      </c>
      <c r="B70" s="729"/>
      <c r="C70" s="406"/>
      <c r="D70" s="641" t="s">
        <v>927</v>
      </c>
      <c r="E70" s="416"/>
      <c r="F70" s="725"/>
      <c r="G70" s="417"/>
      <c r="H70" s="946"/>
      <c r="I70" s="944"/>
      <c r="J70" s="937"/>
      <c r="K70" s="1734">
        <f>SUM(K68:K69)</f>
        <v>12196</v>
      </c>
      <c r="L70" s="1734"/>
      <c r="M70" s="1734">
        <f t="shared" ref="M70" si="23">SUM(M68:M69)</f>
        <v>1516465</v>
      </c>
      <c r="N70" s="960"/>
      <c r="O70" s="730">
        <f t="shared" si="22"/>
        <v>1528661</v>
      </c>
      <c r="P70" s="726"/>
    </row>
    <row r="71" spans="1:16" ht="49.5" x14ac:dyDescent="0.35">
      <c r="A71" s="735">
        <v>62</v>
      </c>
      <c r="B71" s="602"/>
      <c r="C71" s="406">
        <v>16</v>
      </c>
      <c r="D71" s="408" t="s">
        <v>516</v>
      </c>
      <c r="E71" s="416"/>
      <c r="F71" s="725"/>
      <c r="G71" s="417"/>
      <c r="H71" s="946" t="s">
        <v>24</v>
      </c>
      <c r="I71" s="944"/>
      <c r="J71" s="937"/>
      <c r="K71" s="937"/>
      <c r="L71" s="937"/>
      <c r="M71" s="937"/>
      <c r="N71" s="960"/>
      <c r="O71" s="930"/>
      <c r="P71" s="726"/>
    </row>
    <row r="72" spans="1:16" x14ac:dyDescent="0.35">
      <c r="A72" s="735">
        <v>63</v>
      </c>
      <c r="B72" s="729"/>
      <c r="C72" s="447"/>
      <c r="D72" s="1735" t="s">
        <v>292</v>
      </c>
      <c r="E72" s="416">
        <f>F72+G72+O74+P72</f>
        <v>555126</v>
      </c>
      <c r="F72" s="725">
        <f>4379+12827</f>
        <v>17206</v>
      </c>
      <c r="G72" s="417">
        <v>0</v>
      </c>
      <c r="H72" s="946"/>
      <c r="I72" s="944"/>
      <c r="J72" s="937"/>
      <c r="K72" s="937">
        <v>3667</v>
      </c>
      <c r="L72" s="937"/>
      <c r="M72" s="937">
        <v>534253</v>
      </c>
      <c r="N72" s="960"/>
      <c r="O72" s="930">
        <f>SUM(I72:N72)</f>
        <v>537920</v>
      </c>
      <c r="P72" s="726"/>
    </row>
    <row r="73" spans="1:16" x14ac:dyDescent="0.35">
      <c r="A73" s="735">
        <v>64</v>
      </c>
      <c r="B73" s="729"/>
      <c r="C73" s="447"/>
      <c r="D73" s="1499" t="s">
        <v>929</v>
      </c>
      <c r="E73" s="416"/>
      <c r="F73" s="725"/>
      <c r="G73" s="417"/>
      <c r="H73" s="946"/>
      <c r="I73" s="944"/>
      <c r="J73" s="937"/>
      <c r="K73" s="937"/>
      <c r="L73" s="937"/>
      <c r="M73" s="937"/>
      <c r="N73" s="960"/>
      <c r="O73" s="1732">
        <f t="shared" ref="O73:O74" si="24">SUM(I73:N73)</f>
        <v>0</v>
      </c>
      <c r="P73" s="726"/>
    </row>
    <row r="74" spans="1:16" x14ac:dyDescent="0.35">
      <c r="A74" s="735">
        <v>65</v>
      </c>
      <c r="B74" s="729"/>
      <c r="C74" s="447"/>
      <c r="D74" s="641" t="s">
        <v>927</v>
      </c>
      <c r="E74" s="416"/>
      <c r="F74" s="725"/>
      <c r="G74" s="417"/>
      <c r="H74" s="946"/>
      <c r="I74" s="944"/>
      <c r="J74" s="937"/>
      <c r="K74" s="1734">
        <f>SUM(K72:K73)</f>
        <v>3667</v>
      </c>
      <c r="L74" s="1734"/>
      <c r="M74" s="1734">
        <f t="shared" ref="M74" si="25">SUM(M72:M73)</f>
        <v>534253</v>
      </c>
      <c r="N74" s="960"/>
      <c r="O74" s="730">
        <f t="shared" si="24"/>
        <v>537920</v>
      </c>
      <c r="P74" s="726"/>
    </row>
    <row r="75" spans="1:16" ht="33" x14ac:dyDescent="0.35">
      <c r="A75" s="735">
        <v>66</v>
      </c>
      <c r="B75" s="602"/>
      <c r="C75" s="406">
        <v>17</v>
      </c>
      <c r="D75" s="408" t="s">
        <v>592</v>
      </c>
      <c r="E75" s="416"/>
      <c r="F75" s="725"/>
      <c r="G75" s="417"/>
      <c r="H75" s="946" t="s">
        <v>24</v>
      </c>
      <c r="I75" s="944"/>
      <c r="J75" s="937"/>
      <c r="K75" s="937"/>
      <c r="L75" s="937"/>
      <c r="M75" s="937"/>
      <c r="N75" s="960"/>
      <c r="O75" s="930"/>
      <c r="P75" s="726"/>
    </row>
    <row r="76" spans="1:16" x14ac:dyDescent="0.35">
      <c r="A76" s="735">
        <v>67</v>
      </c>
      <c r="B76" s="729"/>
      <c r="C76" s="406"/>
      <c r="D76" s="1735" t="s">
        <v>292</v>
      </c>
      <c r="E76" s="416">
        <f>F76+G76+O78+P76+75640+49690</f>
        <v>184000</v>
      </c>
      <c r="F76" s="725">
        <f>9200+10675</f>
        <v>19875</v>
      </c>
      <c r="G76" s="417">
        <v>19540</v>
      </c>
      <c r="H76" s="946"/>
      <c r="I76" s="944"/>
      <c r="J76" s="937"/>
      <c r="K76" s="937">
        <v>19255</v>
      </c>
      <c r="L76" s="937"/>
      <c r="M76" s="937"/>
      <c r="N76" s="960"/>
      <c r="O76" s="930">
        <f>SUM(I76:N76)</f>
        <v>19255</v>
      </c>
      <c r="P76" s="726"/>
    </row>
    <row r="77" spans="1:16" x14ac:dyDescent="0.35">
      <c r="A77" s="735">
        <v>68</v>
      </c>
      <c r="B77" s="729"/>
      <c r="C77" s="406"/>
      <c r="D77" s="1499" t="s">
        <v>929</v>
      </c>
      <c r="E77" s="416"/>
      <c r="F77" s="725"/>
      <c r="G77" s="417"/>
      <c r="H77" s="946"/>
      <c r="I77" s="944"/>
      <c r="J77" s="937"/>
      <c r="K77" s="937"/>
      <c r="L77" s="937"/>
      <c r="M77" s="937"/>
      <c r="N77" s="960"/>
      <c r="O77" s="1732">
        <f t="shared" ref="O77:O78" si="26">SUM(I77:N77)</f>
        <v>0</v>
      </c>
      <c r="P77" s="726"/>
    </row>
    <row r="78" spans="1:16" x14ac:dyDescent="0.35">
      <c r="A78" s="735">
        <v>69</v>
      </c>
      <c r="B78" s="729"/>
      <c r="C78" s="406"/>
      <c r="D78" s="641" t="s">
        <v>927</v>
      </c>
      <c r="E78" s="416"/>
      <c r="F78" s="725"/>
      <c r="G78" s="417"/>
      <c r="H78" s="946"/>
      <c r="I78" s="944"/>
      <c r="J78" s="937"/>
      <c r="K78" s="1734">
        <f>SUM(K76:K77)</f>
        <v>19255</v>
      </c>
      <c r="L78" s="937"/>
      <c r="M78" s="937"/>
      <c r="N78" s="960"/>
      <c r="O78" s="730">
        <f t="shared" si="26"/>
        <v>19255</v>
      </c>
      <c r="P78" s="726"/>
    </row>
    <row r="79" spans="1:16" ht="49.5" x14ac:dyDescent="0.35">
      <c r="A79" s="735">
        <v>70</v>
      </c>
      <c r="B79" s="602"/>
      <c r="C79" s="406">
        <v>18</v>
      </c>
      <c r="D79" s="408" t="s">
        <v>433</v>
      </c>
      <c r="E79" s="416"/>
      <c r="F79" s="725"/>
      <c r="G79" s="417"/>
      <c r="H79" s="946" t="s">
        <v>24</v>
      </c>
      <c r="I79" s="944"/>
      <c r="J79" s="937"/>
      <c r="K79" s="937"/>
      <c r="L79" s="937"/>
      <c r="M79" s="937"/>
      <c r="N79" s="960"/>
      <c r="O79" s="930"/>
      <c r="P79" s="726"/>
    </row>
    <row r="80" spans="1:16" x14ac:dyDescent="0.35">
      <c r="A80" s="735">
        <v>71</v>
      </c>
      <c r="B80" s="729"/>
      <c r="C80" s="406"/>
      <c r="D80" s="1735" t="s">
        <v>292</v>
      </c>
      <c r="E80" s="416">
        <f>F80+G80+O82+P80</f>
        <v>51055</v>
      </c>
      <c r="F80" s="725">
        <f>1176+23808</f>
        <v>24984</v>
      </c>
      <c r="G80" s="417">
        <v>8922</v>
      </c>
      <c r="H80" s="946"/>
      <c r="I80" s="944"/>
      <c r="J80" s="937"/>
      <c r="K80" s="937"/>
      <c r="L80" s="937">
        <v>17149</v>
      </c>
      <c r="M80" s="937"/>
      <c r="N80" s="960"/>
      <c r="O80" s="930">
        <f>SUM(I80:N80)</f>
        <v>17149</v>
      </c>
      <c r="P80" s="726"/>
    </row>
    <row r="81" spans="1:16" x14ac:dyDescent="0.35">
      <c r="A81" s="735">
        <v>72</v>
      </c>
      <c r="B81" s="729"/>
      <c r="C81" s="406"/>
      <c r="D81" s="1499" t="s">
        <v>929</v>
      </c>
      <c r="E81" s="416"/>
      <c r="F81" s="725"/>
      <c r="G81" s="417"/>
      <c r="H81" s="946"/>
      <c r="I81" s="944"/>
      <c r="J81" s="937"/>
      <c r="K81" s="937"/>
      <c r="L81" s="937"/>
      <c r="M81" s="937"/>
      <c r="N81" s="960"/>
      <c r="O81" s="1732">
        <f t="shared" ref="O81:O82" si="27">SUM(I81:N81)</f>
        <v>0</v>
      </c>
      <c r="P81" s="726"/>
    </row>
    <row r="82" spans="1:16" x14ac:dyDescent="0.35">
      <c r="A82" s="735">
        <v>73</v>
      </c>
      <c r="B82" s="729"/>
      <c r="C82" s="406"/>
      <c r="D82" s="641" t="s">
        <v>927</v>
      </c>
      <c r="E82" s="416"/>
      <c r="F82" s="725"/>
      <c r="G82" s="417"/>
      <c r="H82" s="946"/>
      <c r="I82" s="944"/>
      <c r="J82" s="937"/>
      <c r="K82" s="937"/>
      <c r="L82" s="1734">
        <f>SUM(L80:L81)</f>
        <v>17149</v>
      </c>
      <c r="M82" s="937"/>
      <c r="N82" s="960"/>
      <c r="O82" s="730">
        <f t="shared" si="27"/>
        <v>17149</v>
      </c>
      <c r="P82" s="726"/>
    </row>
    <row r="83" spans="1:16" x14ac:dyDescent="0.35">
      <c r="A83" s="735">
        <v>74</v>
      </c>
      <c r="B83" s="602"/>
      <c r="C83" s="447">
        <v>19</v>
      </c>
      <c r="D83" s="732" t="s">
        <v>517</v>
      </c>
      <c r="E83" s="416"/>
      <c r="F83" s="416"/>
      <c r="G83" s="417"/>
      <c r="H83" s="946" t="s">
        <v>24</v>
      </c>
      <c r="I83" s="1275"/>
      <c r="J83" s="934"/>
      <c r="K83" s="934"/>
      <c r="L83" s="934"/>
      <c r="M83" s="934"/>
      <c r="N83" s="959"/>
      <c r="O83" s="966"/>
      <c r="P83" s="726"/>
    </row>
    <row r="84" spans="1:16" x14ac:dyDescent="0.35">
      <c r="A84" s="735">
        <v>75</v>
      </c>
      <c r="B84" s="602"/>
      <c r="C84" s="447"/>
      <c r="D84" s="1735" t="s">
        <v>292</v>
      </c>
      <c r="E84" s="416">
        <f>F84+G84+O86+P84+76</f>
        <v>28307</v>
      </c>
      <c r="F84" s="416">
        <v>8399</v>
      </c>
      <c r="G84" s="417">
        <v>7278</v>
      </c>
      <c r="H84" s="946"/>
      <c r="I84" s="1275"/>
      <c r="J84" s="934">
        <v>46</v>
      </c>
      <c r="K84" s="934">
        <v>9312</v>
      </c>
      <c r="L84" s="934"/>
      <c r="M84" s="934"/>
      <c r="N84" s="959"/>
      <c r="O84" s="930">
        <f>SUM(I84:N84)</f>
        <v>9358</v>
      </c>
      <c r="P84" s="726"/>
    </row>
    <row r="85" spans="1:16" x14ac:dyDescent="0.35">
      <c r="A85" s="735">
        <v>76</v>
      </c>
      <c r="B85" s="602"/>
      <c r="C85" s="447"/>
      <c r="D85" s="1499" t="s">
        <v>926</v>
      </c>
      <c r="E85" s="416"/>
      <c r="F85" s="416"/>
      <c r="G85" s="417"/>
      <c r="H85" s="946"/>
      <c r="I85" s="1737">
        <v>2781</v>
      </c>
      <c r="J85" s="1736">
        <v>415</v>
      </c>
      <c r="K85" s="934"/>
      <c r="L85" s="934"/>
      <c r="M85" s="934"/>
      <c r="N85" s="959"/>
      <c r="O85" s="1732">
        <f t="shared" ref="O85:O86" si="28">SUM(I85:N85)</f>
        <v>3196</v>
      </c>
      <c r="P85" s="726"/>
    </row>
    <row r="86" spans="1:16" x14ac:dyDescent="0.35">
      <c r="A86" s="735">
        <v>77</v>
      </c>
      <c r="B86" s="602"/>
      <c r="C86" s="447"/>
      <c r="D86" s="641" t="s">
        <v>927</v>
      </c>
      <c r="E86" s="416"/>
      <c r="F86" s="416"/>
      <c r="G86" s="417"/>
      <c r="H86" s="946"/>
      <c r="I86" s="1275">
        <f>SUM(I85)</f>
        <v>2781</v>
      </c>
      <c r="J86" s="1236">
        <f>SUM(J84:J85)</f>
        <v>461</v>
      </c>
      <c r="K86" s="1236">
        <f>SUM(K84:K85)</f>
        <v>9312</v>
      </c>
      <c r="L86" s="934"/>
      <c r="M86" s="934"/>
      <c r="N86" s="959"/>
      <c r="O86" s="730">
        <f t="shared" si="28"/>
        <v>12554</v>
      </c>
      <c r="P86" s="726"/>
    </row>
    <row r="87" spans="1:16" x14ac:dyDescent="0.35">
      <c r="A87" s="735">
        <v>78</v>
      </c>
      <c r="B87" s="602"/>
      <c r="C87" s="447">
        <v>20</v>
      </c>
      <c r="D87" s="732" t="s">
        <v>518</v>
      </c>
      <c r="E87" s="416"/>
      <c r="F87" s="416"/>
      <c r="G87" s="417"/>
      <c r="H87" s="946" t="s">
        <v>24</v>
      </c>
      <c r="I87" s="1275"/>
      <c r="J87" s="934"/>
      <c r="K87" s="934"/>
      <c r="L87" s="934"/>
      <c r="M87" s="934"/>
      <c r="N87" s="959"/>
      <c r="O87" s="966"/>
      <c r="P87" s="726"/>
    </row>
    <row r="88" spans="1:16" x14ac:dyDescent="0.35">
      <c r="A88" s="735">
        <v>79</v>
      </c>
      <c r="B88" s="602"/>
      <c r="C88" s="447"/>
      <c r="D88" s="1735" t="s">
        <v>292</v>
      </c>
      <c r="E88" s="416">
        <f>F88+G88+O90+P88</f>
        <v>3071</v>
      </c>
      <c r="F88" s="416"/>
      <c r="G88" s="417"/>
      <c r="H88" s="946"/>
      <c r="I88" s="1275"/>
      <c r="J88" s="934"/>
      <c r="K88" s="934">
        <v>3071</v>
      </c>
      <c r="L88" s="934"/>
      <c r="M88" s="934"/>
      <c r="N88" s="959"/>
      <c r="O88" s="930">
        <f>SUM(I88:N88)</f>
        <v>3071</v>
      </c>
      <c r="P88" s="726"/>
    </row>
    <row r="89" spans="1:16" x14ac:dyDescent="0.35">
      <c r="A89" s="735">
        <v>80</v>
      </c>
      <c r="B89" s="602"/>
      <c r="C89" s="447"/>
      <c r="D89" s="1499" t="s">
        <v>929</v>
      </c>
      <c r="E89" s="416"/>
      <c r="F89" s="416"/>
      <c r="G89" s="417"/>
      <c r="H89" s="946"/>
      <c r="I89" s="1275"/>
      <c r="J89" s="934"/>
      <c r="K89" s="934"/>
      <c r="L89" s="934"/>
      <c r="M89" s="934"/>
      <c r="N89" s="959"/>
      <c r="O89" s="1732">
        <f t="shared" ref="O89:O90" si="29">SUM(I89:N89)</f>
        <v>0</v>
      </c>
      <c r="P89" s="726"/>
    </row>
    <row r="90" spans="1:16" x14ac:dyDescent="0.35">
      <c r="A90" s="735">
        <v>81</v>
      </c>
      <c r="B90" s="602"/>
      <c r="C90" s="447"/>
      <c r="D90" s="641" t="s">
        <v>927</v>
      </c>
      <c r="E90" s="416"/>
      <c r="F90" s="416"/>
      <c r="G90" s="417"/>
      <c r="H90" s="946"/>
      <c r="I90" s="1275"/>
      <c r="J90" s="934"/>
      <c r="K90" s="1236">
        <f>SUM(K88:K89)</f>
        <v>3071</v>
      </c>
      <c r="L90" s="934"/>
      <c r="M90" s="934"/>
      <c r="N90" s="959"/>
      <c r="O90" s="730">
        <f t="shared" si="29"/>
        <v>3071</v>
      </c>
      <c r="P90" s="726"/>
    </row>
    <row r="91" spans="1:16" x14ac:dyDescent="0.35">
      <c r="A91" s="735">
        <v>82</v>
      </c>
      <c r="B91" s="602"/>
      <c r="C91" s="447">
        <v>21</v>
      </c>
      <c r="D91" s="732" t="s">
        <v>519</v>
      </c>
      <c r="E91" s="416"/>
      <c r="F91" s="416"/>
      <c r="G91" s="417"/>
      <c r="H91" s="946" t="s">
        <v>24</v>
      </c>
      <c r="I91" s="1275"/>
      <c r="J91" s="934"/>
      <c r="K91" s="934"/>
      <c r="L91" s="934"/>
      <c r="M91" s="934"/>
      <c r="N91" s="959"/>
      <c r="O91" s="966"/>
      <c r="P91" s="726"/>
    </row>
    <row r="92" spans="1:16" x14ac:dyDescent="0.35">
      <c r="A92" s="735">
        <v>83</v>
      </c>
      <c r="B92" s="602"/>
      <c r="C92" s="447"/>
      <c r="D92" s="1735" t="s">
        <v>292</v>
      </c>
      <c r="E92" s="416">
        <f>F92+G92+O94+P92+625+5664</f>
        <v>35920</v>
      </c>
      <c r="F92" s="416"/>
      <c r="G92" s="417">
        <f>118+2475</f>
        <v>2593</v>
      </c>
      <c r="H92" s="946"/>
      <c r="I92" s="1275"/>
      <c r="J92" s="934"/>
      <c r="K92" s="934">
        <v>21926</v>
      </c>
      <c r="L92" s="934"/>
      <c r="M92" s="934"/>
      <c r="N92" s="959"/>
      <c r="O92" s="930">
        <f>SUM(I92:N92)</f>
        <v>21926</v>
      </c>
      <c r="P92" s="726">
        <v>10776</v>
      </c>
    </row>
    <row r="93" spans="1:16" x14ac:dyDescent="0.35">
      <c r="A93" s="735">
        <v>84</v>
      </c>
      <c r="B93" s="602"/>
      <c r="C93" s="447"/>
      <c r="D93" s="1499" t="s">
        <v>1080</v>
      </c>
      <c r="E93" s="416"/>
      <c r="F93" s="416"/>
      <c r="G93" s="417"/>
      <c r="H93" s="946"/>
      <c r="I93" s="1275"/>
      <c r="J93" s="934"/>
      <c r="K93" s="1736">
        <v>-5664</v>
      </c>
      <c r="L93" s="934"/>
      <c r="M93" s="934"/>
      <c r="N93" s="959"/>
      <c r="O93" s="1732">
        <f t="shared" ref="O93:O94" si="30">SUM(I93:N93)</f>
        <v>-5664</v>
      </c>
      <c r="P93" s="726"/>
    </row>
    <row r="94" spans="1:16" x14ac:dyDescent="0.35">
      <c r="A94" s="735">
        <v>85</v>
      </c>
      <c r="B94" s="602"/>
      <c r="C94" s="447"/>
      <c r="D94" s="641" t="s">
        <v>927</v>
      </c>
      <c r="E94" s="416"/>
      <c r="F94" s="416"/>
      <c r="G94" s="417"/>
      <c r="H94" s="946"/>
      <c r="I94" s="1275"/>
      <c r="J94" s="934"/>
      <c r="K94" s="1236">
        <f>SUM(K92:K93)</f>
        <v>16262</v>
      </c>
      <c r="L94" s="934"/>
      <c r="M94" s="934"/>
      <c r="N94" s="959"/>
      <c r="O94" s="730">
        <f t="shared" si="30"/>
        <v>16262</v>
      </c>
      <c r="P94" s="726"/>
    </row>
    <row r="95" spans="1:16" x14ac:dyDescent="0.35">
      <c r="A95" s="735">
        <v>86</v>
      </c>
      <c r="B95" s="602"/>
      <c r="C95" s="447">
        <v>22</v>
      </c>
      <c r="D95" s="732" t="s">
        <v>520</v>
      </c>
      <c r="E95" s="416"/>
      <c r="F95" s="416"/>
      <c r="G95" s="417"/>
      <c r="H95" s="946" t="s">
        <v>24</v>
      </c>
      <c r="I95" s="1275"/>
      <c r="J95" s="934"/>
      <c r="K95" s="934"/>
      <c r="L95" s="934"/>
      <c r="M95" s="934"/>
      <c r="N95" s="959"/>
      <c r="O95" s="966"/>
      <c r="P95" s="726"/>
    </row>
    <row r="96" spans="1:16" x14ac:dyDescent="0.35">
      <c r="A96" s="735">
        <v>87</v>
      </c>
      <c r="B96" s="602"/>
      <c r="C96" s="447"/>
      <c r="D96" s="1735" t="s">
        <v>292</v>
      </c>
      <c r="E96" s="416">
        <f>F96+G96+O98+P96</f>
        <v>55000</v>
      </c>
      <c r="F96" s="416"/>
      <c r="G96" s="417">
        <v>1680</v>
      </c>
      <c r="H96" s="946"/>
      <c r="I96" s="1275"/>
      <c r="J96" s="934"/>
      <c r="K96" s="934">
        <v>295</v>
      </c>
      <c r="L96" s="934"/>
      <c r="M96" s="934">
        <v>53025</v>
      </c>
      <c r="N96" s="959"/>
      <c r="O96" s="930">
        <f>SUM(I96:N96)</f>
        <v>53320</v>
      </c>
      <c r="P96" s="726"/>
    </row>
    <row r="97" spans="1:16" x14ac:dyDescent="0.35">
      <c r="A97" s="735">
        <v>88</v>
      </c>
      <c r="B97" s="602"/>
      <c r="C97" s="447"/>
      <c r="D97" s="1499" t="s">
        <v>929</v>
      </c>
      <c r="E97" s="416"/>
      <c r="F97" s="416"/>
      <c r="G97" s="417"/>
      <c r="H97" s="946"/>
      <c r="I97" s="1275"/>
      <c r="J97" s="934"/>
      <c r="K97" s="934"/>
      <c r="L97" s="934"/>
      <c r="M97" s="934"/>
      <c r="N97" s="959"/>
      <c r="O97" s="1732">
        <f t="shared" ref="O97:O98" si="31">SUM(I97:N97)</f>
        <v>0</v>
      </c>
      <c r="P97" s="726"/>
    </row>
    <row r="98" spans="1:16" x14ac:dyDescent="0.35">
      <c r="A98" s="735">
        <v>89</v>
      </c>
      <c r="B98" s="602"/>
      <c r="C98" s="447"/>
      <c r="D98" s="641" t="s">
        <v>927</v>
      </c>
      <c r="E98" s="416"/>
      <c r="F98" s="416"/>
      <c r="G98" s="417"/>
      <c r="H98" s="946"/>
      <c r="I98" s="1275"/>
      <c r="J98" s="934"/>
      <c r="K98" s="1236">
        <f>SUM(K96:K97)</f>
        <v>295</v>
      </c>
      <c r="L98" s="1236"/>
      <c r="M98" s="1236">
        <f t="shared" ref="M98" si="32">SUM(M96:M97)</f>
        <v>53025</v>
      </c>
      <c r="N98" s="959"/>
      <c r="O98" s="730">
        <f t="shared" si="31"/>
        <v>53320</v>
      </c>
      <c r="P98" s="726"/>
    </row>
    <row r="99" spans="1:16" ht="50.25" x14ac:dyDescent="0.35">
      <c r="A99" s="735">
        <v>90</v>
      </c>
      <c r="B99" s="602"/>
      <c r="C99" s="406">
        <v>23</v>
      </c>
      <c r="D99" s="968" t="s">
        <v>521</v>
      </c>
      <c r="E99" s="416"/>
      <c r="F99" s="416"/>
      <c r="G99" s="417"/>
      <c r="H99" s="946" t="s">
        <v>24</v>
      </c>
      <c r="I99" s="1275"/>
      <c r="J99" s="934"/>
      <c r="K99" s="934"/>
      <c r="L99" s="934"/>
      <c r="M99" s="934"/>
      <c r="N99" s="959"/>
      <c r="O99" s="966"/>
      <c r="P99" s="726"/>
    </row>
    <row r="100" spans="1:16" x14ac:dyDescent="0.35">
      <c r="A100" s="735">
        <v>91</v>
      </c>
      <c r="B100" s="602"/>
      <c r="C100" s="447"/>
      <c r="D100" s="1735" t="s">
        <v>292</v>
      </c>
      <c r="E100" s="416">
        <f>F100+G100+O102+P100</f>
        <v>19985</v>
      </c>
      <c r="F100" s="416"/>
      <c r="G100" s="417"/>
      <c r="H100" s="946"/>
      <c r="I100" s="1275"/>
      <c r="J100" s="934"/>
      <c r="K100" s="934">
        <v>19985</v>
      </c>
      <c r="L100" s="934"/>
      <c r="M100" s="934"/>
      <c r="N100" s="959"/>
      <c r="O100" s="930">
        <f>SUM(I100:N100)</f>
        <v>19985</v>
      </c>
      <c r="P100" s="726"/>
    </row>
    <row r="101" spans="1:16" x14ac:dyDescent="0.35">
      <c r="A101" s="735">
        <v>92</v>
      </c>
      <c r="B101" s="602"/>
      <c r="C101" s="447"/>
      <c r="D101" s="1499" t="s">
        <v>929</v>
      </c>
      <c r="E101" s="416"/>
      <c r="F101" s="416"/>
      <c r="G101" s="417"/>
      <c r="H101" s="946"/>
      <c r="I101" s="1275"/>
      <c r="J101" s="934"/>
      <c r="K101" s="934"/>
      <c r="L101" s="934"/>
      <c r="M101" s="934"/>
      <c r="N101" s="959"/>
      <c r="O101" s="1732">
        <f t="shared" ref="O101:O102" si="33">SUM(I101:N101)</f>
        <v>0</v>
      </c>
      <c r="P101" s="726"/>
    </row>
    <row r="102" spans="1:16" x14ac:dyDescent="0.35">
      <c r="A102" s="735">
        <v>93</v>
      </c>
      <c r="B102" s="602"/>
      <c r="C102" s="447"/>
      <c r="D102" s="641" t="s">
        <v>927</v>
      </c>
      <c r="E102" s="416"/>
      <c r="F102" s="416"/>
      <c r="G102" s="417"/>
      <c r="H102" s="946"/>
      <c r="I102" s="1275"/>
      <c r="J102" s="934"/>
      <c r="K102" s="1236">
        <f>SUM(K100:K101)</f>
        <v>19985</v>
      </c>
      <c r="L102" s="934"/>
      <c r="M102" s="934"/>
      <c r="N102" s="959"/>
      <c r="O102" s="730">
        <f t="shared" si="33"/>
        <v>19985</v>
      </c>
      <c r="P102" s="726"/>
    </row>
    <row r="103" spans="1:16" x14ac:dyDescent="0.35">
      <c r="A103" s="735">
        <v>94</v>
      </c>
      <c r="B103" s="602"/>
      <c r="C103" s="447">
        <v>24</v>
      </c>
      <c r="D103" s="407" t="s">
        <v>522</v>
      </c>
      <c r="E103" s="416"/>
      <c r="F103" s="416"/>
      <c r="G103" s="417"/>
      <c r="H103" s="946" t="s">
        <v>24</v>
      </c>
      <c r="I103" s="1275"/>
      <c r="J103" s="934"/>
      <c r="K103" s="934"/>
      <c r="L103" s="934"/>
      <c r="M103" s="934"/>
      <c r="N103" s="959"/>
      <c r="O103" s="966"/>
      <c r="P103" s="726"/>
    </row>
    <row r="104" spans="1:16" x14ac:dyDescent="0.35">
      <c r="A104" s="735">
        <v>95</v>
      </c>
      <c r="B104" s="602"/>
      <c r="C104" s="447"/>
      <c r="D104" s="1735" t="s">
        <v>292</v>
      </c>
      <c r="E104" s="416">
        <f>F104+G104+O106+P104</f>
        <v>555</v>
      </c>
      <c r="F104" s="416"/>
      <c r="G104" s="417"/>
      <c r="H104" s="946"/>
      <c r="I104" s="1275"/>
      <c r="J104" s="934"/>
      <c r="K104" s="934">
        <v>155</v>
      </c>
      <c r="L104" s="934">
        <v>400</v>
      </c>
      <c r="M104" s="934"/>
      <c r="N104" s="959"/>
      <c r="O104" s="930">
        <f>SUM(I104:N104)</f>
        <v>555</v>
      </c>
      <c r="P104" s="726"/>
    </row>
    <row r="105" spans="1:16" x14ac:dyDescent="0.35">
      <c r="A105" s="735">
        <v>96</v>
      </c>
      <c r="B105" s="602"/>
      <c r="C105" s="447"/>
      <c r="D105" s="1499" t="s">
        <v>929</v>
      </c>
      <c r="E105" s="416"/>
      <c r="F105" s="416"/>
      <c r="G105" s="417"/>
      <c r="H105" s="946"/>
      <c r="I105" s="1275"/>
      <c r="J105" s="934"/>
      <c r="K105" s="934"/>
      <c r="L105" s="934"/>
      <c r="M105" s="934"/>
      <c r="N105" s="959"/>
      <c r="O105" s="1732">
        <f t="shared" ref="O105:O106" si="34">SUM(I105:N105)</f>
        <v>0</v>
      </c>
      <c r="P105" s="726"/>
    </row>
    <row r="106" spans="1:16" x14ac:dyDescent="0.35">
      <c r="A106" s="735">
        <v>97</v>
      </c>
      <c r="B106" s="602"/>
      <c r="C106" s="447"/>
      <c r="D106" s="641" t="s">
        <v>927</v>
      </c>
      <c r="E106" s="416"/>
      <c r="F106" s="416"/>
      <c r="G106" s="417"/>
      <c r="H106" s="946"/>
      <c r="I106" s="1275"/>
      <c r="J106" s="934"/>
      <c r="K106" s="1236">
        <f>SUM(K104:K105)</f>
        <v>155</v>
      </c>
      <c r="L106" s="1236">
        <f>SUM(L104:L105)</f>
        <v>400</v>
      </c>
      <c r="M106" s="934"/>
      <c r="N106" s="959"/>
      <c r="O106" s="730">
        <f t="shared" si="34"/>
        <v>555</v>
      </c>
      <c r="P106" s="726"/>
    </row>
    <row r="107" spans="1:16" ht="50.25" x14ac:dyDescent="0.35">
      <c r="A107" s="735">
        <v>98</v>
      </c>
      <c r="B107" s="602"/>
      <c r="C107" s="406">
        <v>25</v>
      </c>
      <c r="D107" s="407" t="s">
        <v>706</v>
      </c>
      <c r="E107" s="416"/>
      <c r="F107" s="416"/>
      <c r="G107" s="417"/>
      <c r="H107" s="946" t="s">
        <v>24</v>
      </c>
      <c r="I107" s="1275"/>
      <c r="J107" s="934"/>
      <c r="K107" s="934"/>
      <c r="L107" s="934"/>
      <c r="M107" s="934"/>
      <c r="N107" s="959"/>
      <c r="O107" s="966"/>
      <c r="P107" s="726"/>
    </row>
    <row r="108" spans="1:16" x14ac:dyDescent="0.35">
      <c r="A108" s="735">
        <v>99</v>
      </c>
      <c r="B108" s="729"/>
      <c r="C108" s="406"/>
      <c r="D108" s="1735" t="s">
        <v>292</v>
      </c>
      <c r="E108" s="416">
        <f>F108+G108+O110+P108</f>
        <v>1500</v>
      </c>
      <c r="F108" s="416"/>
      <c r="G108" s="417"/>
      <c r="H108" s="946"/>
      <c r="I108" s="1275"/>
      <c r="J108" s="934"/>
      <c r="K108" s="934">
        <v>1500</v>
      </c>
      <c r="L108" s="934"/>
      <c r="M108" s="934"/>
      <c r="N108" s="959"/>
      <c r="O108" s="930">
        <f>SUM(I108:N108)</f>
        <v>1500</v>
      </c>
      <c r="P108" s="726"/>
    </row>
    <row r="109" spans="1:16" x14ac:dyDescent="0.35">
      <c r="A109" s="735">
        <v>100</v>
      </c>
      <c r="B109" s="729"/>
      <c r="C109" s="406"/>
      <c r="D109" s="1449" t="s">
        <v>929</v>
      </c>
      <c r="E109" s="416"/>
      <c r="F109" s="416"/>
      <c r="G109" s="1738"/>
      <c r="H109" s="946"/>
      <c r="I109" s="1275"/>
      <c r="J109" s="1275"/>
      <c r="K109" s="1275"/>
      <c r="L109" s="1275"/>
      <c r="M109" s="1275"/>
      <c r="N109" s="965"/>
      <c r="O109" s="1732">
        <f t="shared" ref="O109:O113" si="35">SUM(I109:N109)</f>
        <v>0</v>
      </c>
      <c r="P109" s="726"/>
    </row>
    <row r="110" spans="1:16" x14ac:dyDescent="0.35">
      <c r="A110" s="735">
        <v>101</v>
      </c>
      <c r="B110" s="729"/>
      <c r="C110" s="406"/>
      <c r="D110" s="327" t="s">
        <v>927</v>
      </c>
      <c r="E110" s="416"/>
      <c r="F110" s="416"/>
      <c r="G110" s="1738"/>
      <c r="H110" s="946"/>
      <c r="I110" s="1275"/>
      <c r="J110" s="1275"/>
      <c r="K110" s="1238">
        <f>SUM(K108:K109)</f>
        <v>1500</v>
      </c>
      <c r="L110" s="1275"/>
      <c r="M110" s="1275"/>
      <c r="N110" s="965"/>
      <c r="O110" s="730">
        <f t="shared" si="35"/>
        <v>1500</v>
      </c>
      <c r="P110" s="726"/>
    </row>
    <row r="111" spans="1:16" ht="33.75" x14ac:dyDescent="0.35">
      <c r="A111" s="735">
        <v>102</v>
      </c>
      <c r="B111" s="729"/>
      <c r="C111" s="406">
        <v>26</v>
      </c>
      <c r="D111" s="407" t="s">
        <v>1081</v>
      </c>
      <c r="E111" s="416">
        <f>F111+G111+O113+P112</f>
        <v>4000</v>
      </c>
      <c r="F111" s="416"/>
      <c r="G111" s="1738"/>
      <c r="H111" s="946" t="s">
        <v>24</v>
      </c>
      <c r="I111" s="1275"/>
      <c r="J111" s="1275"/>
      <c r="K111" s="1238"/>
      <c r="L111" s="1275"/>
      <c r="M111" s="1275"/>
      <c r="N111" s="965"/>
      <c r="O111" s="1739"/>
      <c r="P111" s="726"/>
    </row>
    <row r="112" spans="1:16" x14ac:dyDescent="0.35">
      <c r="A112" s="735">
        <v>103</v>
      </c>
      <c r="B112" s="729"/>
      <c r="C112" s="406"/>
      <c r="D112" s="1449" t="s">
        <v>949</v>
      </c>
      <c r="E112" s="416"/>
      <c r="F112" s="416"/>
      <c r="G112" s="1738"/>
      <c r="H112" s="946"/>
      <c r="I112" s="1275"/>
      <c r="J112" s="1275"/>
      <c r="K112" s="1737">
        <v>4000</v>
      </c>
      <c r="L112" s="1275"/>
      <c r="M112" s="1737"/>
      <c r="N112" s="965"/>
      <c r="O112" s="1740">
        <f t="shared" si="35"/>
        <v>4000</v>
      </c>
      <c r="P112" s="726"/>
    </row>
    <row r="113" spans="1:16" ht="18" thickBot="1" x14ac:dyDescent="0.4">
      <c r="A113" s="735">
        <v>104</v>
      </c>
      <c r="B113" s="1741"/>
      <c r="C113" s="1742"/>
      <c r="D113" s="327" t="s">
        <v>927</v>
      </c>
      <c r="E113" s="1743"/>
      <c r="F113" s="1743"/>
      <c r="G113" s="1373"/>
      <c r="H113" s="1744"/>
      <c r="I113" s="1745"/>
      <c r="J113" s="1745"/>
      <c r="K113" s="1234">
        <f>SUM(K112)</f>
        <v>4000</v>
      </c>
      <c r="L113" s="1745"/>
      <c r="M113" s="1745"/>
      <c r="N113" s="1746"/>
      <c r="O113" s="730">
        <f t="shared" si="35"/>
        <v>4000</v>
      </c>
      <c r="P113" s="1747"/>
    </row>
    <row r="114" spans="1:16" x14ac:dyDescent="0.3">
      <c r="A114" s="735">
        <v>105</v>
      </c>
      <c r="B114" s="2152" t="s">
        <v>13</v>
      </c>
      <c r="C114" s="2153"/>
      <c r="D114" s="2153"/>
      <c r="E114" s="2153"/>
      <c r="F114" s="2153"/>
      <c r="G114" s="2154"/>
      <c r="H114" s="1748"/>
      <c r="I114" s="1749"/>
      <c r="J114" s="1749"/>
      <c r="K114" s="1749"/>
      <c r="L114" s="1749"/>
      <c r="M114" s="1749"/>
      <c r="N114" s="1749"/>
      <c r="O114" s="1749"/>
      <c r="P114" s="1750"/>
    </row>
    <row r="115" spans="1:16" x14ac:dyDescent="0.35">
      <c r="A115" s="735">
        <v>106</v>
      </c>
      <c r="B115" s="1751"/>
      <c r="C115" s="1752"/>
      <c r="D115" s="2155" t="s">
        <v>292</v>
      </c>
      <c r="E115" s="2156"/>
      <c r="F115" s="2156"/>
      <c r="G115" s="2157"/>
      <c r="H115" s="1753"/>
      <c r="I115" s="1754">
        <f>I108+I104+I100+I96+I92+I88+I84+I80+I76+I72+I68+I64+I60+I56+I52+I48+I44+I40+I36+I32+I28+I24+I20+I16+I12</f>
        <v>0</v>
      </c>
      <c r="J115" s="1754">
        <f t="shared" ref="J115:N115" si="36">J108+J104+J100+J96+J92+J88+J84+J80+J76+J72+J68+J64+J60+J56+J52+J48+J44+J40+J36+J32+J28+J24+J20+J16+J12</f>
        <v>46</v>
      </c>
      <c r="K115" s="1754">
        <f t="shared" si="36"/>
        <v>190656</v>
      </c>
      <c r="L115" s="1754">
        <f t="shared" si="36"/>
        <v>18309</v>
      </c>
      <c r="M115" s="1754">
        <f t="shared" si="36"/>
        <v>8298320</v>
      </c>
      <c r="N115" s="1754">
        <f t="shared" si="36"/>
        <v>0</v>
      </c>
      <c r="O115" s="1755">
        <f>SUM(I115:N115)</f>
        <v>8507331</v>
      </c>
      <c r="P115" s="1756">
        <f>SUM(P10:P114)</f>
        <v>129714</v>
      </c>
    </row>
    <row r="116" spans="1:16" x14ac:dyDescent="0.35">
      <c r="A116" s="735">
        <v>107</v>
      </c>
      <c r="B116" s="1757"/>
      <c r="C116" s="1758"/>
      <c r="D116" s="2143" t="s">
        <v>929</v>
      </c>
      <c r="E116" s="2144"/>
      <c r="F116" s="2144"/>
      <c r="G116" s="2145"/>
      <c r="H116" s="1759"/>
      <c r="I116" s="1760">
        <f>I109+I105+I101+I97+I93+I89+I85+I81+I77+I73+I69+I65+I61+I57+I53+I49+I45+I41+I37+I33+I29+I25+I21+I17+I13+I112</f>
        <v>2781</v>
      </c>
      <c r="J116" s="1760">
        <f t="shared" ref="J116:N116" si="37">J109+J105+J101+J97+J93+J89+J85+J81+J77+J73+J69+J65+J61+J57+J53+J49+J45+J41+J37+J33+J29+J25+J21+J17+J13+J112</f>
        <v>415</v>
      </c>
      <c r="K116" s="1760">
        <f t="shared" si="37"/>
        <v>-457</v>
      </c>
      <c r="L116" s="1760">
        <f t="shared" si="37"/>
        <v>0</v>
      </c>
      <c r="M116" s="1760">
        <f t="shared" si="37"/>
        <v>-7270</v>
      </c>
      <c r="N116" s="1760">
        <f t="shared" si="37"/>
        <v>0</v>
      </c>
      <c r="O116" s="1761">
        <f t="shared" ref="O116" si="38">SUM(I116:N116)</f>
        <v>-4531</v>
      </c>
      <c r="P116" s="1762"/>
    </row>
    <row r="117" spans="1:16" ht="18" thickBot="1" x14ac:dyDescent="0.4">
      <c r="A117" s="735">
        <v>108</v>
      </c>
      <c r="B117" s="1763"/>
      <c r="C117" s="1764"/>
      <c r="D117" s="2146" t="s">
        <v>927</v>
      </c>
      <c r="E117" s="2147"/>
      <c r="F117" s="2147"/>
      <c r="G117" s="2148"/>
      <c r="H117" s="1765"/>
      <c r="I117" s="1766">
        <f>SUM(I115:I116)</f>
        <v>2781</v>
      </c>
      <c r="J117" s="1766">
        <f t="shared" ref="J117:O117" si="39">SUM(J115:J116)</f>
        <v>461</v>
      </c>
      <c r="K117" s="1766">
        <f t="shared" si="39"/>
        <v>190199</v>
      </c>
      <c r="L117" s="1766">
        <f t="shared" si="39"/>
        <v>18309</v>
      </c>
      <c r="M117" s="1766">
        <f t="shared" si="39"/>
        <v>8291050</v>
      </c>
      <c r="N117" s="1766">
        <f t="shared" si="39"/>
        <v>0</v>
      </c>
      <c r="O117" s="1767">
        <f t="shared" si="39"/>
        <v>8502800</v>
      </c>
      <c r="P117" s="1768"/>
    </row>
    <row r="118" spans="1:16" x14ac:dyDescent="0.35">
      <c r="B118" s="727" t="s">
        <v>27</v>
      </c>
      <c r="C118" s="728"/>
      <c r="D118" s="727"/>
      <c r="E118" s="418"/>
      <c r="F118" s="419"/>
      <c r="G118" s="418"/>
      <c r="H118" s="714"/>
      <c r="I118" s="418"/>
      <c r="J118" s="418"/>
      <c r="K118" s="418"/>
      <c r="L118" s="418"/>
      <c r="M118" s="418"/>
      <c r="N118" s="418"/>
      <c r="O118" s="737"/>
      <c r="P118" s="1373"/>
    </row>
    <row r="119" spans="1:16" x14ac:dyDescent="0.35">
      <c r="B119" s="727" t="s">
        <v>28</v>
      </c>
      <c r="C119" s="728"/>
      <c r="D119" s="727"/>
      <c r="E119" s="608"/>
      <c r="F119" s="419"/>
      <c r="G119" s="418"/>
      <c r="H119" s="714"/>
      <c r="I119" s="418"/>
      <c r="J119" s="418"/>
      <c r="K119" s="418"/>
      <c r="L119" s="418"/>
      <c r="M119" s="418"/>
      <c r="N119" s="418"/>
      <c r="O119" s="737"/>
      <c r="P119" s="1373"/>
    </row>
    <row r="120" spans="1:16" x14ac:dyDescent="0.35">
      <c r="B120" s="727" t="s">
        <v>29</v>
      </c>
      <c r="C120" s="728"/>
      <c r="D120" s="727"/>
      <c r="E120" s="608"/>
      <c r="F120" s="419"/>
      <c r="G120" s="418"/>
      <c r="H120" s="714"/>
      <c r="I120" s="418"/>
      <c r="J120" s="418"/>
      <c r="K120" s="418"/>
      <c r="L120" s="418"/>
      <c r="M120" s="418"/>
      <c r="N120" s="418"/>
      <c r="O120" s="737"/>
      <c r="P120" s="1373"/>
    </row>
    <row r="121" spans="1:16" x14ac:dyDescent="0.35">
      <c r="B121" s="415" t="s">
        <v>490</v>
      </c>
      <c r="C121" s="415"/>
      <c r="E121" s="1373"/>
      <c r="F121" s="1373"/>
      <c r="G121" s="1373"/>
      <c r="I121" s="1373"/>
      <c r="J121" s="1373"/>
      <c r="K121" s="1373"/>
      <c r="L121" s="1373"/>
      <c r="M121" s="1373"/>
      <c r="N121" s="1373"/>
      <c r="P121" s="1373"/>
    </row>
  </sheetData>
  <mergeCells count="21">
    <mergeCell ref="D116:G116"/>
    <mergeCell ref="D117:G117"/>
    <mergeCell ref="M8:N8"/>
    <mergeCell ref="O8:O9"/>
    <mergeCell ref="B2:F2"/>
    <mergeCell ref="B114:G114"/>
    <mergeCell ref="D115:G115"/>
    <mergeCell ref="C7:C9"/>
    <mergeCell ref="H7:H9"/>
    <mergeCell ref="Q7:R7"/>
    <mergeCell ref="I1:P1"/>
    <mergeCell ref="B7:B9"/>
    <mergeCell ref="E7:E9"/>
    <mergeCell ref="A3:P3"/>
    <mergeCell ref="A4:P4"/>
    <mergeCell ref="D7:D9"/>
    <mergeCell ref="F7:F9"/>
    <mergeCell ref="G7:G9"/>
    <mergeCell ref="I7:O7"/>
    <mergeCell ref="P7:P9"/>
    <mergeCell ref="I8:L8"/>
  </mergeCells>
  <printOptions horizontalCentered="1"/>
  <pageMargins left="0.19685039370078741" right="0.19685039370078741" top="0.59055118110236227" bottom="0.59055118110236227" header="0.51181102362204722" footer="0.51181102362204722"/>
  <pageSetup paperSize="9" scale="57" fitToHeight="0" orientation="landscape" r:id="rId1"/>
  <headerFooter>
    <oddFooter>&amp;C- &amp;P -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88"/>
  <sheetViews>
    <sheetView view="pageBreakPreview" zoomScale="88" zoomScaleNormal="100" zoomScaleSheetLayoutView="88" workbookViewId="0">
      <selection activeCell="B2" sqref="B2:F2"/>
    </sheetView>
  </sheetViews>
  <sheetFormatPr defaultColWidth="9.140625" defaultRowHeight="17.25" x14ac:dyDescent="0.35"/>
  <cols>
    <col min="1" max="1" width="3.7109375" style="713" customWidth="1"/>
    <col min="2" max="3" width="5.7109375" style="848" customWidth="1"/>
    <col min="4" max="4" width="62.7109375" style="404" customWidth="1"/>
    <col min="5" max="5" width="12.7109375" style="847" customWidth="1"/>
    <col min="6" max="7" width="10.7109375" style="847" customWidth="1"/>
    <col min="8" max="8" width="6.7109375" style="716" customWidth="1"/>
    <col min="9" max="14" width="14.85546875" style="847" customWidth="1"/>
    <col min="15" max="15" width="15.7109375" style="736" customWidth="1"/>
    <col min="16" max="16" width="13.85546875" style="847" customWidth="1"/>
    <col min="17" max="16384" width="9.140625" style="404"/>
  </cols>
  <sheetData>
    <row r="1" spans="1:256" ht="18" customHeight="1" x14ac:dyDescent="0.3">
      <c r="A1" s="1422"/>
      <c r="B1" s="1422" t="s">
        <v>913</v>
      </c>
      <c r="C1" s="1422"/>
      <c r="D1" s="1422"/>
      <c r="E1" s="608"/>
      <c r="F1" s="608"/>
      <c r="G1" s="608"/>
      <c r="H1" s="714"/>
      <c r="I1" s="2081"/>
      <c r="J1" s="2081"/>
      <c r="K1" s="2081"/>
      <c r="L1" s="2081"/>
      <c r="M1" s="2081"/>
      <c r="N1" s="2081"/>
      <c r="O1" s="2081"/>
      <c r="P1" s="2081"/>
      <c r="Q1" s="715"/>
      <c r="R1" s="715"/>
      <c r="S1" s="715"/>
      <c r="T1" s="715"/>
      <c r="U1" s="715"/>
      <c r="V1" s="715"/>
      <c r="W1" s="715"/>
      <c r="X1" s="715"/>
      <c r="Y1" s="715"/>
      <c r="Z1" s="715"/>
      <c r="AA1" s="715"/>
      <c r="AB1" s="715"/>
      <c r="AC1" s="715"/>
      <c r="AD1" s="715"/>
      <c r="AE1" s="715"/>
      <c r="AF1" s="715"/>
      <c r="AG1" s="715"/>
      <c r="AH1" s="715"/>
      <c r="AI1" s="715"/>
      <c r="AJ1" s="715"/>
      <c r="AK1" s="715"/>
      <c r="AL1" s="715"/>
      <c r="AM1" s="715"/>
      <c r="AN1" s="715"/>
      <c r="AO1" s="715"/>
      <c r="AP1" s="715"/>
      <c r="AQ1" s="715"/>
      <c r="AR1" s="715"/>
      <c r="AS1" s="715"/>
      <c r="AT1" s="715"/>
      <c r="AU1" s="715"/>
      <c r="AV1" s="715"/>
      <c r="AW1" s="715"/>
      <c r="AX1" s="715"/>
      <c r="AY1" s="715"/>
      <c r="AZ1" s="715"/>
      <c r="BA1" s="715"/>
      <c r="BB1" s="715"/>
      <c r="BC1" s="715"/>
      <c r="BD1" s="715"/>
      <c r="BE1" s="715"/>
      <c r="BF1" s="715"/>
      <c r="BG1" s="715"/>
      <c r="BH1" s="715"/>
      <c r="BI1" s="715"/>
      <c r="BJ1" s="715"/>
      <c r="BK1" s="715"/>
      <c r="BL1" s="715"/>
      <c r="BM1" s="715"/>
      <c r="BN1" s="715"/>
      <c r="BO1" s="715"/>
      <c r="BP1" s="715"/>
      <c r="BQ1" s="715"/>
      <c r="BR1" s="715"/>
      <c r="BS1" s="715"/>
      <c r="BT1" s="715"/>
      <c r="BU1" s="715"/>
      <c r="BV1" s="715"/>
      <c r="BW1" s="715"/>
      <c r="BX1" s="715"/>
      <c r="BY1" s="715"/>
      <c r="BZ1" s="715"/>
      <c r="CA1" s="715"/>
      <c r="CB1" s="715"/>
      <c r="CC1" s="715"/>
      <c r="CD1" s="715"/>
      <c r="CE1" s="715"/>
      <c r="CF1" s="715"/>
      <c r="CG1" s="715"/>
      <c r="CH1" s="715"/>
      <c r="CI1" s="715"/>
      <c r="CJ1" s="715"/>
      <c r="CK1" s="715"/>
      <c r="CL1" s="715"/>
      <c r="CM1" s="715"/>
      <c r="CN1" s="715"/>
      <c r="CO1" s="715"/>
      <c r="CP1" s="715"/>
      <c r="CQ1" s="715"/>
      <c r="CR1" s="715"/>
      <c r="CS1" s="715"/>
      <c r="CT1" s="715"/>
      <c r="CU1" s="715"/>
      <c r="CV1" s="715"/>
      <c r="CW1" s="715"/>
      <c r="CX1" s="715"/>
      <c r="CY1" s="715"/>
      <c r="CZ1" s="715"/>
      <c r="DA1" s="715"/>
      <c r="DB1" s="715"/>
      <c r="DC1" s="715"/>
      <c r="DD1" s="715"/>
      <c r="DE1" s="715"/>
      <c r="DF1" s="715"/>
      <c r="DG1" s="715"/>
      <c r="DH1" s="715"/>
      <c r="DI1" s="715"/>
      <c r="DJ1" s="715"/>
      <c r="DK1" s="715"/>
      <c r="DL1" s="715"/>
      <c r="DM1" s="715"/>
      <c r="DN1" s="715"/>
      <c r="DO1" s="715"/>
      <c r="DP1" s="715"/>
      <c r="DQ1" s="715"/>
      <c r="DR1" s="715"/>
      <c r="DS1" s="715"/>
      <c r="DT1" s="715"/>
      <c r="DU1" s="715"/>
      <c r="DV1" s="715"/>
      <c r="DW1" s="715"/>
      <c r="DX1" s="715"/>
      <c r="DY1" s="715"/>
      <c r="DZ1" s="715"/>
      <c r="EA1" s="715"/>
      <c r="EB1" s="715"/>
      <c r="EC1" s="715"/>
      <c r="ED1" s="715"/>
      <c r="EE1" s="715"/>
      <c r="EF1" s="715"/>
      <c r="EG1" s="715"/>
      <c r="EH1" s="715"/>
      <c r="EI1" s="715"/>
      <c r="EJ1" s="715"/>
      <c r="EK1" s="715"/>
      <c r="EL1" s="715"/>
      <c r="EM1" s="715"/>
      <c r="EN1" s="715"/>
      <c r="EO1" s="715"/>
      <c r="EP1" s="715"/>
      <c r="EQ1" s="715"/>
      <c r="ER1" s="715"/>
      <c r="ES1" s="715"/>
      <c r="ET1" s="715"/>
      <c r="EU1" s="715"/>
      <c r="EV1" s="715"/>
      <c r="EW1" s="715"/>
      <c r="EX1" s="715"/>
      <c r="EY1" s="715"/>
      <c r="EZ1" s="715"/>
      <c r="FA1" s="715"/>
      <c r="FB1" s="715"/>
      <c r="FC1" s="715"/>
      <c r="FD1" s="715"/>
      <c r="FE1" s="715"/>
      <c r="FF1" s="715"/>
      <c r="FG1" s="715"/>
      <c r="FH1" s="715"/>
      <c r="FI1" s="715"/>
      <c r="FJ1" s="715"/>
      <c r="FK1" s="715"/>
      <c r="FL1" s="715"/>
      <c r="FM1" s="715"/>
      <c r="FN1" s="715"/>
      <c r="FO1" s="715"/>
      <c r="FP1" s="715"/>
      <c r="FQ1" s="715"/>
      <c r="FR1" s="715"/>
      <c r="FS1" s="715"/>
      <c r="FT1" s="715"/>
      <c r="FU1" s="715"/>
      <c r="FV1" s="715"/>
      <c r="FW1" s="715"/>
      <c r="FX1" s="715"/>
      <c r="FY1" s="715"/>
      <c r="FZ1" s="715"/>
      <c r="GA1" s="715"/>
      <c r="GB1" s="715"/>
      <c r="GC1" s="715"/>
      <c r="GD1" s="715"/>
      <c r="GE1" s="715"/>
      <c r="GF1" s="715"/>
      <c r="GG1" s="715"/>
      <c r="GH1" s="715"/>
      <c r="GI1" s="715"/>
      <c r="GJ1" s="715"/>
      <c r="GK1" s="715"/>
      <c r="GL1" s="715"/>
      <c r="GM1" s="715"/>
      <c r="GN1" s="715"/>
      <c r="GO1" s="715"/>
      <c r="GP1" s="715"/>
      <c r="GQ1" s="715"/>
      <c r="GR1" s="715"/>
      <c r="GS1" s="715"/>
      <c r="GT1" s="715"/>
      <c r="GU1" s="715"/>
      <c r="GV1" s="715"/>
      <c r="GW1" s="715"/>
      <c r="GX1" s="715"/>
      <c r="GY1" s="715"/>
      <c r="GZ1" s="715"/>
      <c r="HA1" s="715"/>
      <c r="HB1" s="715"/>
      <c r="HC1" s="715"/>
      <c r="HD1" s="715"/>
      <c r="HE1" s="715"/>
      <c r="HF1" s="715"/>
      <c r="HG1" s="715"/>
      <c r="HH1" s="715"/>
      <c r="HI1" s="715"/>
      <c r="HJ1" s="715"/>
      <c r="HK1" s="715"/>
      <c r="HL1" s="715"/>
      <c r="HM1" s="715"/>
      <c r="HN1" s="715"/>
      <c r="HO1" s="715"/>
      <c r="HP1" s="715"/>
      <c r="HQ1" s="715"/>
      <c r="HR1" s="715"/>
      <c r="HS1" s="715"/>
      <c r="HT1" s="715"/>
      <c r="HU1" s="715"/>
      <c r="HV1" s="715"/>
      <c r="HW1" s="715"/>
      <c r="HX1" s="715"/>
      <c r="HY1" s="715"/>
      <c r="HZ1" s="715"/>
      <c r="IA1" s="715"/>
      <c r="IB1" s="715"/>
      <c r="IC1" s="715"/>
      <c r="ID1" s="715"/>
      <c r="IE1" s="715"/>
      <c r="IF1" s="715"/>
      <c r="IG1" s="715"/>
      <c r="IH1" s="715"/>
      <c r="II1" s="715"/>
      <c r="IJ1" s="715"/>
      <c r="IK1" s="715"/>
      <c r="IL1" s="715"/>
      <c r="IM1" s="715"/>
      <c r="IN1" s="715"/>
      <c r="IO1" s="715"/>
      <c r="IP1" s="715"/>
    </row>
    <row r="2" spans="1:256" s="141" customFormat="1" ht="16.5" x14ac:dyDescent="0.3">
      <c r="A2" s="126"/>
      <c r="B2" s="1896"/>
      <c r="C2" s="1896"/>
      <c r="D2" s="1896"/>
      <c r="E2" s="1896"/>
      <c r="F2" s="1896"/>
      <c r="G2" s="118"/>
      <c r="H2" s="118"/>
      <c r="I2" s="118"/>
      <c r="J2" s="282"/>
    </row>
    <row r="3" spans="1:256" ht="24.75" customHeight="1" x14ac:dyDescent="0.35">
      <c r="A3" s="2082" t="s">
        <v>14</v>
      </c>
      <c r="B3" s="2082"/>
      <c r="C3" s="2082"/>
      <c r="D3" s="2082"/>
      <c r="E3" s="2082"/>
      <c r="F3" s="2082"/>
      <c r="G3" s="2082"/>
      <c r="H3" s="2082"/>
      <c r="I3" s="2082"/>
      <c r="J3" s="2082"/>
      <c r="K3" s="2082"/>
      <c r="L3" s="2082"/>
      <c r="M3" s="2082"/>
      <c r="N3" s="2082"/>
      <c r="O3" s="2082"/>
      <c r="P3" s="2082"/>
    </row>
    <row r="4" spans="1:256" ht="24.75" customHeight="1" x14ac:dyDescent="0.35">
      <c r="A4" s="2128" t="s">
        <v>707</v>
      </c>
      <c r="B4" s="2128"/>
      <c r="C4" s="2128"/>
      <c r="D4" s="2128"/>
      <c r="E4" s="2128"/>
      <c r="F4" s="2128"/>
      <c r="G4" s="2128"/>
      <c r="H4" s="2128"/>
      <c r="I4" s="2128"/>
      <c r="J4" s="2128"/>
      <c r="K4" s="2128"/>
      <c r="L4" s="2128"/>
      <c r="M4" s="2128"/>
      <c r="N4" s="2128"/>
      <c r="O4" s="2128"/>
      <c r="P4" s="2128"/>
    </row>
    <row r="5" spans="1:256" s="917" customFormat="1" ht="18" customHeight="1" x14ac:dyDescent="0.3">
      <c r="A5" s="713"/>
      <c r="B5" s="713"/>
      <c r="C5" s="713"/>
      <c r="E5" s="669"/>
      <c r="F5" s="669"/>
      <c r="G5" s="669"/>
      <c r="H5" s="918"/>
      <c r="I5" s="669"/>
      <c r="J5" s="669"/>
      <c r="K5" s="669"/>
      <c r="L5" s="669"/>
      <c r="M5" s="669"/>
      <c r="N5" s="669"/>
      <c r="O5" s="919"/>
      <c r="P5" s="675" t="s">
        <v>0</v>
      </c>
    </row>
    <row r="6" spans="1:256" s="923" customFormat="1" ht="18" customHeight="1" thickBot="1" x14ac:dyDescent="0.35">
      <c r="A6" s="920"/>
      <c r="B6" s="921" t="s">
        <v>1</v>
      </c>
      <c r="C6" s="922" t="s">
        <v>3</v>
      </c>
      <c r="D6" s="922" t="s">
        <v>2</v>
      </c>
      <c r="E6" s="922" t="s">
        <v>4</v>
      </c>
      <c r="F6" s="922" t="s">
        <v>5</v>
      </c>
      <c r="G6" s="922" t="s">
        <v>15</v>
      </c>
      <c r="H6" s="922" t="s">
        <v>16</v>
      </c>
      <c r="I6" s="922" t="s">
        <v>17</v>
      </c>
      <c r="J6" s="922" t="s">
        <v>34</v>
      </c>
      <c r="K6" s="922" t="s">
        <v>30</v>
      </c>
      <c r="L6" s="922" t="s">
        <v>23</v>
      </c>
      <c r="M6" s="922" t="s">
        <v>35</v>
      </c>
      <c r="N6" s="922" t="s">
        <v>36</v>
      </c>
      <c r="O6" s="922" t="s">
        <v>151</v>
      </c>
      <c r="P6" s="922" t="s">
        <v>152</v>
      </c>
      <c r="Q6" s="920"/>
      <c r="R6" s="920"/>
      <c r="S6" s="920"/>
      <c r="T6" s="920"/>
      <c r="U6" s="920"/>
      <c r="V6" s="920"/>
      <c r="W6" s="920"/>
      <c r="X6" s="920"/>
      <c r="Y6" s="920"/>
      <c r="Z6" s="920"/>
      <c r="AA6" s="920"/>
      <c r="AB6" s="920"/>
      <c r="AC6" s="920"/>
      <c r="AD6" s="920"/>
      <c r="AE6" s="920"/>
      <c r="AF6" s="920"/>
      <c r="AG6" s="920"/>
      <c r="AH6" s="920"/>
      <c r="AI6" s="920"/>
      <c r="AJ6" s="920"/>
      <c r="AK6" s="920"/>
      <c r="AL6" s="920"/>
      <c r="AM6" s="920"/>
      <c r="AN6" s="920"/>
      <c r="AO6" s="920"/>
      <c r="AP6" s="920"/>
      <c r="AQ6" s="920"/>
      <c r="AR6" s="920"/>
      <c r="AS6" s="920"/>
      <c r="AT6" s="920"/>
      <c r="AU6" s="920"/>
      <c r="AV6" s="920"/>
      <c r="AW6" s="920"/>
      <c r="AX6" s="920"/>
      <c r="AY6" s="920"/>
      <c r="AZ6" s="920"/>
      <c r="BA6" s="920"/>
      <c r="BB6" s="920"/>
      <c r="BC6" s="920"/>
      <c r="BD6" s="920"/>
      <c r="BE6" s="920"/>
      <c r="BF6" s="920"/>
      <c r="BG6" s="920"/>
      <c r="BH6" s="920"/>
      <c r="BI6" s="920"/>
      <c r="BJ6" s="920"/>
      <c r="BK6" s="920"/>
      <c r="BL6" s="920"/>
      <c r="BM6" s="920"/>
      <c r="BN6" s="920"/>
      <c r="BO6" s="920"/>
      <c r="BP6" s="920"/>
      <c r="BQ6" s="920"/>
      <c r="BR6" s="920"/>
      <c r="BS6" s="920"/>
      <c r="BT6" s="920"/>
      <c r="BU6" s="920"/>
      <c r="BV6" s="920"/>
      <c r="BW6" s="920"/>
      <c r="BX6" s="920"/>
      <c r="BY6" s="920"/>
      <c r="BZ6" s="920"/>
      <c r="CA6" s="920"/>
      <c r="CB6" s="920"/>
      <c r="CC6" s="920"/>
      <c r="CD6" s="920"/>
      <c r="CE6" s="920"/>
      <c r="CF6" s="920"/>
      <c r="CG6" s="920"/>
      <c r="CH6" s="920"/>
      <c r="CI6" s="920"/>
      <c r="CJ6" s="920"/>
      <c r="CK6" s="920"/>
      <c r="CL6" s="920"/>
      <c r="CM6" s="920"/>
      <c r="CN6" s="920"/>
      <c r="CO6" s="920"/>
      <c r="CP6" s="920"/>
      <c r="CQ6" s="920"/>
      <c r="CR6" s="920"/>
      <c r="CS6" s="920"/>
      <c r="CT6" s="920"/>
      <c r="CU6" s="920"/>
      <c r="CV6" s="920"/>
      <c r="CW6" s="920"/>
      <c r="CX6" s="920"/>
      <c r="CY6" s="920"/>
      <c r="CZ6" s="920"/>
      <c r="DA6" s="920"/>
      <c r="DB6" s="920"/>
      <c r="DC6" s="920"/>
      <c r="DD6" s="920"/>
      <c r="DE6" s="920"/>
      <c r="DF6" s="920"/>
      <c r="DG6" s="920"/>
      <c r="DH6" s="920"/>
      <c r="DI6" s="920"/>
      <c r="DJ6" s="920"/>
      <c r="DK6" s="920"/>
      <c r="DL6" s="920"/>
      <c r="DM6" s="920"/>
      <c r="DN6" s="920"/>
      <c r="DO6" s="920"/>
      <c r="DP6" s="920"/>
      <c r="DQ6" s="920"/>
      <c r="DR6" s="920"/>
      <c r="DS6" s="920"/>
      <c r="DT6" s="920"/>
      <c r="DU6" s="920"/>
      <c r="DV6" s="920"/>
      <c r="DW6" s="920"/>
      <c r="DX6" s="920"/>
      <c r="DY6" s="920"/>
      <c r="DZ6" s="920"/>
      <c r="EA6" s="920"/>
      <c r="EB6" s="920"/>
      <c r="EC6" s="920"/>
      <c r="ED6" s="920"/>
      <c r="EE6" s="920"/>
      <c r="EF6" s="920"/>
      <c r="EG6" s="920"/>
      <c r="EH6" s="920"/>
      <c r="EI6" s="920"/>
      <c r="EJ6" s="920"/>
      <c r="EK6" s="920"/>
      <c r="EL6" s="920"/>
      <c r="EM6" s="920"/>
      <c r="EN6" s="920"/>
      <c r="EO6" s="920"/>
      <c r="EP6" s="920"/>
      <c r="EQ6" s="920"/>
      <c r="ER6" s="920"/>
      <c r="ES6" s="920"/>
      <c r="ET6" s="920"/>
      <c r="EU6" s="920"/>
      <c r="EV6" s="920"/>
      <c r="EW6" s="920"/>
      <c r="EX6" s="920"/>
      <c r="EY6" s="920"/>
      <c r="EZ6" s="920"/>
      <c r="FA6" s="920"/>
      <c r="FB6" s="920"/>
      <c r="FC6" s="920"/>
      <c r="FD6" s="920"/>
      <c r="FE6" s="920"/>
      <c r="FF6" s="920"/>
      <c r="FG6" s="920"/>
      <c r="FH6" s="920"/>
      <c r="FI6" s="920"/>
      <c r="FJ6" s="920"/>
      <c r="FK6" s="920"/>
      <c r="FL6" s="920"/>
      <c r="FM6" s="920"/>
      <c r="FN6" s="920"/>
      <c r="FO6" s="920"/>
      <c r="FP6" s="920"/>
      <c r="FQ6" s="920"/>
      <c r="FR6" s="920"/>
      <c r="FS6" s="920"/>
      <c r="FT6" s="920"/>
      <c r="FU6" s="920"/>
      <c r="FV6" s="920"/>
      <c r="FW6" s="920"/>
      <c r="FX6" s="920"/>
      <c r="FY6" s="920"/>
      <c r="FZ6" s="920"/>
      <c r="GA6" s="920"/>
      <c r="GB6" s="920"/>
      <c r="GC6" s="920"/>
      <c r="GD6" s="920"/>
      <c r="GE6" s="920"/>
      <c r="GF6" s="920"/>
      <c r="GG6" s="920"/>
      <c r="GH6" s="920"/>
      <c r="GI6" s="920"/>
      <c r="GJ6" s="920"/>
      <c r="GK6" s="920"/>
      <c r="GL6" s="920"/>
      <c r="GM6" s="920"/>
      <c r="GN6" s="920"/>
      <c r="GO6" s="920"/>
      <c r="GP6" s="920"/>
      <c r="GQ6" s="920"/>
      <c r="GR6" s="920"/>
      <c r="GS6" s="920"/>
      <c r="GT6" s="920"/>
      <c r="GU6" s="920"/>
      <c r="GV6" s="920"/>
      <c r="GW6" s="920"/>
      <c r="GX6" s="920"/>
      <c r="GY6" s="920"/>
      <c r="GZ6" s="920"/>
      <c r="HA6" s="920"/>
      <c r="HB6" s="920"/>
      <c r="HC6" s="920"/>
      <c r="HD6" s="920"/>
      <c r="HE6" s="920"/>
      <c r="HF6" s="920"/>
      <c r="HG6" s="920"/>
      <c r="HH6" s="920"/>
      <c r="HI6" s="920"/>
      <c r="HJ6" s="920"/>
      <c r="HK6" s="920"/>
      <c r="HL6" s="920"/>
      <c r="HM6" s="920"/>
      <c r="HN6" s="920"/>
      <c r="HO6" s="920"/>
      <c r="HP6" s="920"/>
      <c r="HQ6" s="920"/>
      <c r="HR6" s="920"/>
      <c r="HS6" s="920"/>
      <c r="HT6" s="920"/>
      <c r="HU6" s="920"/>
      <c r="HV6" s="920"/>
      <c r="HW6" s="920"/>
      <c r="HX6" s="920"/>
      <c r="HY6" s="920"/>
      <c r="HZ6" s="920"/>
      <c r="IA6" s="920"/>
      <c r="IB6" s="920"/>
      <c r="IC6" s="920"/>
      <c r="ID6" s="920"/>
      <c r="IE6" s="920"/>
      <c r="IF6" s="920"/>
      <c r="IG6" s="920"/>
      <c r="IH6" s="920"/>
      <c r="II6" s="920"/>
      <c r="IJ6" s="920"/>
      <c r="IK6" s="920"/>
      <c r="IL6" s="920"/>
      <c r="IM6" s="920"/>
      <c r="IN6" s="920"/>
      <c r="IO6" s="920"/>
      <c r="IP6" s="920"/>
    </row>
    <row r="7" spans="1:256" ht="22.5" customHeight="1" x14ac:dyDescent="0.3">
      <c r="B7" s="2122" t="s">
        <v>18</v>
      </c>
      <c r="C7" s="2158" t="s">
        <v>19</v>
      </c>
      <c r="D7" s="2129" t="s">
        <v>6</v>
      </c>
      <c r="E7" s="2125" t="s">
        <v>489</v>
      </c>
      <c r="F7" s="2125" t="s">
        <v>708</v>
      </c>
      <c r="G7" s="2132" t="s">
        <v>1077</v>
      </c>
      <c r="H7" s="2105" t="s">
        <v>20</v>
      </c>
      <c r="I7" s="2135" t="s">
        <v>638</v>
      </c>
      <c r="J7" s="2125"/>
      <c r="K7" s="2125"/>
      <c r="L7" s="2125"/>
      <c r="M7" s="2125"/>
      <c r="N7" s="2125"/>
      <c r="O7" s="2136"/>
      <c r="P7" s="2137" t="s">
        <v>701</v>
      </c>
      <c r="Q7" s="2121"/>
      <c r="R7" s="2121"/>
    </row>
    <row r="8" spans="1:256" ht="33" customHeight="1" x14ac:dyDescent="0.3">
      <c r="B8" s="2123"/>
      <c r="C8" s="2159"/>
      <c r="D8" s="2130"/>
      <c r="E8" s="2126"/>
      <c r="F8" s="2126"/>
      <c r="G8" s="2133"/>
      <c r="H8" s="2106"/>
      <c r="I8" s="2140" t="s">
        <v>491</v>
      </c>
      <c r="J8" s="2141"/>
      <c r="K8" s="2142"/>
      <c r="L8" s="2142"/>
      <c r="M8" s="2149" t="s">
        <v>154</v>
      </c>
      <c r="N8" s="2149"/>
      <c r="O8" s="2150" t="s">
        <v>120</v>
      </c>
      <c r="P8" s="2138"/>
    </row>
    <row r="9" spans="1:256" ht="53.25" customHeight="1" thickBot="1" x14ac:dyDescent="0.35">
      <c r="B9" s="2124"/>
      <c r="C9" s="2160"/>
      <c r="D9" s="2131"/>
      <c r="E9" s="2127"/>
      <c r="F9" s="2127"/>
      <c r="G9" s="2134"/>
      <c r="H9" s="2107"/>
      <c r="I9" s="941" t="s">
        <v>38</v>
      </c>
      <c r="J9" s="717" t="s">
        <v>486</v>
      </c>
      <c r="K9" s="718" t="s">
        <v>40</v>
      </c>
      <c r="L9" s="718" t="s">
        <v>488</v>
      </c>
      <c r="M9" s="717" t="s">
        <v>219</v>
      </c>
      <c r="N9" s="717" t="s">
        <v>155</v>
      </c>
      <c r="O9" s="2151"/>
      <c r="P9" s="2139"/>
    </row>
    <row r="10" spans="1:256" s="721" customFormat="1" x14ac:dyDescent="0.35">
      <c r="A10" s="735">
        <v>1</v>
      </c>
      <c r="B10" s="719">
        <v>18</v>
      </c>
      <c r="C10" s="731" t="s">
        <v>14</v>
      </c>
      <c r="D10" s="929"/>
      <c r="E10" s="413"/>
      <c r="F10" s="411"/>
      <c r="G10" s="412"/>
      <c r="H10" s="945"/>
      <c r="I10" s="942"/>
      <c r="J10" s="738"/>
      <c r="K10" s="738"/>
      <c r="L10" s="738"/>
      <c r="M10" s="738"/>
      <c r="N10" s="738"/>
      <c r="O10" s="720"/>
      <c r="P10" s="723"/>
      <c r="Q10" s="404"/>
      <c r="R10" s="404"/>
      <c r="S10" s="404"/>
      <c r="T10" s="404"/>
      <c r="U10" s="404"/>
      <c r="V10" s="404"/>
      <c r="W10" s="404"/>
      <c r="X10" s="404"/>
      <c r="Y10" s="404"/>
      <c r="Z10" s="404"/>
      <c r="AA10" s="404"/>
      <c r="AB10" s="404"/>
      <c r="AC10" s="404"/>
      <c r="AD10" s="404"/>
      <c r="AE10" s="404"/>
      <c r="AF10" s="404"/>
      <c r="AG10" s="404"/>
      <c r="AH10" s="404"/>
      <c r="AI10" s="404"/>
      <c r="AJ10" s="404"/>
      <c r="AK10" s="404"/>
      <c r="AL10" s="404"/>
      <c r="AM10" s="404"/>
      <c r="AN10" s="404"/>
      <c r="AO10" s="404"/>
      <c r="AP10" s="404"/>
      <c r="AQ10" s="404"/>
      <c r="AR10" s="404"/>
      <c r="AS10" s="404"/>
      <c r="AT10" s="404"/>
      <c r="AU10" s="404"/>
      <c r="AV10" s="404"/>
      <c r="AW10" s="404"/>
      <c r="AX10" s="404"/>
      <c r="AY10" s="404"/>
      <c r="AZ10" s="404"/>
      <c r="BA10" s="404"/>
      <c r="BB10" s="404"/>
      <c r="BC10" s="404"/>
      <c r="BD10" s="404"/>
      <c r="BE10" s="404"/>
      <c r="BF10" s="404"/>
      <c r="BG10" s="404"/>
      <c r="BH10" s="404"/>
      <c r="BI10" s="404"/>
      <c r="BJ10" s="404"/>
      <c r="BK10" s="404"/>
      <c r="BL10" s="404"/>
      <c r="BM10" s="404"/>
      <c r="BN10" s="404"/>
      <c r="BO10" s="404"/>
      <c r="BP10" s="404"/>
      <c r="BQ10" s="404"/>
      <c r="BR10" s="404"/>
      <c r="BS10" s="404"/>
      <c r="BT10" s="404"/>
      <c r="BU10" s="404"/>
      <c r="BV10" s="404"/>
      <c r="BW10" s="404"/>
      <c r="BX10" s="404"/>
      <c r="BY10" s="404"/>
      <c r="BZ10" s="404"/>
      <c r="CA10" s="404"/>
      <c r="CB10" s="404"/>
      <c r="CC10" s="404"/>
      <c r="CD10" s="404"/>
      <c r="CE10" s="404"/>
      <c r="CF10" s="404"/>
      <c r="CG10" s="404"/>
      <c r="CH10" s="404"/>
      <c r="CI10" s="404"/>
      <c r="CJ10" s="404"/>
      <c r="CK10" s="404"/>
      <c r="CL10" s="404"/>
      <c r="CM10" s="404"/>
      <c r="CN10" s="404"/>
      <c r="CO10" s="404"/>
      <c r="CP10" s="404"/>
      <c r="CQ10" s="404"/>
      <c r="CR10" s="404"/>
      <c r="CS10" s="404"/>
      <c r="CT10" s="404"/>
      <c r="CU10" s="404"/>
      <c r="CV10" s="404"/>
      <c r="CW10" s="404"/>
      <c r="CX10" s="404"/>
      <c r="CY10" s="404"/>
      <c r="CZ10" s="404"/>
      <c r="DA10" s="404"/>
      <c r="DB10" s="404"/>
      <c r="DC10" s="404"/>
      <c r="DD10" s="404"/>
      <c r="DE10" s="404"/>
      <c r="DF10" s="404"/>
      <c r="DG10" s="404"/>
      <c r="DH10" s="404"/>
      <c r="DI10" s="404"/>
      <c r="DJ10" s="404"/>
      <c r="DK10" s="404"/>
      <c r="DL10" s="404"/>
      <c r="DM10" s="404"/>
      <c r="DN10" s="404"/>
      <c r="DO10" s="404"/>
      <c r="DP10" s="404"/>
      <c r="DQ10" s="404"/>
      <c r="DR10" s="404"/>
      <c r="DS10" s="404"/>
      <c r="DT10" s="404"/>
      <c r="DU10" s="404"/>
      <c r="DV10" s="404"/>
      <c r="DW10" s="404"/>
      <c r="DX10" s="404"/>
      <c r="DY10" s="404"/>
      <c r="DZ10" s="404"/>
      <c r="EA10" s="404"/>
      <c r="EB10" s="404"/>
      <c r="EC10" s="404"/>
      <c r="ED10" s="404"/>
      <c r="EE10" s="404"/>
      <c r="EF10" s="404"/>
      <c r="EG10" s="404"/>
      <c r="EH10" s="404"/>
      <c r="EI10" s="404"/>
      <c r="EJ10" s="404"/>
      <c r="EK10" s="404"/>
      <c r="EL10" s="404"/>
      <c r="EM10" s="404"/>
      <c r="EN10" s="404"/>
      <c r="EO10" s="404"/>
      <c r="EP10" s="404"/>
      <c r="EQ10" s="404"/>
      <c r="ER10" s="404"/>
      <c r="ES10" s="404"/>
      <c r="ET10" s="404"/>
      <c r="EU10" s="404"/>
      <c r="EV10" s="404"/>
      <c r="EW10" s="404"/>
      <c r="EX10" s="404"/>
      <c r="EY10" s="404"/>
      <c r="EZ10" s="404"/>
      <c r="FA10" s="404"/>
      <c r="FB10" s="404"/>
      <c r="FC10" s="404"/>
      <c r="FD10" s="404"/>
      <c r="FE10" s="404"/>
      <c r="FF10" s="404"/>
      <c r="FG10" s="404"/>
      <c r="FH10" s="404"/>
      <c r="FI10" s="404"/>
      <c r="FJ10" s="404"/>
      <c r="FK10" s="404"/>
      <c r="FL10" s="404"/>
      <c r="FM10" s="404"/>
      <c r="FN10" s="404"/>
      <c r="FO10" s="404"/>
      <c r="FP10" s="404"/>
      <c r="FQ10" s="404"/>
      <c r="FR10" s="404"/>
      <c r="FS10" s="404"/>
      <c r="FT10" s="404"/>
      <c r="FU10" s="404"/>
      <c r="FV10" s="404"/>
      <c r="FW10" s="404"/>
      <c r="FX10" s="404"/>
      <c r="FY10" s="404"/>
      <c r="FZ10" s="404"/>
      <c r="GA10" s="404"/>
      <c r="GB10" s="404"/>
      <c r="GC10" s="404"/>
      <c r="GD10" s="404"/>
      <c r="GE10" s="404"/>
      <c r="GF10" s="404"/>
      <c r="GG10" s="404"/>
      <c r="GH10" s="404"/>
      <c r="GI10" s="404"/>
      <c r="GJ10" s="404"/>
      <c r="GK10" s="404"/>
      <c r="GL10" s="404"/>
      <c r="GM10" s="404"/>
      <c r="GN10" s="404"/>
      <c r="GO10" s="404"/>
      <c r="GP10" s="404"/>
      <c r="GQ10" s="404"/>
      <c r="GR10" s="404"/>
      <c r="GS10" s="404"/>
      <c r="GT10" s="404"/>
      <c r="GU10" s="404"/>
      <c r="GV10" s="404"/>
      <c r="GW10" s="404"/>
      <c r="GX10" s="404"/>
      <c r="GY10" s="404"/>
      <c r="GZ10" s="404"/>
      <c r="HA10" s="404"/>
      <c r="HB10" s="404"/>
      <c r="HC10" s="404"/>
      <c r="HD10" s="404"/>
      <c r="HE10" s="404"/>
      <c r="HF10" s="404"/>
      <c r="HG10" s="404"/>
      <c r="HH10" s="404"/>
      <c r="HI10" s="404"/>
      <c r="HJ10" s="404"/>
      <c r="HK10" s="404"/>
      <c r="HL10" s="404"/>
      <c r="HM10" s="404"/>
      <c r="HN10" s="404"/>
      <c r="HO10" s="404"/>
      <c r="HP10" s="404"/>
      <c r="HQ10" s="404"/>
      <c r="HR10" s="404"/>
      <c r="HS10" s="404"/>
      <c r="HT10" s="404"/>
      <c r="HU10" s="404"/>
      <c r="HV10" s="404"/>
      <c r="HW10" s="404"/>
      <c r="HX10" s="404"/>
      <c r="HY10" s="404"/>
      <c r="HZ10" s="404"/>
      <c r="IA10" s="404"/>
      <c r="IB10" s="404"/>
      <c r="IC10" s="404"/>
      <c r="ID10" s="404"/>
      <c r="IE10" s="404"/>
      <c r="IF10" s="404"/>
      <c r="IG10" s="404"/>
      <c r="IH10" s="404"/>
      <c r="II10" s="404"/>
      <c r="IJ10" s="404"/>
      <c r="IK10" s="404"/>
      <c r="IL10" s="404"/>
      <c r="IM10" s="404"/>
      <c r="IN10" s="404"/>
      <c r="IO10" s="404"/>
      <c r="IP10" s="404"/>
      <c r="IQ10" s="404"/>
      <c r="IR10" s="404"/>
      <c r="IS10" s="404"/>
      <c r="IT10" s="404"/>
      <c r="IU10" s="404"/>
      <c r="IV10" s="404"/>
    </row>
    <row r="11" spans="1:256" s="721" customFormat="1" x14ac:dyDescent="0.35">
      <c r="A11" s="735">
        <v>2</v>
      </c>
      <c r="B11" s="729"/>
      <c r="C11" s="447">
        <v>1</v>
      </c>
      <c r="D11" s="724" t="s">
        <v>523</v>
      </c>
      <c r="E11" s="416"/>
      <c r="F11" s="725"/>
      <c r="G11" s="417"/>
      <c r="H11" s="946" t="s">
        <v>24</v>
      </c>
      <c r="I11" s="964"/>
      <c r="J11" s="960"/>
      <c r="K11" s="960"/>
      <c r="L11" s="960"/>
      <c r="M11" s="960"/>
      <c r="N11" s="960"/>
      <c r="O11" s="730"/>
      <c r="P11" s="726"/>
      <c r="Q11" s="404"/>
      <c r="R11" s="404"/>
      <c r="S11" s="404"/>
      <c r="T11" s="404"/>
      <c r="U11" s="404"/>
      <c r="V11" s="404"/>
      <c r="W11" s="404"/>
      <c r="X11" s="404"/>
      <c r="Y11" s="404"/>
      <c r="Z11" s="404"/>
      <c r="AA11" s="404"/>
      <c r="AB11" s="404"/>
      <c r="AC11" s="404"/>
      <c r="AD11" s="404"/>
      <c r="AE11" s="404"/>
      <c r="AF11" s="404"/>
      <c r="AG11" s="404"/>
      <c r="AH11" s="404"/>
      <c r="AI11" s="404"/>
      <c r="AJ11" s="404"/>
      <c r="AK11" s="404"/>
      <c r="AL11" s="404"/>
      <c r="AM11" s="404"/>
      <c r="AN11" s="404"/>
      <c r="AO11" s="404"/>
      <c r="AP11" s="404"/>
      <c r="AQ11" s="404"/>
      <c r="AR11" s="404"/>
      <c r="AS11" s="404"/>
      <c r="AT11" s="404"/>
      <c r="AU11" s="404"/>
      <c r="AV11" s="404"/>
      <c r="AW11" s="404"/>
      <c r="AX11" s="404"/>
      <c r="AY11" s="404"/>
      <c r="AZ11" s="404"/>
      <c r="BA11" s="404"/>
      <c r="BB11" s="404"/>
      <c r="BC11" s="404"/>
      <c r="BD11" s="404"/>
      <c r="BE11" s="404"/>
      <c r="BF11" s="404"/>
      <c r="BG11" s="404"/>
      <c r="BH11" s="404"/>
      <c r="BI11" s="404"/>
      <c r="BJ11" s="404"/>
      <c r="BK11" s="404"/>
      <c r="BL11" s="404"/>
      <c r="BM11" s="404"/>
      <c r="BN11" s="404"/>
      <c r="BO11" s="404"/>
      <c r="BP11" s="404"/>
      <c r="BQ11" s="404"/>
      <c r="BR11" s="404"/>
      <c r="BS11" s="404"/>
      <c r="BT11" s="404"/>
      <c r="BU11" s="404"/>
      <c r="BV11" s="404"/>
      <c r="BW11" s="404"/>
      <c r="BX11" s="404"/>
      <c r="BY11" s="404"/>
      <c r="BZ11" s="404"/>
      <c r="CA11" s="404"/>
      <c r="CB11" s="404"/>
      <c r="CC11" s="404"/>
      <c r="CD11" s="404"/>
      <c r="CE11" s="404"/>
      <c r="CF11" s="404"/>
      <c r="CG11" s="404"/>
      <c r="CH11" s="404"/>
      <c r="CI11" s="404"/>
      <c r="CJ11" s="404"/>
      <c r="CK11" s="404"/>
      <c r="CL11" s="404"/>
      <c r="CM11" s="404"/>
      <c r="CN11" s="404"/>
      <c r="CO11" s="404"/>
      <c r="CP11" s="404"/>
      <c r="CQ11" s="404"/>
      <c r="CR11" s="404"/>
      <c r="CS11" s="404"/>
      <c r="CT11" s="404"/>
      <c r="CU11" s="404"/>
      <c r="CV11" s="404"/>
      <c r="CW11" s="404"/>
      <c r="CX11" s="404"/>
      <c r="CY11" s="404"/>
      <c r="CZ11" s="404"/>
      <c r="DA11" s="404"/>
      <c r="DB11" s="404"/>
      <c r="DC11" s="404"/>
      <c r="DD11" s="404"/>
      <c r="DE11" s="404"/>
      <c r="DF11" s="404"/>
      <c r="DG11" s="404"/>
      <c r="DH11" s="404"/>
      <c r="DI11" s="404"/>
      <c r="DJ11" s="404"/>
      <c r="DK11" s="404"/>
      <c r="DL11" s="404"/>
      <c r="DM11" s="404"/>
      <c r="DN11" s="404"/>
      <c r="DO11" s="404"/>
      <c r="DP11" s="404"/>
      <c r="DQ11" s="404"/>
      <c r="DR11" s="404"/>
      <c r="DS11" s="404"/>
      <c r="DT11" s="404"/>
      <c r="DU11" s="404"/>
      <c r="DV11" s="404"/>
      <c r="DW11" s="404"/>
      <c r="DX11" s="404"/>
      <c r="DY11" s="404"/>
      <c r="DZ11" s="404"/>
      <c r="EA11" s="404"/>
      <c r="EB11" s="404"/>
      <c r="EC11" s="404"/>
      <c r="ED11" s="404"/>
      <c r="EE11" s="404"/>
      <c r="EF11" s="404"/>
      <c r="EG11" s="404"/>
      <c r="EH11" s="404"/>
      <c r="EI11" s="404"/>
      <c r="EJ11" s="404"/>
      <c r="EK11" s="404"/>
      <c r="EL11" s="404"/>
      <c r="EM11" s="404"/>
      <c r="EN11" s="404"/>
      <c r="EO11" s="404"/>
      <c r="EP11" s="404"/>
      <c r="EQ11" s="404"/>
      <c r="ER11" s="404"/>
      <c r="ES11" s="404"/>
      <c r="ET11" s="404"/>
      <c r="EU11" s="404"/>
      <c r="EV11" s="404"/>
      <c r="EW11" s="404"/>
      <c r="EX11" s="404"/>
      <c r="EY11" s="404"/>
      <c r="EZ11" s="404"/>
      <c r="FA11" s="404"/>
      <c r="FB11" s="404"/>
      <c r="FC11" s="404"/>
      <c r="FD11" s="404"/>
      <c r="FE11" s="404"/>
      <c r="FF11" s="404"/>
      <c r="FG11" s="404"/>
      <c r="FH11" s="404"/>
      <c r="FI11" s="404"/>
      <c r="FJ11" s="404"/>
      <c r="FK11" s="404"/>
      <c r="FL11" s="404"/>
      <c r="FM11" s="404"/>
      <c r="FN11" s="404"/>
      <c r="FO11" s="404"/>
      <c r="FP11" s="404"/>
      <c r="FQ11" s="404"/>
      <c r="FR11" s="404"/>
      <c r="FS11" s="404"/>
      <c r="FT11" s="404"/>
      <c r="FU11" s="404"/>
      <c r="FV11" s="404"/>
      <c r="FW11" s="404"/>
      <c r="FX11" s="404"/>
      <c r="FY11" s="404"/>
      <c r="FZ11" s="404"/>
      <c r="GA11" s="404"/>
      <c r="GB11" s="404"/>
      <c r="GC11" s="404"/>
      <c r="GD11" s="404"/>
      <c r="GE11" s="404"/>
      <c r="GF11" s="404"/>
      <c r="GG11" s="404"/>
      <c r="GH11" s="404"/>
      <c r="GI11" s="404"/>
      <c r="GJ11" s="404"/>
      <c r="GK11" s="404"/>
      <c r="GL11" s="404"/>
      <c r="GM11" s="404"/>
      <c r="GN11" s="404"/>
      <c r="GO11" s="404"/>
      <c r="GP11" s="404"/>
      <c r="GQ11" s="404"/>
      <c r="GR11" s="404"/>
      <c r="GS11" s="404"/>
      <c r="GT11" s="404"/>
      <c r="GU11" s="404"/>
      <c r="GV11" s="404"/>
      <c r="GW11" s="404"/>
      <c r="GX11" s="404"/>
      <c r="GY11" s="404"/>
      <c r="GZ11" s="404"/>
      <c r="HA11" s="404"/>
      <c r="HB11" s="404"/>
      <c r="HC11" s="404"/>
      <c r="HD11" s="404"/>
      <c r="HE11" s="404"/>
      <c r="HF11" s="404"/>
      <c r="HG11" s="404"/>
      <c r="HH11" s="404"/>
      <c r="HI11" s="404"/>
      <c r="HJ11" s="404"/>
      <c r="HK11" s="404"/>
      <c r="HL11" s="404"/>
      <c r="HM11" s="404"/>
      <c r="HN11" s="404"/>
      <c r="HO11" s="404"/>
      <c r="HP11" s="404"/>
      <c r="HQ11" s="404"/>
      <c r="HR11" s="404"/>
      <c r="HS11" s="404"/>
      <c r="HT11" s="404"/>
      <c r="HU11" s="404"/>
      <c r="HV11" s="404"/>
      <c r="HW11" s="404"/>
      <c r="HX11" s="404"/>
      <c r="HY11" s="404"/>
      <c r="HZ11" s="404"/>
      <c r="IA11" s="404"/>
      <c r="IB11" s="404"/>
      <c r="IC11" s="404"/>
      <c r="ID11" s="404"/>
      <c r="IE11" s="404"/>
      <c r="IF11" s="404"/>
      <c r="IG11" s="404"/>
      <c r="IH11" s="404"/>
      <c r="II11" s="404"/>
      <c r="IJ11" s="404"/>
      <c r="IK11" s="404"/>
      <c r="IL11" s="404"/>
      <c r="IM11" s="404"/>
      <c r="IN11" s="404"/>
      <c r="IO11" s="404"/>
      <c r="IP11" s="404"/>
      <c r="IQ11" s="404"/>
      <c r="IR11" s="404"/>
      <c r="IS11" s="404"/>
      <c r="IT11" s="404"/>
      <c r="IU11" s="404"/>
      <c r="IV11" s="404"/>
    </row>
    <row r="12" spans="1:256" s="939" customFormat="1" x14ac:dyDescent="0.35">
      <c r="A12" s="735">
        <v>3</v>
      </c>
      <c r="B12" s="931"/>
      <c r="C12" s="932"/>
      <c r="D12" s="1729" t="s">
        <v>292</v>
      </c>
      <c r="E12" s="416">
        <f>F12+G12+O14+P12</f>
        <v>8822998</v>
      </c>
      <c r="F12" s="725">
        <v>106200</v>
      </c>
      <c r="G12" s="417">
        <v>145324</v>
      </c>
      <c r="H12" s="947"/>
      <c r="I12" s="964"/>
      <c r="J12" s="960"/>
      <c r="K12" s="960">
        <v>165993</v>
      </c>
      <c r="L12" s="960"/>
      <c r="M12" s="960">
        <v>8405481</v>
      </c>
      <c r="N12" s="960"/>
      <c r="O12" s="930">
        <f>SUM(I12:N12)</f>
        <v>8571474</v>
      </c>
      <c r="P12" s="726"/>
      <c r="Q12" s="969"/>
    </row>
    <row r="13" spans="1:256" s="721" customFormat="1" x14ac:dyDescent="0.35">
      <c r="A13" s="735">
        <v>4</v>
      </c>
      <c r="B13" s="931"/>
      <c r="C13" s="932"/>
      <c r="D13" s="1499" t="s">
        <v>929</v>
      </c>
      <c r="E13" s="416"/>
      <c r="F13" s="725"/>
      <c r="G13" s="417"/>
      <c r="H13" s="947"/>
      <c r="I13" s="1769"/>
      <c r="J13" s="1770"/>
      <c r="K13" s="1770"/>
      <c r="L13" s="1770"/>
      <c r="M13" s="1770"/>
      <c r="N13" s="1770"/>
      <c r="O13" s="1740">
        <f t="shared" ref="O13:O14" si="0">SUM(I13:N13)</f>
        <v>0</v>
      </c>
      <c r="P13" s="726"/>
      <c r="Q13" s="404"/>
      <c r="R13" s="404"/>
      <c r="S13" s="404"/>
      <c r="T13" s="404"/>
      <c r="U13" s="404"/>
      <c r="V13" s="404"/>
      <c r="W13" s="404"/>
      <c r="X13" s="404"/>
      <c r="Y13" s="404"/>
      <c r="Z13" s="404"/>
      <c r="AA13" s="404"/>
      <c r="AB13" s="404"/>
      <c r="AC13" s="404"/>
      <c r="AD13" s="404"/>
      <c r="AE13" s="404"/>
      <c r="AF13" s="404"/>
      <c r="AG13" s="404"/>
      <c r="AH13" s="404"/>
      <c r="AI13" s="404"/>
      <c r="AJ13" s="404"/>
      <c r="AK13" s="404"/>
      <c r="AL13" s="404"/>
      <c r="AM13" s="404"/>
      <c r="AN13" s="404"/>
      <c r="AO13" s="404"/>
      <c r="AP13" s="404"/>
      <c r="AQ13" s="404"/>
      <c r="AR13" s="404"/>
      <c r="AS13" s="404"/>
      <c r="AT13" s="404"/>
      <c r="AU13" s="404"/>
      <c r="AV13" s="404"/>
      <c r="AW13" s="404"/>
      <c r="AX13" s="404"/>
      <c r="AY13" s="404"/>
      <c r="AZ13" s="404"/>
      <c r="BA13" s="404"/>
      <c r="BB13" s="404"/>
      <c r="BC13" s="404"/>
      <c r="BD13" s="404"/>
      <c r="BE13" s="404"/>
      <c r="BF13" s="404"/>
      <c r="BG13" s="404"/>
      <c r="BH13" s="404"/>
      <c r="BI13" s="404"/>
      <c r="BJ13" s="404"/>
      <c r="BK13" s="404"/>
      <c r="BL13" s="404"/>
      <c r="BM13" s="404"/>
      <c r="BN13" s="404"/>
      <c r="BO13" s="404"/>
      <c r="BP13" s="404"/>
      <c r="BQ13" s="404"/>
      <c r="BR13" s="404"/>
      <c r="BS13" s="404"/>
      <c r="BT13" s="404"/>
      <c r="BU13" s="404"/>
      <c r="BV13" s="404"/>
      <c r="BW13" s="404"/>
      <c r="BX13" s="404"/>
      <c r="BY13" s="404"/>
      <c r="BZ13" s="404"/>
      <c r="CA13" s="404"/>
      <c r="CB13" s="404"/>
      <c r="CC13" s="404"/>
      <c r="CD13" s="404"/>
      <c r="CE13" s="404"/>
      <c r="CF13" s="404"/>
      <c r="CG13" s="404"/>
      <c r="CH13" s="404"/>
      <c r="CI13" s="404"/>
      <c r="CJ13" s="404"/>
      <c r="CK13" s="404"/>
      <c r="CL13" s="404"/>
      <c r="CM13" s="404"/>
      <c r="CN13" s="404"/>
      <c r="CO13" s="404"/>
      <c r="CP13" s="404"/>
      <c r="CQ13" s="404"/>
      <c r="CR13" s="404"/>
      <c r="CS13" s="404"/>
      <c r="CT13" s="404"/>
      <c r="CU13" s="404"/>
      <c r="CV13" s="404"/>
      <c r="CW13" s="404"/>
      <c r="CX13" s="404"/>
      <c r="CY13" s="404"/>
      <c r="CZ13" s="404"/>
      <c r="DA13" s="404"/>
      <c r="DB13" s="404"/>
      <c r="DC13" s="404"/>
      <c r="DD13" s="404"/>
      <c r="DE13" s="404"/>
      <c r="DF13" s="404"/>
      <c r="DG13" s="404"/>
      <c r="DH13" s="404"/>
      <c r="DI13" s="404"/>
      <c r="DJ13" s="404"/>
      <c r="DK13" s="404"/>
      <c r="DL13" s="404"/>
      <c r="DM13" s="404"/>
      <c r="DN13" s="404"/>
      <c r="DO13" s="404"/>
      <c r="DP13" s="404"/>
      <c r="DQ13" s="404"/>
      <c r="DR13" s="404"/>
      <c r="DS13" s="404"/>
      <c r="DT13" s="404"/>
      <c r="DU13" s="404"/>
      <c r="DV13" s="404"/>
      <c r="DW13" s="404"/>
      <c r="DX13" s="404"/>
      <c r="DY13" s="404"/>
      <c r="DZ13" s="404"/>
      <c r="EA13" s="404"/>
      <c r="EB13" s="404"/>
      <c r="EC13" s="404"/>
      <c r="ED13" s="404"/>
      <c r="EE13" s="404"/>
      <c r="EF13" s="404"/>
      <c r="EG13" s="404"/>
      <c r="EH13" s="404"/>
      <c r="EI13" s="404"/>
      <c r="EJ13" s="404"/>
      <c r="EK13" s="404"/>
      <c r="EL13" s="404"/>
      <c r="EM13" s="404"/>
      <c r="EN13" s="404"/>
      <c r="EO13" s="404"/>
      <c r="EP13" s="404"/>
      <c r="EQ13" s="404"/>
      <c r="ER13" s="404"/>
      <c r="ES13" s="404"/>
      <c r="ET13" s="404"/>
      <c r="EU13" s="404"/>
      <c r="EV13" s="404"/>
      <c r="EW13" s="404"/>
      <c r="EX13" s="404"/>
      <c r="EY13" s="404"/>
      <c r="EZ13" s="404"/>
      <c r="FA13" s="404"/>
      <c r="FB13" s="404"/>
      <c r="FC13" s="404"/>
      <c r="FD13" s="404"/>
      <c r="FE13" s="404"/>
      <c r="FF13" s="404"/>
      <c r="FG13" s="404"/>
      <c r="FH13" s="404"/>
      <c r="FI13" s="404"/>
      <c r="FJ13" s="404"/>
      <c r="FK13" s="404"/>
      <c r="FL13" s="404"/>
      <c r="FM13" s="404"/>
      <c r="FN13" s="404"/>
      <c r="FO13" s="404"/>
      <c r="FP13" s="404"/>
      <c r="FQ13" s="404"/>
      <c r="FR13" s="404"/>
      <c r="FS13" s="404"/>
      <c r="FT13" s="404"/>
      <c r="FU13" s="404"/>
      <c r="FV13" s="404"/>
      <c r="FW13" s="404"/>
      <c r="FX13" s="404"/>
      <c r="FY13" s="404"/>
      <c r="FZ13" s="404"/>
      <c r="GA13" s="404"/>
      <c r="GB13" s="404"/>
      <c r="GC13" s="404"/>
      <c r="GD13" s="404"/>
      <c r="GE13" s="404"/>
      <c r="GF13" s="404"/>
      <c r="GG13" s="404"/>
      <c r="GH13" s="404"/>
      <c r="GI13" s="404"/>
      <c r="GJ13" s="404"/>
      <c r="GK13" s="404"/>
      <c r="GL13" s="404"/>
      <c r="GM13" s="404"/>
      <c r="GN13" s="404"/>
      <c r="GO13" s="404"/>
      <c r="GP13" s="404"/>
      <c r="GQ13" s="404"/>
      <c r="GR13" s="404"/>
      <c r="GS13" s="404"/>
      <c r="GT13" s="404"/>
      <c r="GU13" s="404"/>
      <c r="GV13" s="404"/>
      <c r="GW13" s="404"/>
      <c r="GX13" s="404"/>
      <c r="GY13" s="404"/>
      <c r="GZ13" s="404"/>
      <c r="HA13" s="404"/>
      <c r="HB13" s="404"/>
      <c r="HC13" s="404"/>
      <c r="HD13" s="404"/>
      <c r="HE13" s="404"/>
      <c r="HF13" s="404"/>
      <c r="HG13" s="404"/>
      <c r="HH13" s="404"/>
      <c r="HI13" s="404"/>
      <c r="HJ13" s="404"/>
      <c r="HK13" s="404"/>
      <c r="HL13" s="404"/>
      <c r="HM13" s="404"/>
      <c r="HN13" s="404"/>
      <c r="HO13" s="404"/>
      <c r="HP13" s="404"/>
      <c r="HQ13" s="404"/>
      <c r="HR13" s="404"/>
      <c r="HS13" s="404"/>
      <c r="HT13" s="404"/>
      <c r="HU13" s="404"/>
      <c r="HV13" s="404"/>
      <c r="HW13" s="404"/>
      <c r="HX13" s="404"/>
      <c r="HY13" s="404"/>
      <c r="HZ13" s="404"/>
      <c r="IA13" s="404"/>
      <c r="IB13" s="404"/>
      <c r="IC13" s="404"/>
      <c r="ID13" s="404"/>
      <c r="IE13" s="404"/>
      <c r="IF13" s="404"/>
      <c r="IG13" s="404"/>
      <c r="IH13" s="404"/>
      <c r="II13" s="404"/>
      <c r="IJ13" s="404"/>
      <c r="IK13" s="404"/>
      <c r="IL13" s="404"/>
      <c r="IM13" s="404"/>
      <c r="IN13" s="404"/>
      <c r="IO13" s="404"/>
      <c r="IP13" s="404"/>
      <c r="IQ13" s="404"/>
      <c r="IR13" s="404"/>
      <c r="IS13" s="404"/>
      <c r="IT13" s="404"/>
      <c r="IU13" s="404"/>
      <c r="IV13" s="404"/>
    </row>
    <row r="14" spans="1:256" s="939" customFormat="1" x14ac:dyDescent="0.35">
      <c r="A14" s="735">
        <v>5</v>
      </c>
      <c r="B14" s="931"/>
      <c r="C14" s="932"/>
      <c r="D14" s="641" t="s">
        <v>927</v>
      </c>
      <c r="E14" s="416"/>
      <c r="F14" s="725"/>
      <c r="G14" s="417"/>
      <c r="H14" s="947"/>
      <c r="I14" s="964"/>
      <c r="J14" s="960"/>
      <c r="K14" s="722">
        <f>SUM(K12:K13)</f>
        <v>165993</v>
      </c>
      <c r="L14" s="722"/>
      <c r="M14" s="722">
        <f t="shared" ref="M14" si="1">SUM(M12:M13)</f>
        <v>8405481</v>
      </c>
      <c r="N14" s="960"/>
      <c r="O14" s="730">
        <f t="shared" si="0"/>
        <v>8571474</v>
      </c>
      <c r="P14" s="726"/>
      <c r="Q14" s="969"/>
    </row>
    <row r="15" spans="1:256" s="721" customFormat="1" x14ac:dyDescent="0.35">
      <c r="A15" s="735">
        <v>6</v>
      </c>
      <c r="B15" s="729"/>
      <c r="C15" s="447">
        <v>2</v>
      </c>
      <c r="D15" s="724" t="s">
        <v>524</v>
      </c>
      <c r="E15" s="416"/>
      <c r="F15" s="725"/>
      <c r="G15" s="417"/>
      <c r="H15" s="946" t="s">
        <v>24</v>
      </c>
      <c r="I15" s="964"/>
      <c r="J15" s="960"/>
      <c r="K15" s="960"/>
      <c r="L15" s="960"/>
      <c r="M15" s="960"/>
      <c r="N15" s="960"/>
      <c r="O15" s="730"/>
      <c r="P15" s="726"/>
      <c r="Q15" s="404"/>
      <c r="R15" s="404"/>
      <c r="S15" s="404"/>
      <c r="T15" s="404"/>
      <c r="U15" s="404"/>
      <c r="V15" s="404"/>
      <c r="W15" s="404"/>
      <c r="X15" s="404"/>
      <c r="Y15" s="404"/>
      <c r="Z15" s="404"/>
      <c r="AA15" s="404"/>
      <c r="AB15" s="404"/>
      <c r="AC15" s="404"/>
      <c r="AD15" s="404"/>
      <c r="AE15" s="404"/>
      <c r="AF15" s="404"/>
      <c r="AG15" s="404"/>
      <c r="AH15" s="404"/>
      <c r="AI15" s="404"/>
      <c r="AJ15" s="404"/>
      <c r="AK15" s="404"/>
      <c r="AL15" s="404"/>
      <c r="AM15" s="404"/>
      <c r="AN15" s="404"/>
      <c r="AO15" s="404"/>
      <c r="AP15" s="404"/>
      <c r="AQ15" s="404"/>
      <c r="AR15" s="404"/>
      <c r="AS15" s="404"/>
      <c r="AT15" s="404"/>
      <c r="AU15" s="404"/>
      <c r="AV15" s="404"/>
      <c r="AW15" s="404"/>
      <c r="AX15" s="404"/>
      <c r="AY15" s="404"/>
      <c r="AZ15" s="404"/>
      <c r="BA15" s="404"/>
      <c r="BB15" s="404"/>
      <c r="BC15" s="404"/>
      <c r="BD15" s="404"/>
      <c r="BE15" s="404"/>
      <c r="BF15" s="404"/>
      <c r="BG15" s="404"/>
      <c r="BH15" s="404"/>
      <c r="BI15" s="404"/>
      <c r="BJ15" s="404"/>
      <c r="BK15" s="404"/>
      <c r="BL15" s="404"/>
      <c r="BM15" s="404"/>
      <c r="BN15" s="404"/>
      <c r="BO15" s="404"/>
      <c r="BP15" s="404"/>
      <c r="BQ15" s="404"/>
      <c r="BR15" s="404"/>
      <c r="BS15" s="404"/>
      <c r="BT15" s="404"/>
      <c r="BU15" s="404"/>
      <c r="BV15" s="404"/>
      <c r="BW15" s="404"/>
      <c r="BX15" s="404"/>
      <c r="BY15" s="404"/>
      <c r="BZ15" s="404"/>
      <c r="CA15" s="404"/>
      <c r="CB15" s="404"/>
      <c r="CC15" s="404"/>
      <c r="CD15" s="404"/>
      <c r="CE15" s="404"/>
      <c r="CF15" s="404"/>
      <c r="CG15" s="404"/>
      <c r="CH15" s="404"/>
      <c r="CI15" s="404"/>
      <c r="CJ15" s="404"/>
      <c r="CK15" s="404"/>
      <c r="CL15" s="404"/>
      <c r="CM15" s="404"/>
      <c r="CN15" s="404"/>
      <c r="CO15" s="404"/>
      <c r="CP15" s="404"/>
      <c r="CQ15" s="404"/>
      <c r="CR15" s="404"/>
      <c r="CS15" s="404"/>
      <c r="CT15" s="404"/>
      <c r="CU15" s="404"/>
      <c r="CV15" s="404"/>
      <c r="CW15" s="404"/>
      <c r="CX15" s="404"/>
      <c r="CY15" s="404"/>
      <c r="CZ15" s="404"/>
      <c r="DA15" s="404"/>
      <c r="DB15" s="404"/>
      <c r="DC15" s="404"/>
      <c r="DD15" s="404"/>
      <c r="DE15" s="404"/>
      <c r="DF15" s="404"/>
      <c r="DG15" s="404"/>
      <c r="DH15" s="404"/>
      <c r="DI15" s="404"/>
      <c r="DJ15" s="404"/>
      <c r="DK15" s="404"/>
      <c r="DL15" s="404"/>
      <c r="DM15" s="404"/>
      <c r="DN15" s="404"/>
      <c r="DO15" s="404"/>
      <c r="DP15" s="404"/>
      <c r="DQ15" s="404"/>
      <c r="DR15" s="404"/>
      <c r="DS15" s="404"/>
      <c r="DT15" s="404"/>
      <c r="DU15" s="404"/>
      <c r="DV15" s="404"/>
      <c r="DW15" s="404"/>
      <c r="DX15" s="404"/>
      <c r="DY15" s="404"/>
      <c r="DZ15" s="404"/>
      <c r="EA15" s="404"/>
      <c r="EB15" s="404"/>
      <c r="EC15" s="404"/>
      <c r="ED15" s="404"/>
      <c r="EE15" s="404"/>
      <c r="EF15" s="404"/>
      <c r="EG15" s="404"/>
      <c r="EH15" s="404"/>
      <c r="EI15" s="404"/>
      <c r="EJ15" s="404"/>
      <c r="EK15" s="404"/>
      <c r="EL15" s="404"/>
      <c r="EM15" s="404"/>
      <c r="EN15" s="404"/>
      <c r="EO15" s="404"/>
      <c r="EP15" s="404"/>
      <c r="EQ15" s="404"/>
      <c r="ER15" s="404"/>
      <c r="ES15" s="404"/>
      <c r="ET15" s="404"/>
      <c r="EU15" s="404"/>
      <c r="EV15" s="404"/>
      <c r="EW15" s="404"/>
      <c r="EX15" s="404"/>
      <c r="EY15" s="404"/>
      <c r="EZ15" s="404"/>
      <c r="FA15" s="404"/>
      <c r="FB15" s="404"/>
      <c r="FC15" s="404"/>
      <c r="FD15" s="404"/>
      <c r="FE15" s="404"/>
      <c r="FF15" s="404"/>
      <c r="FG15" s="404"/>
      <c r="FH15" s="404"/>
      <c r="FI15" s="404"/>
      <c r="FJ15" s="404"/>
      <c r="FK15" s="404"/>
      <c r="FL15" s="404"/>
      <c r="FM15" s="404"/>
      <c r="FN15" s="404"/>
      <c r="FO15" s="404"/>
      <c r="FP15" s="404"/>
      <c r="FQ15" s="404"/>
      <c r="FR15" s="404"/>
      <c r="FS15" s="404"/>
      <c r="FT15" s="404"/>
      <c r="FU15" s="404"/>
      <c r="FV15" s="404"/>
      <c r="FW15" s="404"/>
      <c r="FX15" s="404"/>
      <c r="FY15" s="404"/>
      <c r="FZ15" s="404"/>
      <c r="GA15" s="404"/>
      <c r="GB15" s="404"/>
      <c r="GC15" s="404"/>
      <c r="GD15" s="404"/>
      <c r="GE15" s="404"/>
      <c r="GF15" s="404"/>
      <c r="GG15" s="404"/>
      <c r="GH15" s="404"/>
      <c r="GI15" s="404"/>
      <c r="GJ15" s="404"/>
      <c r="GK15" s="404"/>
      <c r="GL15" s="404"/>
      <c r="GM15" s="404"/>
      <c r="GN15" s="404"/>
      <c r="GO15" s="404"/>
      <c r="GP15" s="404"/>
      <c r="GQ15" s="404"/>
      <c r="GR15" s="404"/>
      <c r="GS15" s="404"/>
      <c r="GT15" s="404"/>
      <c r="GU15" s="404"/>
      <c r="GV15" s="404"/>
      <c r="GW15" s="404"/>
      <c r="GX15" s="404"/>
      <c r="GY15" s="404"/>
      <c r="GZ15" s="404"/>
      <c r="HA15" s="404"/>
      <c r="HB15" s="404"/>
      <c r="HC15" s="404"/>
      <c r="HD15" s="404"/>
      <c r="HE15" s="404"/>
      <c r="HF15" s="404"/>
      <c r="HG15" s="404"/>
      <c r="HH15" s="404"/>
      <c r="HI15" s="404"/>
      <c r="HJ15" s="404"/>
      <c r="HK15" s="404"/>
      <c r="HL15" s="404"/>
      <c r="HM15" s="404"/>
      <c r="HN15" s="404"/>
      <c r="HO15" s="404"/>
      <c r="HP15" s="404"/>
      <c r="HQ15" s="404"/>
      <c r="HR15" s="404"/>
      <c r="HS15" s="404"/>
      <c r="HT15" s="404"/>
      <c r="HU15" s="404"/>
      <c r="HV15" s="404"/>
      <c r="HW15" s="404"/>
      <c r="HX15" s="404"/>
      <c r="HY15" s="404"/>
      <c r="HZ15" s="404"/>
      <c r="IA15" s="404"/>
      <c r="IB15" s="404"/>
      <c r="IC15" s="404"/>
      <c r="ID15" s="404"/>
      <c r="IE15" s="404"/>
      <c r="IF15" s="404"/>
      <c r="IG15" s="404"/>
      <c r="IH15" s="404"/>
      <c r="II15" s="404"/>
      <c r="IJ15" s="404"/>
      <c r="IK15" s="404"/>
      <c r="IL15" s="404"/>
      <c r="IM15" s="404"/>
      <c r="IN15" s="404"/>
      <c r="IO15" s="404"/>
      <c r="IP15" s="404"/>
      <c r="IQ15" s="404"/>
      <c r="IR15" s="404"/>
      <c r="IS15" s="404"/>
      <c r="IT15" s="404"/>
      <c r="IU15" s="404"/>
      <c r="IV15" s="404"/>
    </row>
    <row r="16" spans="1:256" s="939" customFormat="1" x14ac:dyDescent="0.35">
      <c r="A16" s="735">
        <v>7</v>
      </c>
      <c r="B16" s="931"/>
      <c r="C16" s="932"/>
      <c r="D16" s="1729" t="s">
        <v>292</v>
      </c>
      <c r="E16" s="416">
        <f>F16+G16+O18+P16</f>
        <v>14460580</v>
      </c>
      <c r="F16" s="725">
        <f>324476+484396</f>
        <v>808872</v>
      </c>
      <c r="G16" s="417">
        <v>427002</v>
      </c>
      <c r="H16" s="947"/>
      <c r="I16" s="964"/>
      <c r="J16" s="960"/>
      <c r="K16" s="960"/>
      <c r="L16" s="960"/>
      <c r="M16" s="960">
        <v>3444126</v>
      </c>
      <c r="N16" s="960"/>
      <c r="O16" s="930">
        <f>SUM(I16:N16)</f>
        <v>3444126</v>
      </c>
      <c r="P16" s="726">
        <v>9780580</v>
      </c>
      <c r="Q16" s="969"/>
    </row>
    <row r="17" spans="1:256" s="721" customFormat="1" x14ac:dyDescent="0.35">
      <c r="A17" s="735">
        <v>8</v>
      </c>
      <c r="B17" s="931"/>
      <c r="C17" s="932"/>
      <c r="D17" s="1499" t="s">
        <v>929</v>
      </c>
      <c r="E17" s="416"/>
      <c r="F17" s="725"/>
      <c r="G17" s="417"/>
      <c r="H17" s="947"/>
      <c r="I17" s="964"/>
      <c r="J17" s="960"/>
      <c r="K17" s="960"/>
      <c r="L17" s="960"/>
      <c r="M17" s="960"/>
      <c r="N17" s="960"/>
      <c r="O17" s="1740">
        <f t="shared" ref="O17:O18" si="2">SUM(I17:N17)</f>
        <v>0</v>
      </c>
      <c r="P17" s="726"/>
      <c r="Q17" s="404"/>
      <c r="R17" s="404"/>
      <c r="S17" s="404"/>
      <c r="T17" s="404"/>
      <c r="U17" s="404"/>
      <c r="V17" s="404"/>
      <c r="W17" s="404"/>
      <c r="X17" s="404"/>
      <c r="Y17" s="404"/>
      <c r="Z17" s="404"/>
      <c r="AA17" s="404"/>
      <c r="AB17" s="404"/>
      <c r="AC17" s="404"/>
      <c r="AD17" s="404"/>
      <c r="AE17" s="404"/>
      <c r="AF17" s="404"/>
      <c r="AG17" s="404"/>
      <c r="AH17" s="404"/>
      <c r="AI17" s="404"/>
      <c r="AJ17" s="404"/>
      <c r="AK17" s="404"/>
      <c r="AL17" s="404"/>
      <c r="AM17" s="404"/>
      <c r="AN17" s="404"/>
      <c r="AO17" s="404"/>
      <c r="AP17" s="404"/>
      <c r="AQ17" s="404"/>
      <c r="AR17" s="404"/>
      <c r="AS17" s="404"/>
      <c r="AT17" s="404"/>
      <c r="AU17" s="404"/>
      <c r="AV17" s="404"/>
      <c r="AW17" s="404"/>
      <c r="AX17" s="404"/>
      <c r="AY17" s="404"/>
      <c r="AZ17" s="404"/>
      <c r="BA17" s="404"/>
      <c r="BB17" s="404"/>
      <c r="BC17" s="404"/>
      <c r="BD17" s="404"/>
      <c r="BE17" s="404"/>
      <c r="BF17" s="404"/>
      <c r="BG17" s="404"/>
      <c r="BH17" s="404"/>
      <c r="BI17" s="404"/>
      <c r="BJ17" s="404"/>
      <c r="BK17" s="404"/>
      <c r="BL17" s="404"/>
      <c r="BM17" s="404"/>
      <c r="BN17" s="404"/>
      <c r="BO17" s="404"/>
      <c r="BP17" s="404"/>
      <c r="BQ17" s="404"/>
      <c r="BR17" s="404"/>
      <c r="BS17" s="404"/>
      <c r="BT17" s="404"/>
      <c r="BU17" s="404"/>
      <c r="BV17" s="404"/>
      <c r="BW17" s="404"/>
      <c r="BX17" s="404"/>
      <c r="BY17" s="404"/>
      <c r="BZ17" s="404"/>
      <c r="CA17" s="404"/>
      <c r="CB17" s="404"/>
      <c r="CC17" s="404"/>
      <c r="CD17" s="404"/>
      <c r="CE17" s="404"/>
      <c r="CF17" s="404"/>
      <c r="CG17" s="404"/>
      <c r="CH17" s="404"/>
      <c r="CI17" s="404"/>
      <c r="CJ17" s="404"/>
      <c r="CK17" s="404"/>
      <c r="CL17" s="404"/>
      <c r="CM17" s="404"/>
      <c r="CN17" s="404"/>
      <c r="CO17" s="404"/>
      <c r="CP17" s="404"/>
      <c r="CQ17" s="404"/>
      <c r="CR17" s="404"/>
      <c r="CS17" s="404"/>
      <c r="CT17" s="404"/>
      <c r="CU17" s="404"/>
      <c r="CV17" s="404"/>
      <c r="CW17" s="404"/>
      <c r="CX17" s="404"/>
      <c r="CY17" s="404"/>
      <c r="CZ17" s="404"/>
      <c r="DA17" s="404"/>
      <c r="DB17" s="404"/>
      <c r="DC17" s="404"/>
      <c r="DD17" s="404"/>
      <c r="DE17" s="404"/>
      <c r="DF17" s="404"/>
      <c r="DG17" s="404"/>
      <c r="DH17" s="404"/>
      <c r="DI17" s="404"/>
      <c r="DJ17" s="404"/>
      <c r="DK17" s="404"/>
      <c r="DL17" s="404"/>
      <c r="DM17" s="404"/>
      <c r="DN17" s="404"/>
      <c r="DO17" s="404"/>
      <c r="DP17" s="404"/>
      <c r="DQ17" s="404"/>
      <c r="DR17" s="404"/>
      <c r="DS17" s="404"/>
      <c r="DT17" s="404"/>
      <c r="DU17" s="404"/>
      <c r="DV17" s="404"/>
      <c r="DW17" s="404"/>
      <c r="DX17" s="404"/>
      <c r="DY17" s="404"/>
      <c r="DZ17" s="404"/>
      <c r="EA17" s="404"/>
      <c r="EB17" s="404"/>
      <c r="EC17" s="404"/>
      <c r="ED17" s="404"/>
      <c r="EE17" s="404"/>
      <c r="EF17" s="404"/>
      <c r="EG17" s="404"/>
      <c r="EH17" s="404"/>
      <c r="EI17" s="404"/>
      <c r="EJ17" s="404"/>
      <c r="EK17" s="404"/>
      <c r="EL17" s="404"/>
      <c r="EM17" s="404"/>
      <c r="EN17" s="404"/>
      <c r="EO17" s="404"/>
      <c r="EP17" s="404"/>
      <c r="EQ17" s="404"/>
      <c r="ER17" s="404"/>
      <c r="ES17" s="404"/>
      <c r="ET17" s="404"/>
      <c r="EU17" s="404"/>
      <c r="EV17" s="404"/>
      <c r="EW17" s="404"/>
      <c r="EX17" s="404"/>
      <c r="EY17" s="404"/>
      <c r="EZ17" s="404"/>
      <c r="FA17" s="404"/>
      <c r="FB17" s="404"/>
      <c r="FC17" s="404"/>
      <c r="FD17" s="404"/>
      <c r="FE17" s="404"/>
      <c r="FF17" s="404"/>
      <c r="FG17" s="404"/>
      <c r="FH17" s="404"/>
      <c r="FI17" s="404"/>
      <c r="FJ17" s="404"/>
      <c r="FK17" s="404"/>
      <c r="FL17" s="404"/>
      <c r="FM17" s="404"/>
      <c r="FN17" s="404"/>
      <c r="FO17" s="404"/>
      <c r="FP17" s="404"/>
      <c r="FQ17" s="404"/>
      <c r="FR17" s="404"/>
      <c r="FS17" s="404"/>
      <c r="FT17" s="404"/>
      <c r="FU17" s="404"/>
      <c r="FV17" s="404"/>
      <c r="FW17" s="404"/>
      <c r="FX17" s="404"/>
      <c r="FY17" s="404"/>
      <c r="FZ17" s="404"/>
      <c r="GA17" s="404"/>
      <c r="GB17" s="404"/>
      <c r="GC17" s="404"/>
      <c r="GD17" s="404"/>
      <c r="GE17" s="404"/>
      <c r="GF17" s="404"/>
      <c r="GG17" s="404"/>
      <c r="GH17" s="404"/>
      <c r="GI17" s="404"/>
      <c r="GJ17" s="404"/>
      <c r="GK17" s="404"/>
      <c r="GL17" s="404"/>
      <c r="GM17" s="404"/>
      <c r="GN17" s="404"/>
      <c r="GO17" s="404"/>
      <c r="GP17" s="404"/>
      <c r="GQ17" s="404"/>
      <c r="GR17" s="404"/>
      <c r="GS17" s="404"/>
      <c r="GT17" s="404"/>
      <c r="GU17" s="404"/>
      <c r="GV17" s="404"/>
      <c r="GW17" s="404"/>
      <c r="GX17" s="404"/>
      <c r="GY17" s="404"/>
      <c r="GZ17" s="404"/>
      <c r="HA17" s="404"/>
      <c r="HB17" s="404"/>
      <c r="HC17" s="404"/>
      <c r="HD17" s="404"/>
      <c r="HE17" s="404"/>
      <c r="HF17" s="404"/>
      <c r="HG17" s="404"/>
      <c r="HH17" s="404"/>
      <c r="HI17" s="404"/>
      <c r="HJ17" s="404"/>
      <c r="HK17" s="404"/>
      <c r="HL17" s="404"/>
      <c r="HM17" s="404"/>
      <c r="HN17" s="404"/>
      <c r="HO17" s="404"/>
      <c r="HP17" s="404"/>
      <c r="HQ17" s="404"/>
      <c r="HR17" s="404"/>
      <c r="HS17" s="404"/>
      <c r="HT17" s="404"/>
      <c r="HU17" s="404"/>
      <c r="HV17" s="404"/>
      <c r="HW17" s="404"/>
      <c r="HX17" s="404"/>
      <c r="HY17" s="404"/>
      <c r="HZ17" s="404"/>
      <c r="IA17" s="404"/>
      <c r="IB17" s="404"/>
      <c r="IC17" s="404"/>
      <c r="ID17" s="404"/>
      <c r="IE17" s="404"/>
      <c r="IF17" s="404"/>
      <c r="IG17" s="404"/>
      <c r="IH17" s="404"/>
      <c r="II17" s="404"/>
      <c r="IJ17" s="404"/>
      <c r="IK17" s="404"/>
      <c r="IL17" s="404"/>
      <c r="IM17" s="404"/>
      <c r="IN17" s="404"/>
      <c r="IO17" s="404"/>
      <c r="IP17" s="404"/>
      <c r="IQ17" s="404"/>
      <c r="IR17" s="404"/>
      <c r="IS17" s="404"/>
      <c r="IT17" s="404"/>
      <c r="IU17" s="404"/>
      <c r="IV17" s="404"/>
    </row>
    <row r="18" spans="1:256" s="939" customFormat="1" x14ac:dyDescent="0.35">
      <c r="A18" s="735">
        <v>9</v>
      </c>
      <c r="B18" s="931"/>
      <c r="C18" s="932"/>
      <c r="D18" s="641" t="s">
        <v>927</v>
      </c>
      <c r="E18" s="416"/>
      <c r="F18" s="725"/>
      <c r="G18" s="417"/>
      <c r="H18" s="947"/>
      <c r="I18" s="964"/>
      <c r="J18" s="960"/>
      <c r="K18" s="960"/>
      <c r="L18" s="960"/>
      <c r="M18" s="960">
        <f>SUM(M16:M17)</f>
        <v>3444126</v>
      </c>
      <c r="N18" s="960"/>
      <c r="O18" s="730">
        <f t="shared" si="2"/>
        <v>3444126</v>
      </c>
      <c r="P18" s="726"/>
      <c r="Q18" s="969"/>
    </row>
    <row r="19" spans="1:256" s="721" customFormat="1" x14ac:dyDescent="0.35">
      <c r="A19" s="735">
        <v>10</v>
      </c>
      <c r="B19" s="729"/>
      <c r="C19" s="406">
        <v>3</v>
      </c>
      <c r="D19" s="1139" t="s">
        <v>525</v>
      </c>
      <c r="E19" s="416"/>
      <c r="F19" s="725"/>
      <c r="G19" s="417"/>
      <c r="H19" s="946" t="s">
        <v>24</v>
      </c>
      <c r="I19" s="964"/>
      <c r="J19" s="960"/>
      <c r="K19" s="960"/>
      <c r="L19" s="960"/>
      <c r="M19" s="960"/>
      <c r="N19" s="960"/>
      <c r="O19" s="730"/>
      <c r="P19" s="726"/>
      <c r="Q19" s="404"/>
      <c r="R19" s="404"/>
      <c r="S19" s="404"/>
      <c r="T19" s="404"/>
      <c r="U19" s="404"/>
      <c r="V19" s="404"/>
      <c r="W19" s="404"/>
      <c r="X19" s="404"/>
      <c r="Y19" s="404"/>
      <c r="Z19" s="404"/>
      <c r="AA19" s="404"/>
      <c r="AB19" s="404"/>
      <c r="AC19" s="404"/>
      <c r="AD19" s="404"/>
      <c r="AE19" s="404"/>
      <c r="AF19" s="404"/>
      <c r="AG19" s="404"/>
      <c r="AH19" s="404"/>
      <c r="AI19" s="404"/>
      <c r="AJ19" s="404"/>
      <c r="AK19" s="404"/>
      <c r="AL19" s="404"/>
      <c r="AM19" s="404"/>
      <c r="AN19" s="404"/>
      <c r="AO19" s="404"/>
      <c r="AP19" s="404"/>
      <c r="AQ19" s="404"/>
      <c r="AR19" s="404"/>
      <c r="AS19" s="404"/>
      <c r="AT19" s="404"/>
      <c r="AU19" s="404"/>
      <c r="AV19" s="404"/>
      <c r="AW19" s="404"/>
      <c r="AX19" s="404"/>
      <c r="AY19" s="404"/>
      <c r="AZ19" s="404"/>
      <c r="BA19" s="404"/>
      <c r="BB19" s="404"/>
      <c r="BC19" s="404"/>
      <c r="BD19" s="404"/>
      <c r="BE19" s="404"/>
      <c r="BF19" s="404"/>
      <c r="BG19" s="404"/>
      <c r="BH19" s="404"/>
      <c r="BI19" s="404"/>
      <c r="BJ19" s="404"/>
      <c r="BK19" s="404"/>
      <c r="BL19" s="404"/>
      <c r="BM19" s="404"/>
      <c r="BN19" s="404"/>
      <c r="BO19" s="404"/>
      <c r="BP19" s="404"/>
      <c r="BQ19" s="404"/>
      <c r="BR19" s="404"/>
      <c r="BS19" s="404"/>
      <c r="BT19" s="404"/>
      <c r="BU19" s="404"/>
      <c r="BV19" s="404"/>
      <c r="BW19" s="404"/>
      <c r="BX19" s="404"/>
      <c r="BY19" s="404"/>
      <c r="BZ19" s="404"/>
      <c r="CA19" s="404"/>
      <c r="CB19" s="404"/>
      <c r="CC19" s="404"/>
      <c r="CD19" s="404"/>
      <c r="CE19" s="404"/>
      <c r="CF19" s="404"/>
      <c r="CG19" s="404"/>
      <c r="CH19" s="404"/>
      <c r="CI19" s="404"/>
      <c r="CJ19" s="404"/>
      <c r="CK19" s="404"/>
      <c r="CL19" s="404"/>
      <c r="CM19" s="404"/>
      <c r="CN19" s="404"/>
      <c r="CO19" s="404"/>
      <c r="CP19" s="404"/>
      <c r="CQ19" s="404"/>
      <c r="CR19" s="404"/>
      <c r="CS19" s="404"/>
      <c r="CT19" s="404"/>
      <c r="CU19" s="404"/>
      <c r="CV19" s="404"/>
      <c r="CW19" s="404"/>
      <c r="CX19" s="404"/>
      <c r="CY19" s="404"/>
      <c r="CZ19" s="404"/>
      <c r="DA19" s="404"/>
      <c r="DB19" s="404"/>
      <c r="DC19" s="404"/>
      <c r="DD19" s="404"/>
      <c r="DE19" s="404"/>
      <c r="DF19" s="404"/>
      <c r="DG19" s="404"/>
      <c r="DH19" s="404"/>
      <c r="DI19" s="404"/>
      <c r="DJ19" s="404"/>
      <c r="DK19" s="404"/>
      <c r="DL19" s="404"/>
      <c r="DM19" s="404"/>
      <c r="DN19" s="404"/>
      <c r="DO19" s="404"/>
      <c r="DP19" s="404"/>
      <c r="DQ19" s="404"/>
      <c r="DR19" s="404"/>
      <c r="DS19" s="404"/>
      <c r="DT19" s="404"/>
      <c r="DU19" s="404"/>
      <c r="DV19" s="404"/>
      <c r="DW19" s="404"/>
      <c r="DX19" s="404"/>
      <c r="DY19" s="404"/>
      <c r="DZ19" s="404"/>
      <c r="EA19" s="404"/>
      <c r="EB19" s="404"/>
      <c r="EC19" s="404"/>
      <c r="ED19" s="404"/>
      <c r="EE19" s="404"/>
      <c r="EF19" s="404"/>
      <c r="EG19" s="404"/>
      <c r="EH19" s="404"/>
      <c r="EI19" s="404"/>
      <c r="EJ19" s="404"/>
      <c r="EK19" s="404"/>
      <c r="EL19" s="404"/>
      <c r="EM19" s="404"/>
      <c r="EN19" s="404"/>
      <c r="EO19" s="404"/>
      <c r="EP19" s="404"/>
      <c r="EQ19" s="404"/>
      <c r="ER19" s="404"/>
      <c r="ES19" s="404"/>
      <c r="ET19" s="404"/>
      <c r="EU19" s="404"/>
      <c r="EV19" s="404"/>
      <c r="EW19" s="404"/>
      <c r="EX19" s="404"/>
      <c r="EY19" s="404"/>
      <c r="EZ19" s="404"/>
      <c r="FA19" s="404"/>
      <c r="FB19" s="404"/>
      <c r="FC19" s="404"/>
      <c r="FD19" s="404"/>
      <c r="FE19" s="404"/>
      <c r="FF19" s="404"/>
      <c r="FG19" s="404"/>
      <c r="FH19" s="404"/>
      <c r="FI19" s="404"/>
      <c r="FJ19" s="404"/>
      <c r="FK19" s="404"/>
      <c r="FL19" s="404"/>
      <c r="FM19" s="404"/>
      <c r="FN19" s="404"/>
      <c r="FO19" s="404"/>
      <c r="FP19" s="404"/>
      <c r="FQ19" s="404"/>
      <c r="FR19" s="404"/>
      <c r="FS19" s="404"/>
      <c r="FT19" s="404"/>
      <c r="FU19" s="404"/>
      <c r="FV19" s="404"/>
      <c r="FW19" s="404"/>
      <c r="FX19" s="404"/>
      <c r="FY19" s="404"/>
      <c r="FZ19" s="404"/>
      <c r="GA19" s="404"/>
      <c r="GB19" s="404"/>
      <c r="GC19" s="404"/>
      <c r="GD19" s="404"/>
      <c r="GE19" s="404"/>
      <c r="GF19" s="404"/>
      <c r="GG19" s="404"/>
      <c r="GH19" s="404"/>
      <c r="GI19" s="404"/>
      <c r="GJ19" s="404"/>
      <c r="GK19" s="404"/>
      <c r="GL19" s="404"/>
      <c r="GM19" s="404"/>
      <c r="GN19" s="404"/>
      <c r="GO19" s="404"/>
      <c r="GP19" s="404"/>
      <c r="GQ19" s="404"/>
      <c r="GR19" s="404"/>
      <c r="GS19" s="404"/>
      <c r="GT19" s="404"/>
      <c r="GU19" s="404"/>
      <c r="GV19" s="404"/>
      <c r="GW19" s="404"/>
      <c r="GX19" s="404"/>
      <c r="GY19" s="404"/>
      <c r="GZ19" s="404"/>
      <c r="HA19" s="404"/>
      <c r="HB19" s="404"/>
      <c r="HC19" s="404"/>
      <c r="HD19" s="404"/>
      <c r="HE19" s="404"/>
      <c r="HF19" s="404"/>
      <c r="HG19" s="404"/>
      <c r="HH19" s="404"/>
      <c r="HI19" s="404"/>
      <c r="HJ19" s="404"/>
      <c r="HK19" s="404"/>
      <c r="HL19" s="404"/>
      <c r="HM19" s="404"/>
      <c r="HN19" s="404"/>
      <c r="HO19" s="404"/>
      <c r="HP19" s="404"/>
      <c r="HQ19" s="404"/>
      <c r="HR19" s="404"/>
      <c r="HS19" s="404"/>
      <c r="HT19" s="404"/>
      <c r="HU19" s="404"/>
      <c r="HV19" s="404"/>
      <c r="HW19" s="404"/>
      <c r="HX19" s="404"/>
      <c r="HY19" s="404"/>
      <c r="HZ19" s="404"/>
      <c r="IA19" s="404"/>
      <c r="IB19" s="404"/>
      <c r="IC19" s="404"/>
      <c r="ID19" s="404"/>
      <c r="IE19" s="404"/>
      <c r="IF19" s="404"/>
      <c r="IG19" s="404"/>
      <c r="IH19" s="404"/>
      <c r="II19" s="404"/>
      <c r="IJ19" s="404"/>
      <c r="IK19" s="404"/>
      <c r="IL19" s="404"/>
      <c r="IM19" s="404"/>
      <c r="IN19" s="404"/>
      <c r="IO19" s="404"/>
      <c r="IP19" s="404"/>
      <c r="IQ19" s="404"/>
      <c r="IR19" s="404"/>
      <c r="IS19" s="404"/>
      <c r="IT19" s="404"/>
      <c r="IU19" s="404"/>
      <c r="IV19" s="404"/>
    </row>
    <row r="20" spans="1:256" x14ac:dyDescent="0.35">
      <c r="A20" s="735">
        <v>11</v>
      </c>
      <c r="B20" s="931"/>
      <c r="C20" s="932"/>
      <c r="D20" s="1729" t="s">
        <v>292</v>
      </c>
      <c r="E20" s="416">
        <f>F20+G20+O22+P20</f>
        <v>1793189</v>
      </c>
      <c r="F20" s="725">
        <f>1281902+1692</f>
        <v>1283594</v>
      </c>
      <c r="G20" s="417">
        <v>494913</v>
      </c>
      <c r="H20" s="947"/>
      <c r="I20" s="964"/>
      <c r="J20" s="960"/>
      <c r="K20" s="960">
        <v>482</v>
      </c>
      <c r="L20" s="960"/>
      <c r="M20" s="960">
        <v>14200</v>
      </c>
      <c r="N20" s="960"/>
      <c r="O20" s="930">
        <f>SUM(I20:N20)</f>
        <v>14682</v>
      </c>
      <c r="P20" s="726"/>
    </row>
    <row r="21" spans="1:256" s="721" customFormat="1" x14ac:dyDescent="0.35">
      <c r="A21" s="735">
        <v>12</v>
      </c>
      <c r="B21" s="931"/>
      <c r="C21" s="932"/>
      <c r="D21" s="1499" t="s">
        <v>929</v>
      </c>
      <c r="E21" s="416"/>
      <c r="F21" s="725"/>
      <c r="G21" s="417"/>
      <c r="H21" s="947"/>
      <c r="I21" s="964"/>
      <c r="J21" s="960"/>
      <c r="K21" s="960"/>
      <c r="L21" s="960"/>
      <c r="M21" s="960"/>
      <c r="N21" s="960"/>
      <c r="O21" s="1740">
        <f t="shared" ref="O21:O22" si="3">SUM(I21:N21)</f>
        <v>0</v>
      </c>
      <c r="P21" s="726"/>
      <c r="Q21" s="404"/>
      <c r="R21" s="404"/>
      <c r="S21" s="404"/>
      <c r="T21" s="404"/>
      <c r="U21" s="404"/>
      <c r="V21" s="404"/>
      <c r="W21" s="404"/>
      <c r="X21" s="404"/>
      <c r="Y21" s="404"/>
      <c r="Z21" s="404"/>
      <c r="AA21" s="404"/>
      <c r="AB21" s="404"/>
      <c r="AC21" s="404"/>
      <c r="AD21" s="404"/>
      <c r="AE21" s="404"/>
      <c r="AF21" s="404"/>
      <c r="AG21" s="404"/>
      <c r="AH21" s="404"/>
      <c r="AI21" s="404"/>
      <c r="AJ21" s="404"/>
      <c r="AK21" s="404"/>
      <c r="AL21" s="404"/>
      <c r="AM21" s="404"/>
      <c r="AN21" s="404"/>
      <c r="AO21" s="404"/>
      <c r="AP21" s="404"/>
      <c r="AQ21" s="404"/>
      <c r="AR21" s="404"/>
      <c r="AS21" s="404"/>
      <c r="AT21" s="404"/>
      <c r="AU21" s="404"/>
      <c r="AV21" s="404"/>
      <c r="AW21" s="404"/>
      <c r="AX21" s="404"/>
      <c r="AY21" s="404"/>
      <c r="AZ21" s="404"/>
      <c r="BA21" s="404"/>
      <c r="BB21" s="404"/>
      <c r="BC21" s="404"/>
      <c r="BD21" s="404"/>
      <c r="BE21" s="404"/>
      <c r="BF21" s="404"/>
      <c r="BG21" s="404"/>
      <c r="BH21" s="404"/>
      <c r="BI21" s="404"/>
      <c r="BJ21" s="404"/>
      <c r="BK21" s="404"/>
      <c r="BL21" s="404"/>
      <c r="BM21" s="404"/>
      <c r="BN21" s="404"/>
      <c r="BO21" s="404"/>
      <c r="BP21" s="404"/>
      <c r="BQ21" s="404"/>
      <c r="BR21" s="404"/>
      <c r="BS21" s="404"/>
      <c r="BT21" s="404"/>
      <c r="BU21" s="404"/>
      <c r="BV21" s="404"/>
      <c r="BW21" s="404"/>
      <c r="BX21" s="404"/>
      <c r="BY21" s="404"/>
      <c r="BZ21" s="404"/>
      <c r="CA21" s="404"/>
      <c r="CB21" s="404"/>
      <c r="CC21" s="404"/>
      <c r="CD21" s="404"/>
      <c r="CE21" s="404"/>
      <c r="CF21" s="404"/>
      <c r="CG21" s="404"/>
      <c r="CH21" s="404"/>
      <c r="CI21" s="404"/>
      <c r="CJ21" s="404"/>
      <c r="CK21" s="404"/>
      <c r="CL21" s="404"/>
      <c r="CM21" s="404"/>
      <c r="CN21" s="404"/>
      <c r="CO21" s="404"/>
      <c r="CP21" s="404"/>
      <c r="CQ21" s="404"/>
      <c r="CR21" s="404"/>
      <c r="CS21" s="404"/>
      <c r="CT21" s="404"/>
      <c r="CU21" s="404"/>
      <c r="CV21" s="404"/>
      <c r="CW21" s="404"/>
      <c r="CX21" s="404"/>
      <c r="CY21" s="404"/>
      <c r="CZ21" s="404"/>
      <c r="DA21" s="404"/>
      <c r="DB21" s="404"/>
      <c r="DC21" s="404"/>
      <c r="DD21" s="404"/>
      <c r="DE21" s="404"/>
      <c r="DF21" s="404"/>
      <c r="DG21" s="404"/>
      <c r="DH21" s="404"/>
      <c r="DI21" s="404"/>
      <c r="DJ21" s="404"/>
      <c r="DK21" s="404"/>
      <c r="DL21" s="404"/>
      <c r="DM21" s="404"/>
      <c r="DN21" s="404"/>
      <c r="DO21" s="404"/>
      <c r="DP21" s="404"/>
      <c r="DQ21" s="404"/>
      <c r="DR21" s="404"/>
      <c r="DS21" s="404"/>
      <c r="DT21" s="404"/>
      <c r="DU21" s="404"/>
      <c r="DV21" s="404"/>
      <c r="DW21" s="404"/>
      <c r="DX21" s="404"/>
      <c r="DY21" s="404"/>
      <c r="DZ21" s="404"/>
      <c r="EA21" s="404"/>
      <c r="EB21" s="404"/>
      <c r="EC21" s="404"/>
      <c r="ED21" s="404"/>
      <c r="EE21" s="404"/>
      <c r="EF21" s="404"/>
      <c r="EG21" s="404"/>
      <c r="EH21" s="404"/>
      <c r="EI21" s="404"/>
      <c r="EJ21" s="404"/>
      <c r="EK21" s="404"/>
      <c r="EL21" s="404"/>
      <c r="EM21" s="404"/>
      <c r="EN21" s="404"/>
      <c r="EO21" s="404"/>
      <c r="EP21" s="404"/>
      <c r="EQ21" s="404"/>
      <c r="ER21" s="404"/>
      <c r="ES21" s="404"/>
      <c r="ET21" s="404"/>
      <c r="EU21" s="404"/>
      <c r="EV21" s="404"/>
      <c r="EW21" s="404"/>
      <c r="EX21" s="404"/>
      <c r="EY21" s="404"/>
      <c r="EZ21" s="404"/>
      <c r="FA21" s="404"/>
      <c r="FB21" s="404"/>
      <c r="FC21" s="404"/>
      <c r="FD21" s="404"/>
      <c r="FE21" s="404"/>
      <c r="FF21" s="404"/>
      <c r="FG21" s="404"/>
      <c r="FH21" s="404"/>
      <c r="FI21" s="404"/>
      <c r="FJ21" s="404"/>
      <c r="FK21" s="404"/>
      <c r="FL21" s="404"/>
      <c r="FM21" s="404"/>
      <c r="FN21" s="404"/>
      <c r="FO21" s="404"/>
      <c r="FP21" s="404"/>
      <c r="FQ21" s="404"/>
      <c r="FR21" s="404"/>
      <c r="FS21" s="404"/>
      <c r="FT21" s="404"/>
      <c r="FU21" s="404"/>
      <c r="FV21" s="404"/>
      <c r="FW21" s="404"/>
      <c r="FX21" s="404"/>
      <c r="FY21" s="404"/>
      <c r="FZ21" s="404"/>
      <c r="GA21" s="404"/>
      <c r="GB21" s="404"/>
      <c r="GC21" s="404"/>
      <c r="GD21" s="404"/>
      <c r="GE21" s="404"/>
      <c r="GF21" s="404"/>
      <c r="GG21" s="404"/>
      <c r="GH21" s="404"/>
      <c r="GI21" s="404"/>
      <c r="GJ21" s="404"/>
      <c r="GK21" s="404"/>
      <c r="GL21" s="404"/>
      <c r="GM21" s="404"/>
      <c r="GN21" s="404"/>
      <c r="GO21" s="404"/>
      <c r="GP21" s="404"/>
      <c r="GQ21" s="404"/>
      <c r="GR21" s="404"/>
      <c r="GS21" s="404"/>
      <c r="GT21" s="404"/>
      <c r="GU21" s="404"/>
      <c r="GV21" s="404"/>
      <c r="GW21" s="404"/>
      <c r="GX21" s="404"/>
      <c r="GY21" s="404"/>
      <c r="GZ21" s="404"/>
      <c r="HA21" s="404"/>
      <c r="HB21" s="404"/>
      <c r="HC21" s="404"/>
      <c r="HD21" s="404"/>
      <c r="HE21" s="404"/>
      <c r="HF21" s="404"/>
      <c r="HG21" s="404"/>
      <c r="HH21" s="404"/>
      <c r="HI21" s="404"/>
      <c r="HJ21" s="404"/>
      <c r="HK21" s="404"/>
      <c r="HL21" s="404"/>
      <c r="HM21" s="404"/>
      <c r="HN21" s="404"/>
      <c r="HO21" s="404"/>
      <c r="HP21" s="404"/>
      <c r="HQ21" s="404"/>
      <c r="HR21" s="404"/>
      <c r="HS21" s="404"/>
      <c r="HT21" s="404"/>
      <c r="HU21" s="404"/>
      <c r="HV21" s="404"/>
      <c r="HW21" s="404"/>
      <c r="HX21" s="404"/>
      <c r="HY21" s="404"/>
      <c r="HZ21" s="404"/>
      <c r="IA21" s="404"/>
      <c r="IB21" s="404"/>
      <c r="IC21" s="404"/>
      <c r="ID21" s="404"/>
      <c r="IE21" s="404"/>
      <c r="IF21" s="404"/>
      <c r="IG21" s="404"/>
      <c r="IH21" s="404"/>
      <c r="II21" s="404"/>
      <c r="IJ21" s="404"/>
      <c r="IK21" s="404"/>
      <c r="IL21" s="404"/>
      <c r="IM21" s="404"/>
      <c r="IN21" s="404"/>
      <c r="IO21" s="404"/>
      <c r="IP21" s="404"/>
      <c r="IQ21" s="404"/>
      <c r="IR21" s="404"/>
      <c r="IS21" s="404"/>
      <c r="IT21" s="404"/>
      <c r="IU21" s="404"/>
      <c r="IV21" s="404"/>
    </row>
    <row r="22" spans="1:256" x14ac:dyDescent="0.35">
      <c r="A22" s="735">
        <v>13</v>
      </c>
      <c r="B22" s="931"/>
      <c r="C22" s="932"/>
      <c r="D22" s="641" t="s">
        <v>927</v>
      </c>
      <c r="E22" s="416"/>
      <c r="F22" s="725"/>
      <c r="G22" s="417"/>
      <c r="H22" s="947"/>
      <c r="I22" s="964"/>
      <c r="J22" s="960"/>
      <c r="K22" s="722">
        <f>SUM(K20:K21)</f>
        <v>482</v>
      </c>
      <c r="L22" s="722"/>
      <c r="M22" s="722">
        <f t="shared" ref="M22" si="4">SUM(M20:M21)</f>
        <v>14200</v>
      </c>
      <c r="N22" s="960"/>
      <c r="O22" s="730">
        <f t="shared" si="3"/>
        <v>14682</v>
      </c>
      <c r="P22" s="726"/>
    </row>
    <row r="23" spans="1:256" ht="50.25" x14ac:dyDescent="0.35">
      <c r="A23" s="735">
        <v>14</v>
      </c>
      <c r="B23" s="729"/>
      <c r="C23" s="406">
        <v>4</v>
      </c>
      <c r="D23" s="967" t="s">
        <v>526</v>
      </c>
      <c r="E23" s="416"/>
      <c r="F23" s="725"/>
      <c r="G23" s="417"/>
      <c r="H23" s="946" t="s">
        <v>24</v>
      </c>
      <c r="I23" s="964"/>
      <c r="J23" s="960"/>
      <c r="K23" s="960"/>
      <c r="L23" s="960"/>
      <c r="M23" s="960"/>
      <c r="N23" s="960"/>
      <c r="O23" s="730"/>
      <c r="P23" s="726"/>
    </row>
    <row r="24" spans="1:256" s="721" customFormat="1" x14ac:dyDescent="0.35">
      <c r="A24" s="735">
        <v>15</v>
      </c>
      <c r="B24" s="931"/>
      <c r="C24" s="932"/>
      <c r="D24" s="1735" t="s">
        <v>292</v>
      </c>
      <c r="E24" s="416">
        <f>F24+G24+O26+P24</f>
        <v>1658925</v>
      </c>
      <c r="F24" s="725">
        <f>7043+16169</f>
        <v>23212</v>
      </c>
      <c r="G24" s="417">
        <v>7859</v>
      </c>
      <c r="H24" s="947"/>
      <c r="I24" s="964"/>
      <c r="J24" s="960"/>
      <c r="K24" s="960">
        <v>18280</v>
      </c>
      <c r="L24" s="960"/>
      <c r="M24" s="960">
        <v>1609574</v>
      </c>
      <c r="N24" s="960"/>
      <c r="O24" s="930">
        <f>SUM(I24:N24)</f>
        <v>1627854</v>
      </c>
      <c r="P24" s="726"/>
      <c r="Q24" s="404"/>
      <c r="R24" s="404"/>
      <c r="S24" s="404"/>
      <c r="T24" s="404"/>
      <c r="U24" s="404"/>
      <c r="V24" s="404"/>
      <c r="W24" s="404"/>
      <c r="X24" s="404"/>
      <c r="Y24" s="404"/>
      <c r="Z24" s="404"/>
      <c r="AA24" s="404"/>
      <c r="AB24" s="404"/>
      <c r="AC24" s="404"/>
      <c r="AD24" s="404"/>
      <c r="AE24" s="404"/>
      <c r="AF24" s="404"/>
      <c r="AG24" s="404"/>
      <c r="AH24" s="404"/>
      <c r="AI24" s="404"/>
      <c r="AJ24" s="404"/>
      <c r="AK24" s="404"/>
      <c r="AL24" s="404"/>
      <c r="AM24" s="404"/>
      <c r="AN24" s="404"/>
      <c r="AO24" s="404"/>
      <c r="AP24" s="404"/>
      <c r="AQ24" s="404"/>
      <c r="AR24" s="404"/>
      <c r="AS24" s="404"/>
      <c r="AT24" s="404"/>
      <c r="AU24" s="404"/>
      <c r="AV24" s="404"/>
      <c r="AW24" s="404"/>
      <c r="AX24" s="404"/>
      <c r="AY24" s="404"/>
      <c r="AZ24" s="404"/>
      <c r="BA24" s="404"/>
      <c r="BB24" s="404"/>
      <c r="BC24" s="404"/>
      <c r="BD24" s="404"/>
      <c r="BE24" s="404"/>
      <c r="BF24" s="404"/>
      <c r="BG24" s="404"/>
      <c r="BH24" s="404"/>
      <c r="BI24" s="404"/>
      <c r="BJ24" s="404"/>
      <c r="BK24" s="404"/>
      <c r="BL24" s="404"/>
      <c r="BM24" s="404"/>
      <c r="BN24" s="404"/>
      <c r="BO24" s="404"/>
      <c r="BP24" s="404"/>
      <c r="BQ24" s="404"/>
      <c r="BR24" s="404"/>
      <c r="BS24" s="404"/>
      <c r="BT24" s="404"/>
      <c r="BU24" s="404"/>
      <c r="BV24" s="404"/>
      <c r="BW24" s="404"/>
      <c r="BX24" s="404"/>
      <c r="BY24" s="404"/>
      <c r="BZ24" s="404"/>
      <c r="CA24" s="404"/>
      <c r="CB24" s="404"/>
      <c r="CC24" s="404"/>
      <c r="CD24" s="404"/>
      <c r="CE24" s="404"/>
      <c r="CF24" s="404"/>
      <c r="CG24" s="404"/>
      <c r="CH24" s="404"/>
      <c r="CI24" s="404"/>
      <c r="CJ24" s="404"/>
      <c r="CK24" s="404"/>
      <c r="CL24" s="404"/>
      <c r="CM24" s="404"/>
      <c r="CN24" s="404"/>
      <c r="CO24" s="404"/>
      <c r="CP24" s="404"/>
      <c r="CQ24" s="404"/>
      <c r="CR24" s="404"/>
      <c r="CS24" s="404"/>
      <c r="CT24" s="404"/>
      <c r="CU24" s="404"/>
      <c r="CV24" s="404"/>
      <c r="CW24" s="404"/>
      <c r="CX24" s="404"/>
      <c r="CY24" s="404"/>
      <c r="CZ24" s="404"/>
      <c r="DA24" s="404"/>
      <c r="DB24" s="404"/>
      <c r="DC24" s="404"/>
      <c r="DD24" s="404"/>
      <c r="DE24" s="404"/>
      <c r="DF24" s="404"/>
      <c r="DG24" s="404"/>
      <c r="DH24" s="404"/>
      <c r="DI24" s="404"/>
      <c r="DJ24" s="404"/>
      <c r="DK24" s="404"/>
      <c r="DL24" s="404"/>
      <c r="DM24" s="404"/>
      <c r="DN24" s="404"/>
      <c r="DO24" s="404"/>
      <c r="DP24" s="404"/>
      <c r="DQ24" s="404"/>
      <c r="DR24" s="404"/>
      <c r="DS24" s="404"/>
      <c r="DT24" s="404"/>
      <c r="DU24" s="404"/>
      <c r="DV24" s="404"/>
      <c r="DW24" s="404"/>
      <c r="DX24" s="404"/>
      <c r="DY24" s="404"/>
      <c r="DZ24" s="404"/>
      <c r="EA24" s="404"/>
      <c r="EB24" s="404"/>
      <c r="EC24" s="404"/>
      <c r="ED24" s="404"/>
      <c r="EE24" s="404"/>
      <c r="EF24" s="404"/>
      <c r="EG24" s="404"/>
      <c r="EH24" s="404"/>
      <c r="EI24" s="404"/>
      <c r="EJ24" s="404"/>
      <c r="EK24" s="404"/>
      <c r="EL24" s="404"/>
      <c r="EM24" s="404"/>
      <c r="EN24" s="404"/>
      <c r="EO24" s="404"/>
      <c r="EP24" s="404"/>
      <c r="EQ24" s="404"/>
      <c r="ER24" s="404"/>
      <c r="ES24" s="404"/>
      <c r="ET24" s="404"/>
      <c r="EU24" s="404"/>
      <c r="EV24" s="404"/>
      <c r="EW24" s="404"/>
      <c r="EX24" s="404"/>
      <c r="EY24" s="404"/>
      <c r="EZ24" s="404"/>
      <c r="FA24" s="404"/>
      <c r="FB24" s="404"/>
      <c r="FC24" s="404"/>
      <c r="FD24" s="404"/>
      <c r="FE24" s="404"/>
      <c r="FF24" s="404"/>
      <c r="FG24" s="404"/>
      <c r="FH24" s="404"/>
      <c r="FI24" s="404"/>
      <c r="FJ24" s="404"/>
      <c r="FK24" s="404"/>
      <c r="FL24" s="404"/>
      <c r="FM24" s="404"/>
      <c r="FN24" s="404"/>
      <c r="FO24" s="404"/>
      <c r="FP24" s="404"/>
      <c r="FQ24" s="404"/>
      <c r="FR24" s="404"/>
      <c r="FS24" s="404"/>
      <c r="FT24" s="404"/>
      <c r="FU24" s="404"/>
      <c r="FV24" s="404"/>
      <c r="FW24" s="404"/>
      <c r="FX24" s="404"/>
      <c r="FY24" s="404"/>
      <c r="FZ24" s="404"/>
      <c r="GA24" s="404"/>
      <c r="GB24" s="404"/>
      <c r="GC24" s="404"/>
      <c r="GD24" s="404"/>
      <c r="GE24" s="404"/>
      <c r="GF24" s="404"/>
      <c r="GG24" s="404"/>
      <c r="GH24" s="404"/>
      <c r="GI24" s="404"/>
      <c r="GJ24" s="404"/>
      <c r="GK24" s="404"/>
      <c r="GL24" s="404"/>
      <c r="GM24" s="404"/>
      <c r="GN24" s="404"/>
      <c r="GO24" s="404"/>
      <c r="GP24" s="404"/>
      <c r="GQ24" s="404"/>
      <c r="GR24" s="404"/>
      <c r="GS24" s="404"/>
      <c r="GT24" s="404"/>
      <c r="GU24" s="404"/>
      <c r="GV24" s="404"/>
      <c r="GW24" s="404"/>
      <c r="GX24" s="404"/>
      <c r="GY24" s="404"/>
      <c r="GZ24" s="404"/>
      <c r="HA24" s="404"/>
      <c r="HB24" s="404"/>
      <c r="HC24" s="404"/>
      <c r="HD24" s="404"/>
      <c r="HE24" s="404"/>
      <c r="HF24" s="404"/>
      <c r="HG24" s="404"/>
      <c r="HH24" s="404"/>
      <c r="HI24" s="404"/>
      <c r="HJ24" s="404"/>
      <c r="HK24" s="404"/>
      <c r="HL24" s="404"/>
      <c r="HM24" s="404"/>
      <c r="HN24" s="404"/>
      <c r="HO24" s="404"/>
      <c r="HP24" s="404"/>
      <c r="HQ24" s="404"/>
      <c r="HR24" s="404"/>
      <c r="HS24" s="404"/>
      <c r="HT24" s="404"/>
      <c r="HU24" s="404"/>
      <c r="HV24" s="404"/>
      <c r="HW24" s="404"/>
      <c r="HX24" s="404"/>
      <c r="HY24" s="404"/>
      <c r="HZ24" s="404"/>
      <c r="IA24" s="404"/>
      <c r="IB24" s="404"/>
      <c r="IC24" s="404"/>
      <c r="ID24" s="404"/>
      <c r="IE24" s="404"/>
      <c r="IF24" s="404"/>
      <c r="IG24" s="404"/>
      <c r="IH24" s="404"/>
      <c r="II24" s="404"/>
      <c r="IJ24" s="404"/>
      <c r="IK24" s="404"/>
      <c r="IL24" s="404"/>
      <c r="IM24" s="404"/>
      <c r="IN24" s="404"/>
      <c r="IO24" s="404"/>
      <c r="IP24" s="404"/>
      <c r="IQ24" s="404"/>
      <c r="IR24" s="404"/>
      <c r="IS24" s="404"/>
      <c r="IT24" s="404"/>
      <c r="IU24" s="404"/>
      <c r="IV24" s="404"/>
    </row>
    <row r="25" spans="1:256" x14ac:dyDescent="0.35">
      <c r="A25" s="735">
        <v>16</v>
      </c>
      <c r="B25" s="931"/>
      <c r="C25" s="932"/>
      <c r="D25" s="1499" t="s">
        <v>949</v>
      </c>
      <c r="E25" s="416"/>
      <c r="F25" s="725"/>
      <c r="G25" s="417"/>
      <c r="H25" s="947"/>
      <c r="I25" s="964"/>
      <c r="J25" s="960"/>
      <c r="K25" s="1731">
        <v>-7515</v>
      </c>
      <c r="L25" s="1731"/>
      <c r="M25" s="1731">
        <v>7515</v>
      </c>
      <c r="N25" s="960"/>
      <c r="O25" s="1740">
        <f t="shared" ref="O25:O26" si="5">SUM(I25:N25)</f>
        <v>0</v>
      </c>
      <c r="P25" s="726"/>
    </row>
    <row r="26" spans="1:256" s="721" customFormat="1" x14ac:dyDescent="0.35">
      <c r="A26" s="735">
        <v>17</v>
      </c>
      <c r="B26" s="931"/>
      <c r="C26" s="932"/>
      <c r="D26" s="641" t="s">
        <v>927</v>
      </c>
      <c r="E26" s="416"/>
      <c r="F26" s="725"/>
      <c r="G26" s="417"/>
      <c r="H26" s="947"/>
      <c r="I26" s="964"/>
      <c r="J26" s="960"/>
      <c r="K26" s="722">
        <f>SUM(K24:K25)</f>
        <v>10765</v>
      </c>
      <c r="L26" s="722"/>
      <c r="M26" s="722">
        <f t="shared" ref="M26" si="6">SUM(M24:M25)</f>
        <v>1617089</v>
      </c>
      <c r="N26" s="960"/>
      <c r="O26" s="730">
        <f t="shared" si="5"/>
        <v>1627854</v>
      </c>
      <c r="P26" s="726"/>
      <c r="Q26" s="404"/>
      <c r="R26" s="404"/>
      <c r="S26" s="404"/>
      <c r="T26" s="404"/>
      <c r="U26" s="404"/>
      <c r="V26" s="404"/>
      <c r="W26" s="404"/>
      <c r="X26" s="404"/>
      <c r="Y26" s="404"/>
      <c r="Z26" s="404"/>
      <c r="AA26" s="404"/>
      <c r="AB26" s="404"/>
      <c r="AC26" s="404"/>
      <c r="AD26" s="404"/>
      <c r="AE26" s="404"/>
      <c r="AF26" s="404"/>
      <c r="AG26" s="404"/>
      <c r="AH26" s="404"/>
      <c r="AI26" s="404"/>
      <c r="AJ26" s="404"/>
      <c r="AK26" s="404"/>
      <c r="AL26" s="404"/>
      <c r="AM26" s="404"/>
      <c r="AN26" s="404"/>
      <c r="AO26" s="404"/>
      <c r="AP26" s="404"/>
      <c r="AQ26" s="404"/>
      <c r="AR26" s="404"/>
      <c r="AS26" s="404"/>
      <c r="AT26" s="404"/>
      <c r="AU26" s="404"/>
      <c r="AV26" s="404"/>
      <c r="AW26" s="404"/>
      <c r="AX26" s="404"/>
      <c r="AY26" s="404"/>
      <c r="AZ26" s="404"/>
      <c r="BA26" s="404"/>
      <c r="BB26" s="404"/>
      <c r="BC26" s="404"/>
      <c r="BD26" s="404"/>
      <c r="BE26" s="404"/>
      <c r="BF26" s="404"/>
      <c r="BG26" s="404"/>
      <c r="BH26" s="404"/>
      <c r="BI26" s="404"/>
      <c r="BJ26" s="404"/>
      <c r="BK26" s="404"/>
      <c r="BL26" s="404"/>
      <c r="BM26" s="404"/>
      <c r="BN26" s="404"/>
      <c r="BO26" s="404"/>
      <c r="BP26" s="404"/>
      <c r="BQ26" s="404"/>
      <c r="BR26" s="404"/>
      <c r="BS26" s="404"/>
      <c r="BT26" s="404"/>
      <c r="BU26" s="404"/>
      <c r="BV26" s="404"/>
      <c r="BW26" s="404"/>
      <c r="BX26" s="404"/>
      <c r="BY26" s="404"/>
      <c r="BZ26" s="404"/>
      <c r="CA26" s="404"/>
      <c r="CB26" s="404"/>
      <c r="CC26" s="404"/>
      <c r="CD26" s="404"/>
      <c r="CE26" s="404"/>
      <c r="CF26" s="404"/>
      <c r="CG26" s="404"/>
      <c r="CH26" s="404"/>
      <c r="CI26" s="404"/>
      <c r="CJ26" s="404"/>
      <c r="CK26" s="404"/>
      <c r="CL26" s="404"/>
      <c r="CM26" s="404"/>
      <c r="CN26" s="404"/>
      <c r="CO26" s="404"/>
      <c r="CP26" s="404"/>
      <c r="CQ26" s="404"/>
      <c r="CR26" s="404"/>
      <c r="CS26" s="404"/>
      <c r="CT26" s="404"/>
      <c r="CU26" s="404"/>
      <c r="CV26" s="404"/>
      <c r="CW26" s="404"/>
      <c r="CX26" s="404"/>
      <c r="CY26" s="404"/>
      <c r="CZ26" s="404"/>
      <c r="DA26" s="404"/>
      <c r="DB26" s="404"/>
      <c r="DC26" s="404"/>
      <c r="DD26" s="404"/>
      <c r="DE26" s="404"/>
      <c r="DF26" s="404"/>
      <c r="DG26" s="404"/>
      <c r="DH26" s="404"/>
      <c r="DI26" s="404"/>
      <c r="DJ26" s="404"/>
      <c r="DK26" s="404"/>
      <c r="DL26" s="404"/>
      <c r="DM26" s="404"/>
      <c r="DN26" s="404"/>
      <c r="DO26" s="404"/>
      <c r="DP26" s="404"/>
      <c r="DQ26" s="404"/>
      <c r="DR26" s="404"/>
      <c r="DS26" s="404"/>
      <c r="DT26" s="404"/>
      <c r="DU26" s="404"/>
      <c r="DV26" s="404"/>
      <c r="DW26" s="404"/>
      <c r="DX26" s="404"/>
      <c r="DY26" s="404"/>
      <c r="DZ26" s="404"/>
      <c r="EA26" s="404"/>
      <c r="EB26" s="404"/>
      <c r="EC26" s="404"/>
      <c r="ED26" s="404"/>
      <c r="EE26" s="404"/>
      <c r="EF26" s="404"/>
      <c r="EG26" s="404"/>
      <c r="EH26" s="404"/>
      <c r="EI26" s="404"/>
      <c r="EJ26" s="404"/>
      <c r="EK26" s="404"/>
      <c r="EL26" s="404"/>
      <c r="EM26" s="404"/>
      <c r="EN26" s="404"/>
      <c r="EO26" s="404"/>
      <c r="EP26" s="404"/>
      <c r="EQ26" s="404"/>
      <c r="ER26" s="404"/>
      <c r="ES26" s="404"/>
      <c r="ET26" s="404"/>
      <c r="EU26" s="404"/>
      <c r="EV26" s="404"/>
      <c r="EW26" s="404"/>
      <c r="EX26" s="404"/>
      <c r="EY26" s="404"/>
      <c r="EZ26" s="404"/>
      <c r="FA26" s="404"/>
      <c r="FB26" s="404"/>
      <c r="FC26" s="404"/>
      <c r="FD26" s="404"/>
      <c r="FE26" s="404"/>
      <c r="FF26" s="404"/>
      <c r="FG26" s="404"/>
      <c r="FH26" s="404"/>
      <c r="FI26" s="404"/>
      <c r="FJ26" s="404"/>
      <c r="FK26" s="404"/>
      <c r="FL26" s="404"/>
      <c r="FM26" s="404"/>
      <c r="FN26" s="404"/>
      <c r="FO26" s="404"/>
      <c r="FP26" s="404"/>
      <c r="FQ26" s="404"/>
      <c r="FR26" s="404"/>
      <c r="FS26" s="404"/>
      <c r="FT26" s="404"/>
      <c r="FU26" s="404"/>
      <c r="FV26" s="404"/>
      <c r="FW26" s="404"/>
      <c r="FX26" s="404"/>
      <c r="FY26" s="404"/>
      <c r="FZ26" s="404"/>
      <c r="GA26" s="404"/>
      <c r="GB26" s="404"/>
      <c r="GC26" s="404"/>
      <c r="GD26" s="404"/>
      <c r="GE26" s="404"/>
      <c r="GF26" s="404"/>
      <c r="GG26" s="404"/>
      <c r="GH26" s="404"/>
      <c r="GI26" s="404"/>
      <c r="GJ26" s="404"/>
      <c r="GK26" s="404"/>
      <c r="GL26" s="404"/>
      <c r="GM26" s="404"/>
      <c r="GN26" s="404"/>
      <c r="GO26" s="404"/>
      <c r="GP26" s="404"/>
      <c r="GQ26" s="404"/>
      <c r="GR26" s="404"/>
      <c r="GS26" s="404"/>
      <c r="GT26" s="404"/>
      <c r="GU26" s="404"/>
      <c r="GV26" s="404"/>
      <c r="GW26" s="404"/>
      <c r="GX26" s="404"/>
      <c r="GY26" s="404"/>
      <c r="GZ26" s="404"/>
      <c r="HA26" s="404"/>
      <c r="HB26" s="404"/>
      <c r="HC26" s="404"/>
      <c r="HD26" s="404"/>
      <c r="HE26" s="404"/>
      <c r="HF26" s="404"/>
      <c r="HG26" s="404"/>
      <c r="HH26" s="404"/>
      <c r="HI26" s="404"/>
      <c r="HJ26" s="404"/>
      <c r="HK26" s="404"/>
      <c r="HL26" s="404"/>
      <c r="HM26" s="404"/>
      <c r="HN26" s="404"/>
      <c r="HO26" s="404"/>
      <c r="HP26" s="404"/>
      <c r="HQ26" s="404"/>
      <c r="HR26" s="404"/>
      <c r="HS26" s="404"/>
      <c r="HT26" s="404"/>
      <c r="HU26" s="404"/>
      <c r="HV26" s="404"/>
      <c r="HW26" s="404"/>
      <c r="HX26" s="404"/>
      <c r="HY26" s="404"/>
      <c r="HZ26" s="404"/>
      <c r="IA26" s="404"/>
      <c r="IB26" s="404"/>
      <c r="IC26" s="404"/>
      <c r="ID26" s="404"/>
      <c r="IE26" s="404"/>
      <c r="IF26" s="404"/>
      <c r="IG26" s="404"/>
      <c r="IH26" s="404"/>
      <c r="II26" s="404"/>
      <c r="IJ26" s="404"/>
      <c r="IK26" s="404"/>
      <c r="IL26" s="404"/>
      <c r="IM26" s="404"/>
      <c r="IN26" s="404"/>
      <c r="IO26" s="404"/>
      <c r="IP26" s="404"/>
      <c r="IQ26" s="404"/>
      <c r="IR26" s="404"/>
      <c r="IS26" s="404"/>
      <c r="IT26" s="404"/>
      <c r="IU26" s="404"/>
      <c r="IV26" s="404"/>
    </row>
    <row r="27" spans="1:256" x14ac:dyDescent="0.35">
      <c r="A27" s="735">
        <v>18</v>
      </c>
      <c r="B27" s="729"/>
      <c r="C27" s="447">
        <v>5</v>
      </c>
      <c r="D27" s="724" t="s">
        <v>527</v>
      </c>
      <c r="E27" s="416"/>
      <c r="F27" s="416"/>
      <c r="G27" s="417"/>
      <c r="H27" s="946" t="s">
        <v>24</v>
      </c>
      <c r="I27" s="965"/>
      <c r="J27" s="959"/>
      <c r="K27" s="959"/>
      <c r="L27" s="959"/>
      <c r="M27" s="959"/>
      <c r="N27" s="959"/>
      <c r="O27" s="734"/>
      <c r="P27" s="726"/>
    </row>
    <row r="28" spans="1:256" s="721" customFormat="1" x14ac:dyDescent="0.35">
      <c r="A28" s="735">
        <v>19</v>
      </c>
      <c r="B28" s="602"/>
      <c r="C28" s="447"/>
      <c r="D28" s="1735" t="s">
        <v>292</v>
      </c>
      <c r="E28" s="416">
        <f>F28+G28+O30+P28</f>
        <v>76282</v>
      </c>
      <c r="F28" s="416">
        <v>10737</v>
      </c>
      <c r="G28" s="417">
        <v>25052</v>
      </c>
      <c r="H28" s="946"/>
      <c r="I28" s="965"/>
      <c r="J28" s="959"/>
      <c r="K28" s="959"/>
      <c r="L28" s="959"/>
      <c r="M28" s="959"/>
      <c r="N28" s="959">
        <v>40493</v>
      </c>
      <c r="O28" s="930">
        <f>SUM(I28:N28)</f>
        <v>40493</v>
      </c>
      <c r="P28" s="726"/>
      <c r="Q28" s="404"/>
      <c r="R28" s="404"/>
      <c r="S28" s="404"/>
      <c r="T28" s="404"/>
      <c r="U28" s="404"/>
      <c r="V28" s="404"/>
      <c r="W28" s="404"/>
      <c r="X28" s="404"/>
      <c r="Y28" s="404"/>
      <c r="Z28" s="404"/>
      <c r="AA28" s="404"/>
      <c r="AB28" s="404"/>
      <c r="AC28" s="404"/>
      <c r="AD28" s="404"/>
      <c r="AE28" s="404"/>
      <c r="AF28" s="404"/>
      <c r="AG28" s="404"/>
      <c r="AH28" s="404"/>
      <c r="AI28" s="404"/>
      <c r="AJ28" s="404"/>
      <c r="AK28" s="404"/>
      <c r="AL28" s="404"/>
      <c r="AM28" s="404"/>
      <c r="AN28" s="404"/>
      <c r="AO28" s="404"/>
      <c r="AP28" s="404"/>
      <c r="AQ28" s="404"/>
      <c r="AR28" s="404"/>
      <c r="AS28" s="404"/>
      <c r="AT28" s="404"/>
      <c r="AU28" s="404"/>
      <c r="AV28" s="404"/>
      <c r="AW28" s="404"/>
      <c r="AX28" s="404"/>
      <c r="AY28" s="404"/>
      <c r="AZ28" s="404"/>
      <c r="BA28" s="404"/>
      <c r="BB28" s="404"/>
      <c r="BC28" s="404"/>
      <c r="BD28" s="404"/>
      <c r="BE28" s="404"/>
      <c r="BF28" s="404"/>
      <c r="BG28" s="404"/>
      <c r="BH28" s="404"/>
      <c r="BI28" s="404"/>
      <c r="BJ28" s="404"/>
      <c r="BK28" s="404"/>
      <c r="BL28" s="404"/>
      <c r="BM28" s="404"/>
      <c r="BN28" s="404"/>
      <c r="BO28" s="404"/>
      <c r="BP28" s="404"/>
      <c r="BQ28" s="404"/>
      <c r="BR28" s="404"/>
      <c r="BS28" s="404"/>
      <c r="BT28" s="404"/>
      <c r="BU28" s="404"/>
      <c r="BV28" s="404"/>
      <c r="BW28" s="404"/>
      <c r="BX28" s="404"/>
      <c r="BY28" s="404"/>
      <c r="BZ28" s="404"/>
      <c r="CA28" s="404"/>
      <c r="CB28" s="404"/>
      <c r="CC28" s="404"/>
      <c r="CD28" s="404"/>
      <c r="CE28" s="404"/>
      <c r="CF28" s="404"/>
      <c r="CG28" s="404"/>
      <c r="CH28" s="404"/>
      <c r="CI28" s="404"/>
      <c r="CJ28" s="404"/>
      <c r="CK28" s="404"/>
      <c r="CL28" s="404"/>
      <c r="CM28" s="404"/>
      <c r="CN28" s="404"/>
      <c r="CO28" s="404"/>
      <c r="CP28" s="404"/>
      <c r="CQ28" s="404"/>
      <c r="CR28" s="404"/>
      <c r="CS28" s="404"/>
      <c r="CT28" s="404"/>
      <c r="CU28" s="404"/>
      <c r="CV28" s="404"/>
      <c r="CW28" s="404"/>
      <c r="CX28" s="404"/>
      <c r="CY28" s="404"/>
      <c r="CZ28" s="404"/>
      <c r="DA28" s="404"/>
      <c r="DB28" s="404"/>
      <c r="DC28" s="404"/>
      <c r="DD28" s="404"/>
      <c r="DE28" s="404"/>
      <c r="DF28" s="404"/>
      <c r="DG28" s="404"/>
      <c r="DH28" s="404"/>
      <c r="DI28" s="404"/>
      <c r="DJ28" s="404"/>
      <c r="DK28" s="404"/>
      <c r="DL28" s="404"/>
      <c r="DM28" s="404"/>
      <c r="DN28" s="404"/>
      <c r="DO28" s="404"/>
      <c r="DP28" s="404"/>
      <c r="DQ28" s="404"/>
      <c r="DR28" s="404"/>
      <c r="DS28" s="404"/>
      <c r="DT28" s="404"/>
      <c r="DU28" s="404"/>
      <c r="DV28" s="404"/>
      <c r="DW28" s="404"/>
      <c r="DX28" s="404"/>
      <c r="DY28" s="404"/>
      <c r="DZ28" s="404"/>
      <c r="EA28" s="404"/>
      <c r="EB28" s="404"/>
      <c r="EC28" s="404"/>
      <c r="ED28" s="404"/>
      <c r="EE28" s="404"/>
      <c r="EF28" s="404"/>
      <c r="EG28" s="404"/>
      <c r="EH28" s="404"/>
      <c r="EI28" s="404"/>
      <c r="EJ28" s="404"/>
      <c r="EK28" s="404"/>
      <c r="EL28" s="404"/>
      <c r="EM28" s="404"/>
      <c r="EN28" s="404"/>
      <c r="EO28" s="404"/>
      <c r="EP28" s="404"/>
      <c r="EQ28" s="404"/>
      <c r="ER28" s="404"/>
      <c r="ES28" s="404"/>
      <c r="ET28" s="404"/>
      <c r="EU28" s="404"/>
      <c r="EV28" s="404"/>
      <c r="EW28" s="404"/>
      <c r="EX28" s="404"/>
      <c r="EY28" s="404"/>
      <c r="EZ28" s="404"/>
      <c r="FA28" s="404"/>
      <c r="FB28" s="404"/>
      <c r="FC28" s="404"/>
      <c r="FD28" s="404"/>
      <c r="FE28" s="404"/>
      <c r="FF28" s="404"/>
      <c r="FG28" s="404"/>
      <c r="FH28" s="404"/>
      <c r="FI28" s="404"/>
      <c r="FJ28" s="404"/>
      <c r="FK28" s="404"/>
      <c r="FL28" s="404"/>
      <c r="FM28" s="404"/>
      <c r="FN28" s="404"/>
      <c r="FO28" s="404"/>
      <c r="FP28" s="404"/>
      <c r="FQ28" s="404"/>
      <c r="FR28" s="404"/>
      <c r="FS28" s="404"/>
      <c r="FT28" s="404"/>
      <c r="FU28" s="404"/>
      <c r="FV28" s="404"/>
      <c r="FW28" s="404"/>
      <c r="FX28" s="404"/>
      <c r="FY28" s="404"/>
      <c r="FZ28" s="404"/>
      <c r="GA28" s="404"/>
      <c r="GB28" s="404"/>
      <c r="GC28" s="404"/>
      <c r="GD28" s="404"/>
      <c r="GE28" s="404"/>
      <c r="GF28" s="404"/>
      <c r="GG28" s="404"/>
      <c r="GH28" s="404"/>
      <c r="GI28" s="404"/>
      <c r="GJ28" s="404"/>
      <c r="GK28" s="404"/>
      <c r="GL28" s="404"/>
      <c r="GM28" s="404"/>
      <c r="GN28" s="404"/>
      <c r="GO28" s="404"/>
      <c r="GP28" s="404"/>
      <c r="GQ28" s="404"/>
      <c r="GR28" s="404"/>
      <c r="GS28" s="404"/>
      <c r="GT28" s="404"/>
      <c r="GU28" s="404"/>
      <c r="GV28" s="404"/>
      <c r="GW28" s="404"/>
      <c r="GX28" s="404"/>
      <c r="GY28" s="404"/>
      <c r="GZ28" s="404"/>
      <c r="HA28" s="404"/>
      <c r="HB28" s="404"/>
      <c r="HC28" s="404"/>
      <c r="HD28" s="404"/>
      <c r="HE28" s="404"/>
      <c r="HF28" s="404"/>
      <c r="HG28" s="404"/>
      <c r="HH28" s="404"/>
      <c r="HI28" s="404"/>
      <c r="HJ28" s="404"/>
      <c r="HK28" s="404"/>
      <c r="HL28" s="404"/>
      <c r="HM28" s="404"/>
      <c r="HN28" s="404"/>
      <c r="HO28" s="404"/>
      <c r="HP28" s="404"/>
      <c r="HQ28" s="404"/>
      <c r="HR28" s="404"/>
      <c r="HS28" s="404"/>
      <c r="HT28" s="404"/>
      <c r="HU28" s="404"/>
      <c r="HV28" s="404"/>
      <c r="HW28" s="404"/>
      <c r="HX28" s="404"/>
      <c r="HY28" s="404"/>
      <c r="HZ28" s="404"/>
      <c r="IA28" s="404"/>
      <c r="IB28" s="404"/>
      <c r="IC28" s="404"/>
      <c r="ID28" s="404"/>
      <c r="IE28" s="404"/>
      <c r="IF28" s="404"/>
      <c r="IG28" s="404"/>
      <c r="IH28" s="404"/>
      <c r="II28" s="404"/>
      <c r="IJ28" s="404"/>
      <c r="IK28" s="404"/>
      <c r="IL28" s="404"/>
      <c r="IM28" s="404"/>
      <c r="IN28" s="404"/>
      <c r="IO28" s="404"/>
      <c r="IP28" s="404"/>
      <c r="IQ28" s="404"/>
      <c r="IR28" s="404"/>
      <c r="IS28" s="404"/>
      <c r="IT28" s="404"/>
      <c r="IU28" s="404"/>
      <c r="IV28" s="404"/>
    </row>
    <row r="29" spans="1:256" s="721" customFormat="1" x14ac:dyDescent="0.35">
      <c r="A29" s="735">
        <v>20</v>
      </c>
      <c r="B29" s="602"/>
      <c r="C29" s="447"/>
      <c r="D29" s="1499" t="s">
        <v>929</v>
      </c>
      <c r="E29" s="416"/>
      <c r="F29" s="416"/>
      <c r="G29" s="417"/>
      <c r="H29" s="946"/>
      <c r="I29" s="965"/>
      <c r="J29" s="959"/>
      <c r="K29" s="959"/>
      <c r="L29" s="959"/>
      <c r="M29" s="959"/>
      <c r="N29" s="959"/>
      <c r="O29" s="1740">
        <f t="shared" ref="O29:O30" si="7">SUM(I29:N29)</f>
        <v>0</v>
      </c>
      <c r="P29" s="726"/>
      <c r="Q29" s="404"/>
      <c r="R29" s="404"/>
      <c r="S29" s="404"/>
      <c r="T29" s="404"/>
      <c r="U29" s="404"/>
      <c r="V29" s="404"/>
      <c r="W29" s="404"/>
      <c r="X29" s="404"/>
      <c r="Y29" s="404"/>
      <c r="Z29" s="404"/>
      <c r="AA29" s="404"/>
      <c r="AB29" s="404"/>
      <c r="AC29" s="404"/>
      <c r="AD29" s="404"/>
      <c r="AE29" s="404"/>
      <c r="AF29" s="404"/>
      <c r="AG29" s="404"/>
      <c r="AH29" s="404"/>
      <c r="AI29" s="404"/>
      <c r="AJ29" s="404"/>
      <c r="AK29" s="404"/>
      <c r="AL29" s="404"/>
      <c r="AM29" s="404"/>
      <c r="AN29" s="404"/>
      <c r="AO29" s="404"/>
      <c r="AP29" s="404"/>
      <c r="AQ29" s="404"/>
      <c r="AR29" s="404"/>
      <c r="AS29" s="404"/>
      <c r="AT29" s="404"/>
      <c r="AU29" s="404"/>
      <c r="AV29" s="404"/>
      <c r="AW29" s="404"/>
      <c r="AX29" s="404"/>
      <c r="AY29" s="404"/>
      <c r="AZ29" s="404"/>
      <c r="BA29" s="404"/>
      <c r="BB29" s="404"/>
      <c r="BC29" s="404"/>
      <c r="BD29" s="404"/>
      <c r="BE29" s="404"/>
      <c r="BF29" s="404"/>
      <c r="BG29" s="404"/>
      <c r="BH29" s="404"/>
      <c r="BI29" s="404"/>
      <c r="BJ29" s="404"/>
      <c r="BK29" s="404"/>
      <c r="BL29" s="404"/>
      <c r="BM29" s="404"/>
      <c r="BN29" s="404"/>
      <c r="BO29" s="404"/>
      <c r="BP29" s="404"/>
      <c r="BQ29" s="404"/>
      <c r="BR29" s="404"/>
      <c r="BS29" s="404"/>
      <c r="BT29" s="404"/>
      <c r="BU29" s="404"/>
      <c r="BV29" s="404"/>
      <c r="BW29" s="404"/>
      <c r="BX29" s="404"/>
      <c r="BY29" s="404"/>
      <c r="BZ29" s="404"/>
      <c r="CA29" s="404"/>
      <c r="CB29" s="404"/>
      <c r="CC29" s="404"/>
      <c r="CD29" s="404"/>
      <c r="CE29" s="404"/>
      <c r="CF29" s="404"/>
      <c r="CG29" s="404"/>
      <c r="CH29" s="404"/>
      <c r="CI29" s="404"/>
      <c r="CJ29" s="404"/>
      <c r="CK29" s="404"/>
      <c r="CL29" s="404"/>
      <c r="CM29" s="404"/>
      <c r="CN29" s="404"/>
      <c r="CO29" s="404"/>
      <c r="CP29" s="404"/>
      <c r="CQ29" s="404"/>
      <c r="CR29" s="404"/>
      <c r="CS29" s="404"/>
      <c r="CT29" s="404"/>
      <c r="CU29" s="404"/>
      <c r="CV29" s="404"/>
      <c r="CW29" s="404"/>
      <c r="CX29" s="404"/>
      <c r="CY29" s="404"/>
      <c r="CZ29" s="404"/>
      <c r="DA29" s="404"/>
      <c r="DB29" s="404"/>
      <c r="DC29" s="404"/>
      <c r="DD29" s="404"/>
      <c r="DE29" s="404"/>
      <c r="DF29" s="404"/>
      <c r="DG29" s="404"/>
      <c r="DH29" s="404"/>
      <c r="DI29" s="404"/>
      <c r="DJ29" s="404"/>
      <c r="DK29" s="404"/>
      <c r="DL29" s="404"/>
      <c r="DM29" s="404"/>
      <c r="DN29" s="404"/>
      <c r="DO29" s="404"/>
      <c r="DP29" s="404"/>
      <c r="DQ29" s="404"/>
      <c r="DR29" s="404"/>
      <c r="DS29" s="404"/>
      <c r="DT29" s="404"/>
      <c r="DU29" s="404"/>
      <c r="DV29" s="404"/>
      <c r="DW29" s="404"/>
      <c r="DX29" s="404"/>
      <c r="DY29" s="404"/>
      <c r="DZ29" s="404"/>
      <c r="EA29" s="404"/>
      <c r="EB29" s="404"/>
      <c r="EC29" s="404"/>
      <c r="ED29" s="404"/>
      <c r="EE29" s="404"/>
      <c r="EF29" s="404"/>
      <c r="EG29" s="404"/>
      <c r="EH29" s="404"/>
      <c r="EI29" s="404"/>
      <c r="EJ29" s="404"/>
      <c r="EK29" s="404"/>
      <c r="EL29" s="404"/>
      <c r="EM29" s="404"/>
      <c r="EN29" s="404"/>
      <c r="EO29" s="404"/>
      <c r="EP29" s="404"/>
      <c r="EQ29" s="404"/>
      <c r="ER29" s="404"/>
      <c r="ES29" s="404"/>
      <c r="ET29" s="404"/>
      <c r="EU29" s="404"/>
      <c r="EV29" s="404"/>
      <c r="EW29" s="404"/>
      <c r="EX29" s="404"/>
      <c r="EY29" s="404"/>
      <c r="EZ29" s="404"/>
      <c r="FA29" s="404"/>
      <c r="FB29" s="404"/>
      <c r="FC29" s="404"/>
      <c r="FD29" s="404"/>
      <c r="FE29" s="404"/>
      <c r="FF29" s="404"/>
      <c r="FG29" s="404"/>
      <c r="FH29" s="404"/>
      <c r="FI29" s="404"/>
      <c r="FJ29" s="404"/>
      <c r="FK29" s="404"/>
      <c r="FL29" s="404"/>
      <c r="FM29" s="404"/>
      <c r="FN29" s="404"/>
      <c r="FO29" s="404"/>
      <c r="FP29" s="404"/>
      <c r="FQ29" s="404"/>
      <c r="FR29" s="404"/>
      <c r="FS29" s="404"/>
      <c r="FT29" s="404"/>
      <c r="FU29" s="404"/>
      <c r="FV29" s="404"/>
      <c r="FW29" s="404"/>
      <c r="FX29" s="404"/>
      <c r="FY29" s="404"/>
      <c r="FZ29" s="404"/>
      <c r="GA29" s="404"/>
      <c r="GB29" s="404"/>
      <c r="GC29" s="404"/>
      <c r="GD29" s="404"/>
      <c r="GE29" s="404"/>
      <c r="GF29" s="404"/>
      <c r="GG29" s="404"/>
      <c r="GH29" s="404"/>
      <c r="GI29" s="404"/>
      <c r="GJ29" s="404"/>
      <c r="GK29" s="404"/>
      <c r="GL29" s="404"/>
      <c r="GM29" s="404"/>
      <c r="GN29" s="404"/>
      <c r="GO29" s="404"/>
      <c r="GP29" s="404"/>
      <c r="GQ29" s="404"/>
      <c r="GR29" s="404"/>
      <c r="GS29" s="404"/>
      <c r="GT29" s="404"/>
      <c r="GU29" s="404"/>
      <c r="GV29" s="404"/>
      <c r="GW29" s="404"/>
      <c r="GX29" s="404"/>
      <c r="GY29" s="404"/>
      <c r="GZ29" s="404"/>
      <c r="HA29" s="404"/>
      <c r="HB29" s="404"/>
      <c r="HC29" s="404"/>
      <c r="HD29" s="404"/>
      <c r="HE29" s="404"/>
      <c r="HF29" s="404"/>
      <c r="HG29" s="404"/>
      <c r="HH29" s="404"/>
      <c r="HI29" s="404"/>
      <c r="HJ29" s="404"/>
      <c r="HK29" s="404"/>
      <c r="HL29" s="404"/>
      <c r="HM29" s="404"/>
      <c r="HN29" s="404"/>
      <c r="HO29" s="404"/>
      <c r="HP29" s="404"/>
      <c r="HQ29" s="404"/>
      <c r="HR29" s="404"/>
      <c r="HS29" s="404"/>
      <c r="HT29" s="404"/>
      <c r="HU29" s="404"/>
      <c r="HV29" s="404"/>
      <c r="HW29" s="404"/>
      <c r="HX29" s="404"/>
      <c r="HY29" s="404"/>
      <c r="HZ29" s="404"/>
      <c r="IA29" s="404"/>
      <c r="IB29" s="404"/>
      <c r="IC29" s="404"/>
      <c r="ID29" s="404"/>
      <c r="IE29" s="404"/>
      <c r="IF29" s="404"/>
      <c r="IG29" s="404"/>
      <c r="IH29" s="404"/>
      <c r="II29" s="404"/>
      <c r="IJ29" s="404"/>
      <c r="IK29" s="404"/>
      <c r="IL29" s="404"/>
      <c r="IM29" s="404"/>
      <c r="IN29" s="404"/>
      <c r="IO29" s="404"/>
      <c r="IP29" s="404"/>
      <c r="IQ29" s="404"/>
      <c r="IR29" s="404"/>
      <c r="IS29" s="404"/>
      <c r="IT29" s="404"/>
      <c r="IU29" s="404"/>
      <c r="IV29" s="404"/>
    </row>
    <row r="30" spans="1:256" s="721" customFormat="1" x14ac:dyDescent="0.35">
      <c r="A30" s="735">
        <v>21</v>
      </c>
      <c r="B30" s="602"/>
      <c r="C30" s="447"/>
      <c r="D30" s="641" t="s">
        <v>927</v>
      </c>
      <c r="E30" s="416"/>
      <c r="F30" s="416"/>
      <c r="G30" s="417"/>
      <c r="H30" s="946"/>
      <c r="I30" s="965"/>
      <c r="J30" s="959"/>
      <c r="K30" s="959"/>
      <c r="L30" s="959"/>
      <c r="M30" s="959"/>
      <c r="N30" s="416">
        <f>SUM(N28:N29)</f>
        <v>40493</v>
      </c>
      <c r="O30" s="730">
        <f t="shared" si="7"/>
        <v>40493</v>
      </c>
      <c r="P30" s="726"/>
      <c r="Q30" s="404"/>
      <c r="R30" s="404"/>
      <c r="S30" s="404"/>
      <c r="T30" s="404"/>
      <c r="U30" s="404"/>
      <c r="V30" s="404"/>
      <c r="W30" s="404"/>
      <c r="X30" s="404"/>
      <c r="Y30" s="404"/>
      <c r="Z30" s="404"/>
      <c r="AA30" s="404"/>
      <c r="AB30" s="404"/>
      <c r="AC30" s="404"/>
      <c r="AD30" s="404"/>
      <c r="AE30" s="404"/>
      <c r="AF30" s="404"/>
      <c r="AG30" s="404"/>
      <c r="AH30" s="404"/>
      <c r="AI30" s="404"/>
      <c r="AJ30" s="404"/>
      <c r="AK30" s="404"/>
      <c r="AL30" s="404"/>
      <c r="AM30" s="404"/>
      <c r="AN30" s="404"/>
      <c r="AO30" s="404"/>
      <c r="AP30" s="404"/>
      <c r="AQ30" s="404"/>
      <c r="AR30" s="404"/>
      <c r="AS30" s="404"/>
      <c r="AT30" s="404"/>
      <c r="AU30" s="404"/>
      <c r="AV30" s="404"/>
      <c r="AW30" s="404"/>
      <c r="AX30" s="404"/>
      <c r="AY30" s="404"/>
      <c r="AZ30" s="404"/>
      <c r="BA30" s="404"/>
      <c r="BB30" s="404"/>
      <c r="BC30" s="404"/>
      <c r="BD30" s="404"/>
      <c r="BE30" s="404"/>
      <c r="BF30" s="404"/>
      <c r="BG30" s="404"/>
      <c r="BH30" s="404"/>
      <c r="BI30" s="404"/>
      <c r="BJ30" s="404"/>
      <c r="BK30" s="404"/>
      <c r="BL30" s="404"/>
      <c r="BM30" s="404"/>
      <c r="BN30" s="404"/>
      <c r="BO30" s="404"/>
      <c r="BP30" s="404"/>
      <c r="BQ30" s="404"/>
      <c r="BR30" s="404"/>
      <c r="BS30" s="404"/>
      <c r="BT30" s="404"/>
      <c r="BU30" s="404"/>
      <c r="BV30" s="404"/>
      <c r="BW30" s="404"/>
      <c r="BX30" s="404"/>
      <c r="BY30" s="404"/>
      <c r="BZ30" s="404"/>
      <c r="CA30" s="404"/>
      <c r="CB30" s="404"/>
      <c r="CC30" s="404"/>
      <c r="CD30" s="404"/>
      <c r="CE30" s="404"/>
      <c r="CF30" s="404"/>
      <c r="CG30" s="404"/>
      <c r="CH30" s="404"/>
      <c r="CI30" s="404"/>
      <c r="CJ30" s="404"/>
      <c r="CK30" s="404"/>
      <c r="CL30" s="404"/>
      <c r="CM30" s="404"/>
      <c r="CN30" s="404"/>
      <c r="CO30" s="404"/>
      <c r="CP30" s="404"/>
      <c r="CQ30" s="404"/>
      <c r="CR30" s="404"/>
      <c r="CS30" s="404"/>
      <c r="CT30" s="404"/>
      <c r="CU30" s="404"/>
      <c r="CV30" s="404"/>
      <c r="CW30" s="404"/>
      <c r="CX30" s="404"/>
      <c r="CY30" s="404"/>
      <c r="CZ30" s="404"/>
      <c r="DA30" s="404"/>
      <c r="DB30" s="404"/>
      <c r="DC30" s="404"/>
      <c r="DD30" s="404"/>
      <c r="DE30" s="404"/>
      <c r="DF30" s="404"/>
      <c r="DG30" s="404"/>
      <c r="DH30" s="404"/>
      <c r="DI30" s="404"/>
      <c r="DJ30" s="404"/>
      <c r="DK30" s="404"/>
      <c r="DL30" s="404"/>
      <c r="DM30" s="404"/>
      <c r="DN30" s="404"/>
      <c r="DO30" s="404"/>
      <c r="DP30" s="404"/>
      <c r="DQ30" s="404"/>
      <c r="DR30" s="404"/>
      <c r="DS30" s="404"/>
      <c r="DT30" s="404"/>
      <c r="DU30" s="404"/>
      <c r="DV30" s="404"/>
      <c r="DW30" s="404"/>
      <c r="DX30" s="404"/>
      <c r="DY30" s="404"/>
      <c r="DZ30" s="404"/>
      <c r="EA30" s="404"/>
      <c r="EB30" s="404"/>
      <c r="EC30" s="404"/>
      <c r="ED30" s="404"/>
      <c r="EE30" s="404"/>
      <c r="EF30" s="404"/>
      <c r="EG30" s="404"/>
      <c r="EH30" s="404"/>
      <c r="EI30" s="404"/>
      <c r="EJ30" s="404"/>
      <c r="EK30" s="404"/>
      <c r="EL30" s="404"/>
      <c r="EM30" s="404"/>
      <c r="EN30" s="404"/>
      <c r="EO30" s="404"/>
      <c r="EP30" s="404"/>
      <c r="EQ30" s="404"/>
      <c r="ER30" s="404"/>
      <c r="ES30" s="404"/>
      <c r="ET30" s="404"/>
      <c r="EU30" s="404"/>
      <c r="EV30" s="404"/>
      <c r="EW30" s="404"/>
      <c r="EX30" s="404"/>
      <c r="EY30" s="404"/>
      <c r="EZ30" s="404"/>
      <c r="FA30" s="404"/>
      <c r="FB30" s="404"/>
      <c r="FC30" s="404"/>
      <c r="FD30" s="404"/>
      <c r="FE30" s="404"/>
      <c r="FF30" s="404"/>
      <c r="FG30" s="404"/>
      <c r="FH30" s="404"/>
      <c r="FI30" s="404"/>
      <c r="FJ30" s="404"/>
      <c r="FK30" s="404"/>
      <c r="FL30" s="404"/>
      <c r="FM30" s="404"/>
      <c r="FN30" s="404"/>
      <c r="FO30" s="404"/>
      <c r="FP30" s="404"/>
      <c r="FQ30" s="404"/>
      <c r="FR30" s="404"/>
      <c r="FS30" s="404"/>
      <c r="FT30" s="404"/>
      <c r="FU30" s="404"/>
      <c r="FV30" s="404"/>
      <c r="FW30" s="404"/>
      <c r="FX30" s="404"/>
      <c r="FY30" s="404"/>
      <c r="FZ30" s="404"/>
      <c r="GA30" s="404"/>
      <c r="GB30" s="404"/>
      <c r="GC30" s="404"/>
      <c r="GD30" s="404"/>
      <c r="GE30" s="404"/>
      <c r="GF30" s="404"/>
      <c r="GG30" s="404"/>
      <c r="GH30" s="404"/>
      <c r="GI30" s="404"/>
      <c r="GJ30" s="404"/>
      <c r="GK30" s="404"/>
      <c r="GL30" s="404"/>
      <c r="GM30" s="404"/>
      <c r="GN30" s="404"/>
      <c r="GO30" s="404"/>
      <c r="GP30" s="404"/>
      <c r="GQ30" s="404"/>
      <c r="GR30" s="404"/>
      <c r="GS30" s="404"/>
      <c r="GT30" s="404"/>
      <c r="GU30" s="404"/>
      <c r="GV30" s="404"/>
      <c r="GW30" s="404"/>
      <c r="GX30" s="404"/>
      <c r="GY30" s="404"/>
      <c r="GZ30" s="404"/>
      <c r="HA30" s="404"/>
      <c r="HB30" s="404"/>
      <c r="HC30" s="404"/>
      <c r="HD30" s="404"/>
      <c r="HE30" s="404"/>
      <c r="HF30" s="404"/>
      <c r="HG30" s="404"/>
      <c r="HH30" s="404"/>
      <c r="HI30" s="404"/>
      <c r="HJ30" s="404"/>
      <c r="HK30" s="404"/>
      <c r="HL30" s="404"/>
      <c r="HM30" s="404"/>
      <c r="HN30" s="404"/>
      <c r="HO30" s="404"/>
      <c r="HP30" s="404"/>
      <c r="HQ30" s="404"/>
      <c r="HR30" s="404"/>
      <c r="HS30" s="404"/>
      <c r="HT30" s="404"/>
      <c r="HU30" s="404"/>
      <c r="HV30" s="404"/>
      <c r="HW30" s="404"/>
      <c r="HX30" s="404"/>
      <c r="HY30" s="404"/>
      <c r="HZ30" s="404"/>
      <c r="IA30" s="404"/>
      <c r="IB30" s="404"/>
      <c r="IC30" s="404"/>
      <c r="ID30" s="404"/>
      <c r="IE30" s="404"/>
      <c r="IF30" s="404"/>
      <c r="IG30" s="404"/>
      <c r="IH30" s="404"/>
      <c r="II30" s="404"/>
      <c r="IJ30" s="404"/>
      <c r="IK30" s="404"/>
      <c r="IL30" s="404"/>
      <c r="IM30" s="404"/>
      <c r="IN30" s="404"/>
      <c r="IO30" s="404"/>
      <c r="IP30" s="404"/>
      <c r="IQ30" s="404"/>
      <c r="IR30" s="404"/>
      <c r="IS30" s="404"/>
      <c r="IT30" s="404"/>
      <c r="IU30" s="404"/>
      <c r="IV30" s="404"/>
    </row>
    <row r="31" spans="1:256" s="721" customFormat="1" x14ac:dyDescent="0.35">
      <c r="A31" s="735">
        <v>22</v>
      </c>
      <c r="B31" s="729"/>
      <c r="C31" s="447">
        <v>6</v>
      </c>
      <c r="D31" s="407" t="s">
        <v>528</v>
      </c>
      <c r="E31" s="416"/>
      <c r="F31" s="725"/>
      <c r="G31" s="417"/>
      <c r="H31" s="946" t="s">
        <v>24</v>
      </c>
      <c r="I31" s="964"/>
      <c r="J31" s="960"/>
      <c r="K31" s="960"/>
      <c r="L31" s="960"/>
      <c r="M31" s="960"/>
      <c r="N31" s="960"/>
      <c r="O31" s="730"/>
      <c r="P31" s="726"/>
      <c r="Q31" s="404"/>
      <c r="R31" s="404"/>
      <c r="S31" s="404"/>
      <c r="T31" s="404"/>
      <c r="U31" s="404"/>
      <c r="V31" s="404"/>
      <c r="W31" s="404"/>
      <c r="X31" s="404"/>
      <c r="Y31" s="404"/>
      <c r="Z31" s="404"/>
      <c r="AA31" s="404"/>
      <c r="AB31" s="404"/>
      <c r="AC31" s="404"/>
      <c r="AD31" s="404"/>
      <c r="AE31" s="404"/>
      <c r="AF31" s="404"/>
      <c r="AG31" s="404"/>
      <c r="AH31" s="404"/>
      <c r="AI31" s="404"/>
      <c r="AJ31" s="404"/>
      <c r="AK31" s="404"/>
      <c r="AL31" s="404"/>
      <c r="AM31" s="404"/>
      <c r="AN31" s="404"/>
      <c r="AO31" s="404"/>
      <c r="AP31" s="404"/>
      <c r="AQ31" s="404"/>
      <c r="AR31" s="404"/>
      <c r="AS31" s="404"/>
      <c r="AT31" s="404"/>
      <c r="AU31" s="404"/>
      <c r="AV31" s="404"/>
      <c r="AW31" s="404"/>
      <c r="AX31" s="404"/>
      <c r="AY31" s="404"/>
      <c r="AZ31" s="404"/>
      <c r="BA31" s="404"/>
      <c r="BB31" s="404"/>
      <c r="BC31" s="404"/>
      <c r="BD31" s="404"/>
      <c r="BE31" s="404"/>
      <c r="BF31" s="404"/>
      <c r="BG31" s="404"/>
      <c r="BH31" s="404"/>
      <c r="BI31" s="404"/>
      <c r="BJ31" s="404"/>
      <c r="BK31" s="404"/>
      <c r="BL31" s="404"/>
      <c r="BM31" s="404"/>
      <c r="BN31" s="404"/>
      <c r="BO31" s="404"/>
      <c r="BP31" s="404"/>
      <c r="BQ31" s="404"/>
      <c r="BR31" s="404"/>
      <c r="BS31" s="404"/>
      <c r="BT31" s="404"/>
      <c r="BU31" s="404"/>
      <c r="BV31" s="404"/>
      <c r="BW31" s="404"/>
      <c r="BX31" s="404"/>
      <c r="BY31" s="404"/>
      <c r="BZ31" s="404"/>
      <c r="CA31" s="404"/>
      <c r="CB31" s="404"/>
      <c r="CC31" s="404"/>
      <c r="CD31" s="404"/>
      <c r="CE31" s="404"/>
      <c r="CF31" s="404"/>
      <c r="CG31" s="404"/>
      <c r="CH31" s="404"/>
      <c r="CI31" s="404"/>
      <c r="CJ31" s="404"/>
      <c r="CK31" s="404"/>
      <c r="CL31" s="404"/>
      <c r="CM31" s="404"/>
      <c r="CN31" s="404"/>
      <c r="CO31" s="404"/>
      <c r="CP31" s="404"/>
      <c r="CQ31" s="404"/>
      <c r="CR31" s="404"/>
      <c r="CS31" s="404"/>
      <c r="CT31" s="404"/>
      <c r="CU31" s="404"/>
      <c r="CV31" s="404"/>
      <c r="CW31" s="404"/>
      <c r="CX31" s="404"/>
      <c r="CY31" s="404"/>
      <c r="CZ31" s="404"/>
      <c r="DA31" s="404"/>
      <c r="DB31" s="404"/>
      <c r="DC31" s="404"/>
      <c r="DD31" s="404"/>
      <c r="DE31" s="404"/>
      <c r="DF31" s="404"/>
      <c r="DG31" s="404"/>
      <c r="DH31" s="404"/>
      <c r="DI31" s="404"/>
      <c r="DJ31" s="404"/>
      <c r="DK31" s="404"/>
      <c r="DL31" s="404"/>
      <c r="DM31" s="404"/>
      <c r="DN31" s="404"/>
      <c r="DO31" s="404"/>
      <c r="DP31" s="404"/>
      <c r="DQ31" s="404"/>
      <c r="DR31" s="404"/>
      <c r="DS31" s="404"/>
      <c r="DT31" s="404"/>
      <c r="DU31" s="404"/>
      <c r="DV31" s="404"/>
      <c r="DW31" s="404"/>
      <c r="DX31" s="404"/>
      <c r="DY31" s="404"/>
      <c r="DZ31" s="404"/>
      <c r="EA31" s="404"/>
      <c r="EB31" s="404"/>
      <c r="EC31" s="404"/>
      <c r="ED31" s="404"/>
      <c r="EE31" s="404"/>
      <c r="EF31" s="404"/>
      <c r="EG31" s="404"/>
      <c r="EH31" s="404"/>
      <c r="EI31" s="404"/>
      <c r="EJ31" s="404"/>
      <c r="EK31" s="404"/>
      <c r="EL31" s="404"/>
      <c r="EM31" s="404"/>
      <c r="EN31" s="404"/>
      <c r="EO31" s="404"/>
      <c r="EP31" s="404"/>
      <c r="EQ31" s="404"/>
      <c r="ER31" s="404"/>
      <c r="ES31" s="404"/>
      <c r="ET31" s="404"/>
      <c r="EU31" s="404"/>
      <c r="EV31" s="404"/>
      <c r="EW31" s="404"/>
      <c r="EX31" s="404"/>
      <c r="EY31" s="404"/>
      <c r="EZ31" s="404"/>
      <c r="FA31" s="404"/>
      <c r="FB31" s="404"/>
      <c r="FC31" s="404"/>
      <c r="FD31" s="404"/>
      <c r="FE31" s="404"/>
      <c r="FF31" s="404"/>
      <c r="FG31" s="404"/>
      <c r="FH31" s="404"/>
      <c r="FI31" s="404"/>
      <c r="FJ31" s="404"/>
      <c r="FK31" s="404"/>
      <c r="FL31" s="404"/>
      <c r="FM31" s="404"/>
      <c r="FN31" s="404"/>
      <c r="FO31" s="404"/>
      <c r="FP31" s="404"/>
      <c r="FQ31" s="404"/>
      <c r="FR31" s="404"/>
      <c r="FS31" s="404"/>
      <c r="FT31" s="404"/>
      <c r="FU31" s="404"/>
      <c r="FV31" s="404"/>
      <c r="FW31" s="404"/>
      <c r="FX31" s="404"/>
      <c r="FY31" s="404"/>
      <c r="FZ31" s="404"/>
      <c r="GA31" s="404"/>
      <c r="GB31" s="404"/>
      <c r="GC31" s="404"/>
      <c r="GD31" s="404"/>
      <c r="GE31" s="404"/>
      <c r="GF31" s="404"/>
      <c r="GG31" s="404"/>
      <c r="GH31" s="404"/>
      <c r="GI31" s="404"/>
      <c r="GJ31" s="404"/>
      <c r="GK31" s="404"/>
      <c r="GL31" s="404"/>
      <c r="GM31" s="404"/>
      <c r="GN31" s="404"/>
      <c r="GO31" s="404"/>
      <c r="GP31" s="404"/>
      <c r="GQ31" s="404"/>
      <c r="GR31" s="404"/>
      <c r="GS31" s="404"/>
      <c r="GT31" s="404"/>
      <c r="GU31" s="404"/>
      <c r="GV31" s="404"/>
      <c r="GW31" s="404"/>
      <c r="GX31" s="404"/>
      <c r="GY31" s="404"/>
      <c r="GZ31" s="404"/>
      <c r="HA31" s="404"/>
      <c r="HB31" s="404"/>
      <c r="HC31" s="404"/>
      <c r="HD31" s="404"/>
      <c r="HE31" s="404"/>
      <c r="HF31" s="404"/>
      <c r="HG31" s="404"/>
      <c r="HH31" s="404"/>
      <c r="HI31" s="404"/>
      <c r="HJ31" s="404"/>
      <c r="HK31" s="404"/>
      <c r="HL31" s="404"/>
      <c r="HM31" s="404"/>
      <c r="HN31" s="404"/>
      <c r="HO31" s="404"/>
      <c r="HP31" s="404"/>
      <c r="HQ31" s="404"/>
      <c r="HR31" s="404"/>
      <c r="HS31" s="404"/>
      <c r="HT31" s="404"/>
      <c r="HU31" s="404"/>
      <c r="HV31" s="404"/>
      <c r="HW31" s="404"/>
      <c r="HX31" s="404"/>
      <c r="HY31" s="404"/>
      <c r="HZ31" s="404"/>
      <c r="IA31" s="404"/>
      <c r="IB31" s="404"/>
      <c r="IC31" s="404"/>
      <c r="ID31" s="404"/>
      <c r="IE31" s="404"/>
      <c r="IF31" s="404"/>
      <c r="IG31" s="404"/>
      <c r="IH31" s="404"/>
      <c r="II31" s="404"/>
      <c r="IJ31" s="404"/>
      <c r="IK31" s="404"/>
      <c r="IL31" s="404"/>
      <c r="IM31" s="404"/>
      <c r="IN31" s="404"/>
      <c r="IO31" s="404"/>
      <c r="IP31" s="404"/>
      <c r="IQ31" s="404"/>
      <c r="IR31" s="404"/>
      <c r="IS31" s="404"/>
      <c r="IT31" s="404"/>
      <c r="IU31" s="404"/>
      <c r="IV31" s="404"/>
    </row>
    <row r="32" spans="1:256" s="721" customFormat="1" x14ac:dyDescent="0.35">
      <c r="A32" s="735">
        <v>23</v>
      </c>
      <c r="B32" s="602"/>
      <c r="C32" s="447"/>
      <c r="D32" s="1735" t="s">
        <v>292</v>
      </c>
      <c r="E32" s="416">
        <f>F32+G32+O34+P32</f>
        <v>250000</v>
      </c>
      <c r="F32" s="725"/>
      <c r="G32" s="417">
        <v>99177</v>
      </c>
      <c r="H32" s="946"/>
      <c r="I32" s="964"/>
      <c r="J32" s="960"/>
      <c r="K32" s="960">
        <v>500</v>
      </c>
      <c r="L32" s="960"/>
      <c r="M32" s="960">
        <v>150323</v>
      </c>
      <c r="N32" s="960"/>
      <c r="O32" s="930">
        <f>SUM(I32:N32)</f>
        <v>150823</v>
      </c>
      <c r="P32" s="726"/>
      <c r="Q32" s="404"/>
      <c r="R32" s="404"/>
      <c r="S32" s="404"/>
      <c r="T32" s="404"/>
      <c r="U32" s="404"/>
      <c r="V32" s="404"/>
      <c r="W32" s="404"/>
      <c r="X32" s="404"/>
      <c r="Y32" s="404"/>
      <c r="Z32" s="404"/>
      <c r="AA32" s="404"/>
      <c r="AB32" s="404"/>
      <c r="AC32" s="404"/>
      <c r="AD32" s="404"/>
      <c r="AE32" s="404"/>
      <c r="AF32" s="404"/>
      <c r="AG32" s="404"/>
      <c r="AH32" s="404"/>
      <c r="AI32" s="404"/>
      <c r="AJ32" s="404"/>
      <c r="AK32" s="404"/>
      <c r="AL32" s="404"/>
      <c r="AM32" s="404"/>
      <c r="AN32" s="404"/>
      <c r="AO32" s="404"/>
      <c r="AP32" s="404"/>
      <c r="AQ32" s="404"/>
      <c r="AR32" s="404"/>
      <c r="AS32" s="404"/>
      <c r="AT32" s="404"/>
      <c r="AU32" s="404"/>
      <c r="AV32" s="404"/>
      <c r="AW32" s="404"/>
      <c r="AX32" s="404"/>
      <c r="AY32" s="404"/>
      <c r="AZ32" s="404"/>
      <c r="BA32" s="404"/>
      <c r="BB32" s="404"/>
      <c r="BC32" s="404"/>
      <c r="BD32" s="404"/>
      <c r="BE32" s="404"/>
      <c r="BF32" s="404"/>
      <c r="BG32" s="404"/>
      <c r="BH32" s="404"/>
      <c r="BI32" s="404"/>
      <c r="BJ32" s="404"/>
      <c r="BK32" s="404"/>
      <c r="BL32" s="404"/>
      <c r="BM32" s="404"/>
      <c r="BN32" s="404"/>
      <c r="BO32" s="404"/>
      <c r="BP32" s="404"/>
      <c r="BQ32" s="404"/>
      <c r="BR32" s="404"/>
      <c r="BS32" s="404"/>
      <c r="BT32" s="404"/>
      <c r="BU32" s="404"/>
      <c r="BV32" s="404"/>
      <c r="BW32" s="404"/>
      <c r="BX32" s="404"/>
      <c r="BY32" s="404"/>
      <c r="BZ32" s="404"/>
      <c r="CA32" s="404"/>
      <c r="CB32" s="404"/>
      <c r="CC32" s="404"/>
      <c r="CD32" s="404"/>
      <c r="CE32" s="404"/>
      <c r="CF32" s="404"/>
      <c r="CG32" s="404"/>
      <c r="CH32" s="404"/>
      <c r="CI32" s="404"/>
      <c r="CJ32" s="404"/>
      <c r="CK32" s="404"/>
      <c r="CL32" s="404"/>
      <c r="CM32" s="404"/>
      <c r="CN32" s="404"/>
      <c r="CO32" s="404"/>
      <c r="CP32" s="404"/>
      <c r="CQ32" s="404"/>
      <c r="CR32" s="404"/>
      <c r="CS32" s="404"/>
      <c r="CT32" s="404"/>
      <c r="CU32" s="404"/>
      <c r="CV32" s="404"/>
      <c r="CW32" s="404"/>
      <c r="CX32" s="404"/>
      <c r="CY32" s="404"/>
      <c r="CZ32" s="404"/>
      <c r="DA32" s="404"/>
      <c r="DB32" s="404"/>
      <c r="DC32" s="404"/>
      <c r="DD32" s="404"/>
      <c r="DE32" s="404"/>
      <c r="DF32" s="404"/>
      <c r="DG32" s="404"/>
      <c r="DH32" s="404"/>
      <c r="DI32" s="404"/>
      <c r="DJ32" s="404"/>
      <c r="DK32" s="404"/>
      <c r="DL32" s="404"/>
      <c r="DM32" s="404"/>
      <c r="DN32" s="404"/>
      <c r="DO32" s="404"/>
      <c r="DP32" s="404"/>
      <c r="DQ32" s="404"/>
      <c r="DR32" s="404"/>
      <c r="DS32" s="404"/>
      <c r="DT32" s="404"/>
      <c r="DU32" s="404"/>
      <c r="DV32" s="404"/>
      <c r="DW32" s="404"/>
      <c r="DX32" s="404"/>
      <c r="DY32" s="404"/>
      <c r="DZ32" s="404"/>
      <c r="EA32" s="404"/>
      <c r="EB32" s="404"/>
      <c r="EC32" s="404"/>
      <c r="ED32" s="404"/>
      <c r="EE32" s="404"/>
      <c r="EF32" s="404"/>
      <c r="EG32" s="404"/>
      <c r="EH32" s="404"/>
      <c r="EI32" s="404"/>
      <c r="EJ32" s="404"/>
      <c r="EK32" s="404"/>
      <c r="EL32" s="404"/>
      <c r="EM32" s="404"/>
      <c r="EN32" s="404"/>
      <c r="EO32" s="404"/>
      <c r="EP32" s="404"/>
      <c r="EQ32" s="404"/>
      <c r="ER32" s="404"/>
      <c r="ES32" s="404"/>
      <c r="ET32" s="404"/>
      <c r="EU32" s="404"/>
      <c r="EV32" s="404"/>
      <c r="EW32" s="404"/>
      <c r="EX32" s="404"/>
      <c r="EY32" s="404"/>
      <c r="EZ32" s="404"/>
      <c r="FA32" s="404"/>
      <c r="FB32" s="404"/>
      <c r="FC32" s="404"/>
      <c r="FD32" s="404"/>
      <c r="FE32" s="404"/>
      <c r="FF32" s="404"/>
      <c r="FG32" s="404"/>
      <c r="FH32" s="404"/>
      <c r="FI32" s="404"/>
      <c r="FJ32" s="404"/>
      <c r="FK32" s="404"/>
      <c r="FL32" s="404"/>
      <c r="FM32" s="404"/>
      <c r="FN32" s="404"/>
      <c r="FO32" s="404"/>
      <c r="FP32" s="404"/>
      <c r="FQ32" s="404"/>
      <c r="FR32" s="404"/>
      <c r="FS32" s="404"/>
      <c r="FT32" s="404"/>
      <c r="FU32" s="404"/>
      <c r="FV32" s="404"/>
      <c r="FW32" s="404"/>
      <c r="FX32" s="404"/>
      <c r="FY32" s="404"/>
      <c r="FZ32" s="404"/>
      <c r="GA32" s="404"/>
      <c r="GB32" s="404"/>
      <c r="GC32" s="404"/>
      <c r="GD32" s="404"/>
      <c r="GE32" s="404"/>
      <c r="GF32" s="404"/>
      <c r="GG32" s="404"/>
      <c r="GH32" s="404"/>
      <c r="GI32" s="404"/>
      <c r="GJ32" s="404"/>
      <c r="GK32" s="404"/>
      <c r="GL32" s="404"/>
      <c r="GM32" s="404"/>
      <c r="GN32" s="404"/>
      <c r="GO32" s="404"/>
      <c r="GP32" s="404"/>
      <c r="GQ32" s="404"/>
      <c r="GR32" s="404"/>
      <c r="GS32" s="404"/>
      <c r="GT32" s="404"/>
      <c r="GU32" s="404"/>
      <c r="GV32" s="404"/>
      <c r="GW32" s="404"/>
      <c r="GX32" s="404"/>
      <c r="GY32" s="404"/>
      <c r="GZ32" s="404"/>
      <c r="HA32" s="404"/>
      <c r="HB32" s="404"/>
      <c r="HC32" s="404"/>
      <c r="HD32" s="404"/>
      <c r="HE32" s="404"/>
      <c r="HF32" s="404"/>
      <c r="HG32" s="404"/>
      <c r="HH32" s="404"/>
      <c r="HI32" s="404"/>
      <c r="HJ32" s="404"/>
      <c r="HK32" s="404"/>
      <c r="HL32" s="404"/>
      <c r="HM32" s="404"/>
      <c r="HN32" s="404"/>
      <c r="HO32" s="404"/>
      <c r="HP32" s="404"/>
      <c r="HQ32" s="404"/>
      <c r="HR32" s="404"/>
      <c r="HS32" s="404"/>
      <c r="HT32" s="404"/>
      <c r="HU32" s="404"/>
      <c r="HV32" s="404"/>
      <c r="HW32" s="404"/>
      <c r="HX32" s="404"/>
      <c r="HY32" s="404"/>
      <c r="HZ32" s="404"/>
      <c r="IA32" s="404"/>
      <c r="IB32" s="404"/>
      <c r="IC32" s="404"/>
      <c r="ID32" s="404"/>
      <c r="IE32" s="404"/>
      <c r="IF32" s="404"/>
      <c r="IG32" s="404"/>
      <c r="IH32" s="404"/>
      <c r="II32" s="404"/>
      <c r="IJ32" s="404"/>
      <c r="IK32" s="404"/>
      <c r="IL32" s="404"/>
      <c r="IM32" s="404"/>
      <c r="IN32" s="404"/>
      <c r="IO32" s="404"/>
      <c r="IP32" s="404"/>
      <c r="IQ32" s="404"/>
      <c r="IR32" s="404"/>
      <c r="IS32" s="404"/>
      <c r="IT32" s="404"/>
      <c r="IU32" s="404"/>
      <c r="IV32" s="404"/>
    </row>
    <row r="33" spans="1:256" s="721" customFormat="1" x14ac:dyDescent="0.35">
      <c r="A33" s="735">
        <v>24</v>
      </c>
      <c r="B33" s="602"/>
      <c r="C33" s="447"/>
      <c r="D33" s="1499" t="s">
        <v>929</v>
      </c>
      <c r="E33" s="416"/>
      <c r="F33" s="725"/>
      <c r="G33" s="417"/>
      <c r="H33" s="946"/>
      <c r="I33" s="964"/>
      <c r="J33" s="960"/>
      <c r="K33" s="960"/>
      <c r="L33" s="960"/>
      <c r="M33" s="960"/>
      <c r="N33" s="960"/>
      <c r="O33" s="1740">
        <f t="shared" ref="O33:O34" si="8">SUM(I33:N33)</f>
        <v>0</v>
      </c>
      <c r="P33" s="726"/>
      <c r="Q33" s="404"/>
      <c r="R33" s="404"/>
      <c r="S33" s="404"/>
      <c r="T33" s="404"/>
      <c r="U33" s="404"/>
      <c r="V33" s="404"/>
      <c r="W33" s="404"/>
      <c r="X33" s="404"/>
      <c r="Y33" s="404"/>
      <c r="Z33" s="404"/>
      <c r="AA33" s="404"/>
      <c r="AB33" s="404"/>
      <c r="AC33" s="404"/>
      <c r="AD33" s="404"/>
      <c r="AE33" s="404"/>
      <c r="AF33" s="404"/>
      <c r="AG33" s="404"/>
      <c r="AH33" s="404"/>
      <c r="AI33" s="404"/>
      <c r="AJ33" s="404"/>
      <c r="AK33" s="404"/>
      <c r="AL33" s="404"/>
      <c r="AM33" s="404"/>
      <c r="AN33" s="404"/>
      <c r="AO33" s="404"/>
      <c r="AP33" s="404"/>
      <c r="AQ33" s="404"/>
      <c r="AR33" s="404"/>
      <c r="AS33" s="404"/>
      <c r="AT33" s="404"/>
      <c r="AU33" s="404"/>
      <c r="AV33" s="404"/>
      <c r="AW33" s="404"/>
      <c r="AX33" s="404"/>
      <c r="AY33" s="404"/>
      <c r="AZ33" s="404"/>
      <c r="BA33" s="404"/>
      <c r="BB33" s="404"/>
      <c r="BC33" s="404"/>
      <c r="BD33" s="404"/>
      <c r="BE33" s="404"/>
      <c r="BF33" s="404"/>
      <c r="BG33" s="404"/>
      <c r="BH33" s="404"/>
      <c r="BI33" s="404"/>
      <c r="BJ33" s="404"/>
      <c r="BK33" s="404"/>
      <c r="BL33" s="404"/>
      <c r="BM33" s="404"/>
      <c r="BN33" s="404"/>
      <c r="BO33" s="404"/>
      <c r="BP33" s="404"/>
      <c r="BQ33" s="404"/>
      <c r="BR33" s="404"/>
      <c r="BS33" s="404"/>
      <c r="BT33" s="404"/>
      <c r="BU33" s="404"/>
      <c r="BV33" s="404"/>
      <c r="BW33" s="404"/>
      <c r="BX33" s="404"/>
      <c r="BY33" s="404"/>
      <c r="BZ33" s="404"/>
      <c r="CA33" s="404"/>
      <c r="CB33" s="404"/>
      <c r="CC33" s="404"/>
      <c r="CD33" s="404"/>
      <c r="CE33" s="404"/>
      <c r="CF33" s="404"/>
      <c r="CG33" s="404"/>
      <c r="CH33" s="404"/>
      <c r="CI33" s="404"/>
      <c r="CJ33" s="404"/>
      <c r="CK33" s="404"/>
      <c r="CL33" s="404"/>
      <c r="CM33" s="404"/>
      <c r="CN33" s="404"/>
      <c r="CO33" s="404"/>
      <c r="CP33" s="404"/>
      <c r="CQ33" s="404"/>
      <c r="CR33" s="404"/>
      <c r="CS33" s="404"/>
      <c r="CT33" s="404"/>
      <c r="CU33" s="404"/>
      <c r="CV33" s="404"/>
      <c r="CW33" s="404"/>
      <c r="CX33" s="404"/>
      <c r="CY33" s="404"/>
      <c r="CZ33" s="404"/>
      <c r="DA33" s="404"/>
      <c r="DB33" s="404"/>
      <c r="DC33" s="404"/>
      <c r="DD33" s="404"/>
      <c r="DE33" s="404"/>
      <c r="DF33" s="404"/>
      <c r="DG33" s="404"/>
      <c r="DH33" s="404"/>
      <c r="DI33" s="404"/>
      <c r="DJ33" s="404"/>
      <c r="DK33" s="404"/>
      <c r="DL33" s="404"/>
      <c r="DM33" s="404"/>
      <c r="DN33" s="404"/>
      <c r="DO33" s="404"/>
      <c r="DP33" s="404"/>
      <c r="DQ33" s="404"/>
      <c r="DR33" s="404"/>
      <c r="DS33" s="404"/>
      <c r="DT33" s="404"/>
      <c r="DU33" s="404"/>
      <c r="DV33" s="404"/>
      <c r="DW33" s="404"/>
      <c r="DX33" s="404"/>
      <c r="DY33" s="404"/>
      <c r="DZ33" s="404"/>
      <c r="EA33" s="404"/>
      <c r="EB33" s="404"/>
      <c r="EC33" s="404"/>
      <c r="ED33" s="404"/>
      <c r="EE33" s="404"/>
      <c r="EF33" s="404"/>
      <c r="EG33" s="404"/>
      <c r="EH33" s="404"/>
      <c r="EI33" s="404"/>
      <c r="EJ33" s="404"/>
      <c r="EK33" s="404"/>
      <c r="EL33" s="404"/>
      <c r="EM33" s="404"/>
      <c r="EN33" s="404"/>
      <c r="EO33" s="404"/>
      <c r="EP33" s="404"/>
      <c r="EQ33" s="404"/>
      <c r="ER33" s="404"/>
      <c r="ES33" s="404"/>
      <c r="ET33" s="404"/>
      <c r="EU33" s="404"/>
      <c r="EV33" s="404"/>
      <c r="EW33" s="404"/>
      <c r="EX33" s="404"/>
      <c r="EY33" s="404"/>
      <c r="EZ33" s="404"/>
      <c r="FA33" s="404"/>
      <c r="FB33" s="404"/>
      <c r="FC33" s="404"/>
      <c r="FD33" s="404"/>
      <c r="FE33" s="404"/>
      <c r="FF33" s="404"/>
      <c r="FG33" s="404"/>
      <c r="FH33" s="404"/>
      <c r="FI33" s="404"/>
      <c r="FJ33" s="404"/>
      <c r="FK33" s="404"/>
      <c r="FL33" s="404"/>
      <c r="FM33" s="404"/>
      <c r="FN33" s="404"/>
      <c r="FO33" s="404"/>
      <c r="FP33" s="404"/>
      <c r="FQ33" s="404"/>
      <c r="FR33" s="404"/>
      <c r="FS33" s="404"/>
      <c r="FT33" s="404"/>
      <c r="FU33" s="404"/>
      <c r="FV33" s="404"/>
      <c r="FW33" s="404"/>
      <c r="FX33" s="404"/>
      <c r="FY33" s="404"/>
      <c r="FZ33" s="404"/>
      <c r="GA33" s="404"/>
      <c r="GB33" s="404"/>
      <c r="GC33" s="404"/>
      <c r="GD33" s="404"/>
      <c r="GE33" s="404"/>
      <c r="GF33" s="404"/>
      <c r="GG33" s="404"/>
      <c r="GH33" s="404"/>
      <c r="GI33" s="404"/>
      <c r="GJ33" s="404"/>
      <c r="GK33" s="404"/>
      <c r="GL33" s="404"/>
      <c r="GM33" s="404"/>
      <c r="GN33" s="404"/>
      <c r="GO33" s="404"/>
      <c r="GP33" s="404"/>
      <c r="GQ33" s="404"/>
      <c r="GR33" s="404"/>
      <c r="GS33" s="404"/>
      <c r="GT33" s="404"/>
      <c r="GU33" s="404"/>
      <c r="GV33" s="404"/>
      <c r="GW33" s="404"/>
      <c r="GX33" s="404"/>
      <c r="GY33" s="404"/>
      <c r="GZ33" s="404"/>
      <c r="HA33" s="404"/>
      <c r="HB33" s="404"/>
      <c r="HC33" s="404"/>
      <c r="HD33" s="404"/>
      <c r="HE33" s="404"/>
      <c r="HF33" s="404"/>
      <c r="HG33" s="404"/>
      <c r="HH33" s="404"/>
      <c r="HI33" s="404"/>
      <c r="HJ33" s="404"/>
      <c r="HK33" s="404"/>
      <c r="HL33" s="404"/>
      <c r="HM33" s="404"/>
      <c r="HN33" s="404"/>
      <c r="HO33" s="404"/>
      <c r="HP33" s="404"/>
      <c r="HQ33" s="404"/>
      <c r="HR33" s="404"/>
      <c r="HS33" s="404"/>
      <c r="HT33" s="404"/>
      <c r="HU33" s="404"/>
      <c r="HV33" s="404"/>
      <c r="HW33" s="404"/>
      <c r="HX33" s="404"/>
      <c r="HY33" s="404"/>
      <c r="HZ33" s="404"/>
      <c r="IA33" s="404"/>
      <c r="IB33" s="404"/>
      <c r="IC33" s="404"/>
      <c r="ID33" s="404"/>
      <c r="IE33" s="404"/>
      <c r="IF33" s="404"/>
      <c r="IG33" s="404"/>
      <c r="IH33" s="404"/>
      <c r="II33" s="404"/>
      <c r="IJ33" s="404"/>
      <c r="IK33" s="404"/>
      <c r="IL33" s="404"/>
      <c r="IM33" s="404"/>
      <c r="IN33" s="404"/>
      <c r="IO33" s="404"/>
      <c r="IP33" s="404"/>
      <c r="IQ33" s="404"/>
      <c r="IR33" s="404"/>
      <c r="IS33" s="404"/>
      <c r="IT33" s="404"/>
      <c r="IU33" s="404"/>
      <c r="IV33" s="404"/>
    </row>
    <row r="34" spans="1:256" s="721" customFormat="1" x14ac:dyDescent="0.35">
      <c r="A34" s="735">
        <v>25</v>
      </c>
      <c r="B34" s="602"/>
      <c r="C34" s="447"/>
      <c r="D34" s="641" t="s">
        <v>927</v>
      </c>
      <c r="E34" s="416"/>
      <c r="F34" s="725"/>
      <c r="G34" s="417"/>
      <c r="H34" s="946"/>
      <c r="I34" s="964"/>
      <c r="J34" s="960"/>
      <c r="K34" s="722">
        <f>SUM(K32:K33)</f>
        <v>500</v>
      </c>
      <c r="L34" s="722"/>
      <c r="M34" s="722">
        <f t="shared" ref="M34" si="9">SUM(M32:M33)</f>
        <v>150323</v>
      </c>
      <c r="N34" s="960"/>
      <c r="O34" s="730">
        <f t="shared" si="8"/>
        <v>150823</v>
      </c>
      <c r="P34" s="726"/>
      <c r="Q34" s="404"/>
      <c r="R34" s="404"/>
      <c r="S34" s="404"/>
      <c r="T34" s="404"/>
      <c r="U34" s="404"/>
      <c r="V34" s="404"/>
      <c r="W34" s="404"/>
      <c r="X34" s="404"/>
      <c r="Y34" s="404"/>
      <c r="Z34" s="404"/>
      <c r="AA34" s="404"/>
      <c r="AB34" s="404"/>
      <c r="AC34" s="404"/>
      <c r="AD34" s="404"/>
      <c r="AE34" s="404"/>
      <c r="AF34" s="404"/>
      <c r="AG34" s="404"/>
      <c r="AH34" s="404"/>
      <c r="AI34" s="404"/>
      <c r="AJ34" s="404"/>
      <c r="AK34" s="404"/>
      <c r="AL34" s="404"/>
      <c r="AM34" s="404"/>
      <c r="AN34" s="404"/>
      <c r="AO34" s="404"/>
      <c r="AP34" s="404"/>
      <c r="AQ34" s="404"/>
      <c r="AR34" s="404"/>
      <c r="AS34" s="404"/>
      <c r="AT34" s="404"/>
      <c r="AU34" s="404"/>
      <c r="AV34" s="404"/>
      <c r="AW34" s="404"/>
      <c r="AX34" s="404"/>
      <c r="AY34" s="404"/>
      <c r="AZ34" s="404"/>
      <c r="BA34" s="404"/>
      <c r="BB34" s="404"/>
      <c r="BC34" s="404"/>
      <c r="BD34" s="404"/>
      <c r="BE34" s="404"/>
      <c r="BF34" s="404"/>
      <c r="BG34" s="404"/>
      <c r="BH34" s="404"/>
      <c r="BI34" s="404"/>
      <c r="BJ34" s="404"/>
      <c r="BK34" s="404"/>
      <c r="BL34" s="404"/>
      <c r="BM34" s="404"/>
      <c r="BN34" s="404"/>
      <c r="BO34" s="404"/>
      <c r="BP34" s="404"/>
      <c r="BQ34" s="404"/>
      <c r="BR34" s="404"/>
      <c r="BS34" s="404"/>
      <c r="BT34" s="404"/>
      <c r="BU34" s="404"/>
      <c r="BV34" s="404"/>
      <c r="BW34" s="404"/>
      <c r="BX34" s="404"/>
      <c r="BY34" s="404"/>
      <c r="BZ34" s="404"/>
      <c r="CA34" s="404"/>
      <c r="CB34" s="404"/>
      <c r="CC34" s="404"/>
      <c r="CD34" s="404"/>
      <c r="CE34" s="404"/>
      <c r="CF34" s="404"/>
      <c r="CG34" s="404"/>
      <c r="CH34" s="404"/>
      <c r="CI34" s="404"/>
      <c r="CJ34" s="404"/>
      <c r="CK34" s="404"/>
      <c r="CL34" s="404"/>
      <c r="CM34" s="404"/>
      <c r="CN34" s="404"/>
      <c r="CO34" s="404"/>
      <c r="CP34" s="404"/>
      <c r="CQ34" s="404"/>
      <c r="CR34" s="404"/>
      <c r="CS34" s="404"/>
      <c r="CT34" s="404"/>
      <c r="CU34" s="404"/>
      <c r="CV34" s="404"/>
      <c r="CW34" s="404"/>
      <c r="CX34" s="404"/>
      <c r="CY34" s="404"/>
      <c r="CZ34" s="404"/>
      <c r="DA34" s="404"/>
      <c r="DB34" s="404"/>
      <c r="DC34" s="404"/>
      <c r="DD34" s="404"/>
      <c r="DE34" s="404"/>
      <c r="DF34" s="404"/>
      <c r="DG34" s="404"/>
      <c r="DH34" s="404"/>
      <c r="DI34" s="404"/>
      <c r="DJ34" s="404"/>
      <c r="DK34" s="404"/>
      <c r="DL34" s="404"/>
      <c r="DM34" s="404"/>
      <c r="DN34" s="404"/>
      <c r="DO34" s="404"/>
      <c r="DP34" s="404"/>
      <c r="DQ34" s="404"/>
      <c r="DR34" s="404"/>
      <c r="DS34" s="404"/>
      <c r="DT34" s="404"/>
      <c r="DU34" s="404"/>
      <c r="DV34" s="404"/>
      <c r="DW34" s="404"/>
      <c r="DX34" s="404"/>
      <c r="DY34" s="404"/>
      <c r="DZ34" s="404"/>
      <c r="EA34" s="404"/>
      <c r="EB34" s="404"/>
      <c r="EC34" s="404"/>
      <c r="ED34" s="404"/>
      <c r="EE34" s="404"/>
      <c r="EF34" s="404"/>
      <c r="EG34" s="404"/>
      <c r="EH34" s="404"/>
      <c r="EI34" s="404"/>
      <c r="EJ34" s="404"/>
      <c r="EK34" s="404"/>
      <c r="EL34" s="404"/>
      <c r="EM34" s="404"/>
      <c r="EN34" s="404"/>
      <c r="EO34" s="404"/>
      <c r="EP34" s="404"/>
      <c r="EQ34" s="404"/>
      <c r="ER34" s="404"/>
      <c r="ES34" s="404"/>
      <c r="ET34" s="404"/>
      <c r="EU34" s="404"/>
      <c r="EV34" s="404"/>
      <c r="EW34" s="404"/>
      <c r="EX34" s="404"/>
      <c r="EY34" s="404"/>
      <c r="EZ34" s="404"/>
      <c r="FA34" s="404"/>
      <c r="FB34" s="404"/>
      <c r="FC34" s="404"/>
      <c r="FD34" s="404"/>
      <c r="FE34" s="404"/>
      <c r="FF34" s="404"/>
      <c r="FG34" s="404"/>
      <c r="FH34" s="404"/>
      <c r="FI34" s="404"/>
      <c r="FJ34" s="404"/>
      <c r="FK34" s="404"/>
      <c r="FL34" s="404"/>
      <c r="FM34" s="404"/>
      <c r="FN34" s="404"/>
      <c r="FO34" s="404"/>
      <c r="FP34" s="404"/>
      <c r="FQ34" s="404"/>
      <c r="FR34" s="404"/>
      <c r="FS34" s="404"/>
      <c r="FT34" s="404"/>
      <c r="FU34" s="404"/>
      <c r="FV34" s="404"/>
      <c r="FW34" s="404"/>
      <c r="FX34" s="404"/>
      <c r="FY34" s="404"/>
      <c r="FZ34" s="404"/>
      <c r="GA34" s="404"/>
      <c r="GB34" s="404"/>
      <c r="GC34" s="404"/>
      <c r="GD34" s="404"/>
      <c r="GE34" s="404"/>
      <c r="GF34" s="404"/>
      <c r="GG34" s="404"/>
      <c r="GH34" s="404"/>
      <c r="GI34" s="404"/>
      <c r="GJ34" s="404"/>
      <c r="GK34" s="404"/>
      <c r="GL34" s="404"/>
      <c r="GM34" s="404"/>
      <c r="GN34" s="404"/>
      <c r="GO34" s="404"/>
      <c r="GP34" s="404"/>
      <c r="GQ34" s="404"/>
      <c r="GR34" s="404"/>
      <c r="GS34" s="404"/>
      <c r="GT34" s="404"/>
      <c r="GU34" s="404"/>
      <c r="GV34" s="404"/>
      <c r="GW34" s="404"/>
      <c r="GX34" s="404"/>
      <c r="GY34" s="404"/>
      <c r="GZ34" s="404"/>
      <c r="HA34" s="404"/>
      <c r="HB34" s="404"/>
      <c r="HC34" s="404"/>
      <c r="HD34" s="404"/>
      <c r="HE34" s="404"/>
      <c r="HF34" s="404"/>
      <c r="HG34" s="404"/>
      <c r="HH34" s="404"/>
      <c r="HI34" s="404"/>
      <c r="HJ34" s="404"/>
      <c r="HK34" s="404"/>
      <c r="HL34" s="404"/>
      <c r="HM34" s="404"/>
      <c r="HN34" s="404"/>
      <c r="HO34" s="404"/>
      <c r="HP34" s="404"/>
      <c r="HQ34" s="404"/>
      <c r="HR34" s="404"/>
      <c r="HS34" s="404"/>
      <c r="HT34" s="404"/>
      <c r="HU34" s="404"/>
      <c r="HV34" s="404"/>
      <c r="HW34" s="404"/>
      <c r="HX34" s="404"/>
      <c r="HY34" s="404"/>
      <c r="HZ34" s="404"/>
      <c r="IA34" s="404"/>
      <c r="IB34" s="404"/>
      <c r="IC34" s="404"/>
      <c r="ID34" s="404"/>
      <c r="IE34" s="404"/>
      <c r="IF34" s="404"/>
      <c r="IG34" s="404"/>
      <c r="IH34" s="404"/>
      <c r="II34" s="404"/>
      <c r="IJ34" s="404"/>
      <c r="IK34" s="404"/>
      <c r="IL34" s="404"/>
      <c r="IM34" s="404"/>
      <c r="IN34" s="404"/>
      <c r="IO34" s="404"/>
      <c r="IP34" s="404"/>
      <c r="IQ34" s="404"/>
      <c r="IR34" s="404"/>
      <c r="IS34" s="404"/>
      <c r="IT34" s="404"/>
      <c r="IU34" s="404"/>
      <c r="IV34" s="404"/>
    </row>
    <row r="35" spans="1:256" s="721" customFormat="1" x14ac:dyDescent="0.35">
      <c r="A35" s="735">
        <v>26</v>
      </c>
      <c r="B35" s="602"/>
      <c r="C35" s="447">
        <v>7</v>
      </c>
      <c r="D35" s="733" t="s">
        <v>529</v>
      </c>
      <c r="E35" s="416"/>
      <c r="F35" s="725"/>
      <c r="G35" s="417"/>
      <c r="H35" s="946" t="s">
        <v>24</v>
      </c>
      <c r="I35" s="964"/>
      <c r="J35" s="960"/>
      <c r="K35" s="960"/>
      <c r="L35" s="960"/>
      <c r="M35" s="960"/>
      <c r="N35" s="960"/>
      <c r="O35" s="730"/>
      <c r="P35" s="726"/>
      <c r="Q35" s="404"/>
      <c r="R35" s="404"/>
      <c r="S35" s="404"/>
      <c r="T35" s="404"/>
      <c r="U35" s="404"/>
      <c r="V35" s="404"/>
      <c r="W35" s="404"/>
      <c r="X35" s="404"/>
      <c r="Y35" s="404"/>
      <c r="Z35" s="404"/>
      <c r="AA35" s="404"/>
      <c r="AB35" s="404"/>
      <c r="AC35" s="404"/>
      <c r="AD35" s="404"/>
      <c r="AE35" s="404"/>
      <c r="AF35" s="404"/>
      <c r="AG35" s="404"/>
      <c r="AH35" s="404"/>
      <c r="AI35" s="404"/>
      <c r="AJ35" s="404"/>
      <c r="AK35" s="404"/>
      <c r="AL35" s="404"/>
      <c r="AM35" s="404"/>
      <c r="AN35" s="404"/>
      <c r="AO35" s="404"/>
      <c r="AP35" s="404"/>
      <c r="AQ35" s="404"/>
      <c r="AR35" s="404"/>
      <c r="AS35" s="404"/>
      <c r="AT35" s="404"/>
      <c r="AU35" s="404"/>
      <c r="AV35" s="404"/>
      <c r="AW35" s="404"/>
      <c r="AX35" s="404"/>
      <c r="AY35" s="404"/>
      <c r="AZ35" s="404"/>
      <c r="BA35" s="404"/>
      <c r="BB35" s="404"/>
      <c r="BC35" s="404"/>
      <c r="BD35" s="404"/>
      <c r="BE35" s="404"/>
      <c r="BF35" s="404"/>
      <c r="BG35" s="404"/>
      <c r="BH35" s="404"/>
      <c r="BI35" s="404"/>
      <c r="BJ35" s="404"/>
      <c r="BK35" s="404"/>
      <c r="BL35" s="404"/>
      <c r="BM35" s="404"/>
      <c r="BN35" s="404"/>
      <c r="BO35" s="404"/>
      <c r="BP35" s="404"/>
      <c r="BQ35" s="404"/>
      <c r="BR35" s="404"/>
      <c r="BS35" s="404"/>
      <c r="BT35" s="404"/>
      <c r="BU35" s="404"/>
      <c r="BV35" s="404"/>
      <c r="BW35" s="404"/>
      <c r="BX35" s="404"/>
      <c r="BY35" s="404"/>
      <c r="BZ35" s="404"/>
      <c r="CA35" s="404"/>
      <c r="CB35" s="404"/>
      <c r="CC35" s="404"/>
      <c r="CD35" s="404"/>
      <c r="CE35" s="404"/>
      <c r="CF35" s="404"/>
      <c r="CG35" s="404"/>
      <c r="CH35" s="404"/>
      <c r="CI35" s="404"/>
      <c r="CJ35" s="404"/>
      <c r="CK35" s="404"/>
      <c r="CL35" s="404"/>
      <c r="CM35" s="404"/>
      <c r="CN35" s="404"/>
      <c r="CO35" s="404"/>
      <c r="CP35" s="404"/>
      <c r="CQ35" s="404"/>
      <c r="CR35" s="404"/>
      <c r="CS35" s="404"/>
      <c r="CT35" s="404"/>
      <c r="CU35" s="404"/>
      <c r="CV35" s="404"/>
      <c r="CW35" s="404"/>
      <c r="CX35" s="404"/>
      <c r="CY35" s="404"/>
      <c r="CZ35" s="404"/>
      <c r="DA35" s="404"/>
      <c r="DB35" s="404"/>
      <c r="DC35" s="404"/>
      <c r="DD35" s="404"/>
      <c r="DE35" s="404"/>
      <c r="DF35" s="404"/>
      <c r="DG35" s="404"/>
      <c r="DH35" s="404"/>
      <c r="DI35" s="404"/>
      <c r="DJ35" s="404"/>
      <c r="DK35" s="404"/>
      <c r="DL35" s="404"/>
      <c r="DM35" s="404"/>
      <c r="DN35" s="404"/>
      <c r="DO35" s="404"/>
      <c r="DP35" s="404"/>
      <c r="DQ35" s="404"/>
      <c r="DR35" s="404"/>
      <c r="DS35" s="404"/>
      <c r="DT35" s="404"/>
      <c r="DU35" s="404"/>
      <c r="DV35" s="404"/>
      <c r="DW35" s="404"/>
      <c r="DX35" s="404"/>
      <c r="DY35" s="404"/>
      <c r="DZ35" s="404"/>
      <c r="EA35" s="404"/>
      <c r="EB35" s="404"/>
      <c r="EC35" s="404"/>
      <c r="ED35" s="404"/>
      <c r="EE35" s="404"/>
      <c r="EF35" s="404"/>
      <c r="EG35" s="404"/>
      <c r="EH35" s="404"/>
      <c r="EI35" s="404"/>
      <c r="EJ35" s="404"/>
      <c r="EK35" s="404"/>
      <c r="EL35" s="404"/>
      <c r="EM35" s="404"/>
      <c r="EN35" s="404"/>
      <c r="EO35" s="404"/>
      <c r="EP35" s="404"/>
      <c r="EQ35" s="404"/>
      <c r="ER35" s="404"/>
      <c r="ES35" s="404"/>
      <c r="ET35" s="404"/>
      <c r="EU35" s="404"/>
      <c r="EV35" s="404"/>
      <c r="EW35" s="404"/>
      <c r="EX35" s="404"/>
      <c r="EY35" s="404"/>
      <c r="EZ35" s="404"/>
      <c r="FA35" s="404"/>
      <c r="FB35" s="404"/>
      <c r="FC35" s="404"/>
      <c r="FD35" s="404"/>
      <c r="FE35" s="404"/>
      <c r="FF35" s="404"/>
      <c r="FG35" s="404"/>
      <c r="FH35" s="404"/>
      <c r="FI35" s="404"/>
      <c r="FJ35" s="404"/>
      <c r="FK35" s="404"/>
      <c r="FL35" s="404"/>
      <c r="FM35" s="404"/>
      <c r="FN35" s="404"/>
      <c r="FO35" s="404"/>
      <c r="FP35" s="404"/>
      <c r="FQ35" s="404"/>
      <c r="FR35" s="404"/>
      <c r="FS35" s="404"/>
      <c r="FT35" s="404"/>
      <c r="FU35" s="404"/>
      <c r="FV35" s="404"/>
      <c r="FW35" s="404"/>
      <c r="FX35" s="404"/>
      <c r="FY35" s="404"/>
      <c r="FZ35" s="404"/>
      <c r="GA35" s="404"/>
      <c r="GB35" s="404"/>
      <c r="GC35" s="404"/>
      <c r="GD35" s="404"/>
      <c r="GE35" s="404"/>
      <c r="GF35" s="404"/>
      <c r="GG35" s="404"/>
      <c r="GH35" s="404"/>
      <c r="GI35" s="404"/>
      <c r="GJ35" s="404"/>
      <c r="GK35" s="404"/>
      <c r="GL35" s="404"/>
      <c r="GM35" s="404"/>
      <c r="GN35" s="404"/>
      <c r="GO35" s="404"/>
      <c r="GP35" s="404"/>
      <c r="GQ35" s="404"/>
      <c r="GR35" s="404"/>
      <c r="GS35" s="404"/>
      <c r="GT35" s="404"/>
      <c r="GU35" s="404"/>
      <c r="GV35" s="404"/>
      <c r="GW35" s="404"/>
      <c r="GX35" s="404"/>
      <c r="GY35" s="404"/>
      <c r="GZ35" s="404"/>
      <c r="HA35" s="404"/>
      <c r="HB35" s="404"/>
      <c r="HC35" s="404"/>
      <c r="HD35" s="404"/>
      <c r="HE35" s="404"/>
      <c r="HF35" s="404"/>
      <c r="HG35" s="404"/>
      <c r="HH35" s="404"/>
      <c r="HI35" s="404"/>
      <c r="HJ35" s="404"/>
      <c r="HK35" s="404"/>
      <c r="HL35" s="404"/>
      <c r="HM35" s="404"/>
      <c r="HN35" s="404"/>
      <c r="HO35" s="404"/>
      <c r="HP35" s="404"/>
      <c r="HQ35" s="404"/>
      <c r="HR35" s="404"/>
      <c r="HS35" s="404"/>
      <c r="HT35" s="404"/>
      <c r="HU35" s="404"/>
      <c r="HV35" s="404"/>
      <c r="HW35" s="404"/>
      <c r="HX35" s="404"/>
      <c r="HY35" s="404"/>
      <c r="HZ35" s="404"/>
      <c r="IA35" s="404"/>
      <c r="IB35" s="404"/>
      <c r="IC35" s="404"/>
      <c r="ID35" s="404"/>
      <c r="IE35" s="404"/>
      <c r="IF35" s="404"/>
      <c r="IG35" s="404"/>
      <c r="IH35" s="404"/>
      <c r="II35" s="404"/>
      <c r="IJ35" s="404"/>
      <c r="IK35" s="404"/>
      <c r="IL35" s="404"/>
      <c r="IM35" s="404"/>
      <c r="IN35" s="404"/>
      <c r="IO35" s="404"/>
      <c r="IP35" s="404"/>
      <c r="IQ35" s="404"/>
      <c r="IR35" s="404"/>
      <c r="IS35" s="404"/>
      <c r="IT35" s="404"/>
      <c r="IU35" s="404"/>
      <c r="IV35" s="404"/>
    </row>
    <row r="36" spans="1:256" s="721" customFormat="1" x14ac:dyDescent="0.35">
      <c r="A36" s="735">
        <v>27</v>
      </c>
      <c r="B36" s="729"/>
      <c r="C36" s="406"/>
      <c r="D36" s="1735" t="s">
        <v>292</v>
      </c>
      <c r="E36" s="416">
        <f>F36+G36+O38+P36</f>
        <v>957296</v>
      </c>
      <c r="F36" s="725">
        <v>820</v>
      </c>
      <c r="G36" s="417">
        <v>202384</v>
      </c>
      <c r="H36" s="946"/>
      <c r="I36" s="964"/>
      <c r="J36" s="960"/>
      <c r="K36" s="960">
        <v>564</v>
      </c>
      <c r="L36" s="960"/>
      <c r="M36" s="960">
        <v>753528</v>
      </c>
      <c r="N36" s="960"/>
      <c r="O36" s="930">
        <f>SUM(I36:N36)</f>
        <v>754092</v>
      </c>
      <c r="P36" s="726"/>
      <c r="Q36" s="404"/>
      <c r="R36" s="404"/>
      <c r="S36" s="404"/>
      <c r="T36" s="404"/>
      <c r="U36" s="404"/>
      <c r="V36" s="404"/>
      <c r="W36" s="404"/>
      <c r="X36" s="404"/>
      <c r="Y36" s="404"/>
      <c r="Z36" s="404"/>
      <c r="AA36" s="404"/>
      <c r="AB36" s="404"/>
      <c r="AC36" s="404"/>
      <c r="AD36" s="404"/>
      <c r="AE36" s="404"/>
      <c r="AF36" s="404"/>
      <c r="AG36" s="404"/>
      <c r="AH36" s="404"/>
      <c r="AI36" s="404"/>
      <c r="AJ36" s="404"/>
      <c r="AK36" s="404"/>
      <c r="AL36" s="404"/>
      <c r="AM36" s="404"/>
      <c r="AN36" s="404"/>
      <c r="AO36" s="404"/>
      <c r="AP36" s="404"/>
      <c r="AQ36" s="404"/>
      <c r="AR36" s="404"/>
      <c r="AS36" s="404"/>
      <c r="AT36" s="404"/>
      <c r="AU36" s="404"/>
      <c r="AV36" s="404"/>
      <c r="AW36" s="404"/>
      <c r="AX36" s="404"/>
      <c r="AY36" s="404"/>
      <c r="AZ36" s="404"/>
      <c r="BA36" s="404"/>
      <c r="BB36" s="404"/>
      <c r="BC36" s="404"/>
      <c r="BD36" s="404"/>
      <c r="BE36" s="404"/>
      <c r="BF36" s="404"/>
      <c r="BG36" s="404"/>
      <c r="BH36" s="404"/>
      <c r="BI36" s="404"/>
      <c r="BJ36" s="404"/>
      <c r="BK36" s="404"/>
      <c r="BL36" s="404"/>
      <c r="BM36" s="404"/>
      <c r="BN36" s="404"/>
      <c r="BO36" s="404"/>
      <c r="BP36" s="404"/>
      <c r="BQ36" s="404"/>
      <c r="BR36" s="404"/>
      <c r="BS36" s="404"/>
      <c r="BT36" s="404"/>
      <c r="BU36" s="404"/>
      <c r="BV36" s="404"/>
      <c r="BW36" s="404"/>
      <c r="BX36" s="404"/>
      <c r="BY36" s="404"/>
      <c r="BZ36" s="404"/>
      <c r="CA36" s="404"/>
      <c r="CB36" s="404"/>
      <c r="CC36" s="404"/>
      <c r="CD36" s="404"/>
      <c r="CE36" s="404"/>
      <c r="CF36" s="404"/>
      <c r="CG36" s="404"/>
      <c r="CH36" s="404"/>
      <c r="CI36" s="404"/>
      <c r="CJ36" s="404"/>
      <c r="CK36" s="404"/>
      <c r="CL36" s="404"/>
      <c r="CM36" s="404"/>
      <c r="CN36" s="404"/>
      <c r="CO36" s="404"/>
      <c r="CP36" s="404"/>
      <c r="CQ36" s="404"/>
      <c r="CR36" s="404"/>
      <c r="CS36" s="404"/>
      <c r="CT36" s="404"/>
      <c r="CU36" s="404"/>
      <c r="CV36" s="404"/>
      <c r="CW36" s="404"/>
      <c r="CX36" s="404"/>
      <c r="CY36" s="404"/>
      <c r="CZ36" s="404"/>
      <c r="DA36" s="404"/>
      <c r="DB36" s="404"/>
      <c r="DC36" s="404"/>
      <c r="DD36" s="404"/>
      <c r="DE36" s="404"/>
      <c r="DF36" s="404"/>
      <c r="DG36" s="404"/>
      <c r="DH36" s="404"/>
      <c r="DI36" s="404"/>
      <c r="DJ36" s="404"/>
      <c r="DK36" s="404"/>
      <c r="DL36" s="404"/>
      <c r="DM36" s="404"/>
      <c r="DN36" s="404"/>
      <c r="DO36" s="404"/>
      <c r="DP36" s="404"/>
      <c r="DQ36" s="404"/>
      <c r="DR36" s="404"/>
      <c r="DS36" s="404"/>
      <c r="DT36" s="404"/>
      <c r="DU36" s="404"/>
      <c r="DV36" s="404"/>
      <c r="DW36" s="404"/>
      <c r="DX36" s="404"/>
      <c r="DY36" s="404"/>
      <c r="DZ36" s="404"/>
      <c r="EA36" s="404"/>
      <c r="EB36" s="404"/>
      <c r="EC36" s="404"/>
      <c r="ED36" s="404"/>
      <c r="EE36" s="404"/>
      <c r="EF36" s="404"/>
      <c r="EG36" s="404"/>
      <c r="EH36" s="404"/>
      <c r="EI36" s="404"/>
      <c r="EJ36" s="404"/>
      <c r="EK36" s="404"/>
      <c r="EL36" s="404"/>
      <c r="EM36" s="404"/>
      <c r="EN36" s="404"/>
      <c r="EO36" s="404"/>
      <c r="EP36" s="404"/>
      <c r="EQ36" s="404"/>
      <c r="ER36" s="404"/>
      <c r="ES36" s="404"/>
      <c r="ET36" s="404"/>
      <c r="EU36" s="404"/>
      <c r="EV36" s="404"/>
      <c r="EW36" s="404"/>
      <c r="EX36" s="404"/>
      <c r="EY36" s="404"/>
      <c r="EZ36" s="404"/>
      <c r="FA36" s="404"/>
      <c r="FB36" s="404"/>
      <c r="FC36" s="404"/>
      <c r="FD36" s="404"/>
      <c r="FE36" s="404"/>
      <c r="FF36" s="404"/>
      <c r="FG36" s="404"/>
      <c r="FH36" s="404"/>
      <c r="FI36" s="404"/>
      <c r="FJ36" s="404"/>
      <c r="FK36" s="404"/>
      <c r="FL36" s="404"/>
      <c r="FM36" s="404"/>
      <c r="FN36" s="404"/>
      <c r="FO36" s="404"/>
      <c r="FP36" s="404"/>
      <c r="FQ36" s="404"/>
      <c r="FR36" s="404"/>
      <c r="FS36" s="404"/>
      <c r="FT36" s="404"/>
      <c r="FU36" s="404"/>
      <c r="FV36" s="404"/>
      <c r="FW36" s="404"/>
      <c r="FX36" s="404"/>
      <c r="FY36" s="404"/>
      <c r="FZ36" s="404"/>
      <c r="GA36" s="404"/>
      <c r="GB36" s="404"/>
      <c r="GC36" s="404"/>
      <c r="GD36" s="404"/>
      <c r="GE36" s="404"/>
      <c r="GF36" s="404"/>
      <c r="GG36" s="404"/>
      <c r="GH36" s="404"/>
      <c r="GI36" s="404"/>
      <c r="GJ36" s="404"/>
      <c r="GK36" s="404"/>
      <c r="GL36" s="404"/>
      <c r="GM36" s="404"/>
      <c r="GN36" s="404"/>
      <c r="GO36" s="404"/>
      <c r="GP36" s="404"/>
      <c r="GQ36" s="404"/>
      <c r="GR36" s="404"/>
      <c r="GS36" s="404"/>
      <c r="GT36" s="404"/>
      <c r="GU36" s="404"/>
      <c r="GV36" s="404"/>
      <c r="GW36" s="404"/>
      <c r="GX36" s="404"/>
      <c r="GY36" s="404"/>
      <c r="GZ36" s="404"/>
      <c r="HA36" s="404"/>
      <c r="HB36" s="404"/>
      <c r="HC36" s="404"/>
      <c r="HD36" s="404"/>
      <c r="HE36" s="404"/>
      <c r="HF36" s="404"/>
      <c r="HG36" s="404"/>
      <c r="HH36" s="404"/>
      <c r="HI36" s="404"/>
      <c r="HJ36" s="404"/>
      <c r="HK36" s="404"/>
      <c r="HL36" s="404"/>
      <c r="HM36" s="404"/>
      <c r="HN36" s="404"/>
      <c r="HO36" s="404"/>
      <c r="HP36" s="404"/>
      <c r="HQ36" s="404"/>
      <c r="HR36" s="404"/>
      <c r="HS36" s="404"/>
      <c r="HT36" s="404"/>
      <c r="HU36" s="404"/>
      <c r="HV36" s="404"/>
      <c r="HW36" s="404"/>
      <c r="HX36" s="404"/>
      <c r="HY36" s="404"/>
      <c r="HZ36" s="404"/>
      <c r="IA36" s="404"/>
      <c r="IB36" s="404"/>
      <c r="IC36" s="404"/>
      <c r="ID36" s="404"/>
      <c r="IE36" s="404"/>
      <c r="IF36" s="404"/>
      <c r="IG36" s="404"/>
      <c r="IH36" s="404"/>
      <c r="II36" s="404"/>
      <c r="IJ36" s="404"/>
      <c r="IK36" s="404"/>
      <c r="IL36" s="404"/>
      <c r="IM36" s="404"/>
      <c r="IN36" s="404"/>
      <c r="IO36" s="404"/>
      <c r="IP36" s="404"/>
      <c r="IQ36" s="404"/>
      <c r="IR36" s="404"/>
      <c r="IS36" s="404"/>
      <c r="IT36" s="404"/>
      <c r="IU36" s="404"/>
      <c r="IV36" s="404"/>
    </row>
    <row r="37" spans="1:256" s="721" customFormat="1" x14ac:dyDescent="0.35">
      <c r="A37" s="735">
        <v>28</v>
      </c>
      <c r="B37" s="729"/>
      <c r="C37" s="406"/>
      <c r="D37" s="1499" t="s">
        <v>929</v>
      </c>
      <c r="E37" s="416"/>
      <c r="F37" s="725"/>
      <c r="G37" s="417"/>
      <c r="H37" s="946"/>
      <c r="I37" s="964"/>
      <c r="J37" s="960"/>
      <c r="K37" s="960"/>
      <c r="L37" s="960"/>
      <c r="M37" s="960"/>
      <c r="N37" s="960"/>
      <c r="O37" s="1740">
        <f t="shared" ref="O37:O38" si="10">SUM(I37:N37)</f>
        <v>0</v>
      </c>
      <c r="P37" s="726"/>
      <c r="Q37" s="404"/>
      <c r="R37" s="404"/>
      <c r="S37" s="404"/>
      <c r="T37" s="404"/>
      <c r="U37" s="404"/>
      <c r="V37" s="404"/>
      <c r="W37" s="404"/>
      <c r="X37" s="404"/>
      <c r="Y37" s="404"/>
      <c r="Z37" s="404"/>
      <c r="AA37" s="404"/>
      <c r="AB37" s="404"/>
      <c r="AC37" s="404"/>
      <c r="AD37" s="404"/>
      <c r="AE37" s="404"/>
      <c r="AF37" s="404"/>
      <c r="AG37" s="404"/>
      <c r="AH37" s="404"/>
      <c r="AI37" s="404"/>
      <c r="AJ37" s="404"/>
      <c r="AK37" s="404"/>
      <c r="AL37" s="404"/>
      <c r="AM37" s="404"/>
      <c r="AN37" s="404"/>
      <c r="AO37" s="404"/>
      <c r="AP37" s="404"/>
      <c r="AQ37" s="404"/>
      <c r="AR37" s="404"/>
      <c r="AS37" s="404"/>
      <c r="AT37" s="404"/>
      <c r="AU37" s="404"/>
      <c r="AV37" s="404"/>
      <c r="AW37" s="404"/>
      <c r="AX37" s="404"/>
      <c r="AY37" s="404"/>
      <c r="AZ37" s="404"/>
      <c r="BA37" s="404"/>
      <c r="BB37" s="404"/>
      <c r="BC37" s="404"/>
      <c r="BD37" s="404"/>
      <c r="BE37" s="404"/>
      <c r="BF37" s="404"/>
      <c r="BG37" s="404"/>
      <c r="BH37" s="404"/>
      <c r="BI37" s="404"/>
      <c r="BJ37" s="404"/>
      <c r="BK37" s="404"/>
      <c r="BL37" s="404"/>
      <c r="BM37" s="404"/>
      <c r="BN37" s="404"/>
      <c r="BO37" s="404"/>
      <c r="BP37" s="404"/>
      <c r="BQ37" s="404"/>
      <c r="BR37" s="404"/>
      <c r="BS37" s="404"/>
      <c r="BT37" s="404"/>
      <c r="BU37" s="404"/>
      <c r="BV37" s="404"/>
      <c r="BW37" s="404"/>
      <c r="BX37" s="404"/>
      <c r="BY37" s="404"/>
      <c r="BZ37" s="404"/>
      <c r="CA37" s="404"/>
      <c r="CB37" s="404"/>
      <c r="CC37" s="404"/>
      <c r="CD37" s="404"/>
      <c r="CE37" s="404"/>
      <c r="CF37" s="404"/>
      <c r="CG37" s="404"/>
      <c r="CH37" s="404"/>
      <c r="CI37" s="404"/>
      <c r="CJ37" s="404"/>
      <c r="CK37" s="404"/>
      <c r="CL37" s="404"/>
      <c r="CM37" s="404"/>
      <c r="CN37" s="404"/>
      <c r="CO37" s="404"/>
      <c r="CP37" s="404"/>
      <c r="CQ37" s="404"/>
      <c r="CR37" s="404"/>
      <c r="CS37" s="404"/>
      <c r="CT37" s="404"/>
      <c r="CU37" s="404"/>
      <c r="CV37" s="404"/>
      <c r="CW37" s="404"/>
      <c r="CX37" s="404"/>
      <c r="CY37" s="404"/>
      <c r="CZ37" s="404"/>
      <c r="DA37" s="404"/>
      <c r="DB37" s="404"/>
      <c r="DC37" s="404"/>
      <c r="DD37" s="404"/>
      <c r="DE37" s="404"/>
      <c r="DF37" s="404"/>
      <c r="DG37" s="404"/>
      <c r="DH37" s="404"/>
      <c r="DI37" s="404"/>
      <c r="DJ37" s="404"/>
      <c r="DK37" s="404"/>
      <c r="DL37" s="404"/>
      <c r="DM37" s="404"/>
      <c r="DN37" s="404"/>
      <c r="DO37" s="404"/>
      <c r="DP37" s="404"/>
      <c r="DQ37" s="404"/>
      <c r="DR37" s="404"/>
      <c r="DS37" s="404"/>
      <c r="DT37" s="404"/>
      <c r="DU37" s="404"/>
      <c r="DV37" s="404"/>
      <c r="DW37" s="404"/>
      <c r="DX37" s="404"/>
      <c r="DY37" s="404"/>
      <c r="DZ37" s="404"/>
      <c r="EA37" s="404"/>
      <c r="EB37" s="404"/>
      <c r="EC37" s="404"/>
      <c r="ED37" s="404"/>
      <c r="EE37" s="404"/>
      <c r="EF37" s="404"/>
      <c r="EG37" s="404"/>
      <c r="EH37" s="404"/>
      <c r="EI37" s="404"/>
      <c r="EJ37" s="404"/>
      <c r="EK37" s="404"/>
      <c r="EL37" s="404"/>
      <c r="EM37" s="404"/>
      <c r="EN37" s="404"/>
      <c r="EO37" s="404"/>
      <c r="EP37" s="404"/>
      <c r="EQ37" s="404"/>
      <c r="ER37" s="404"/>
      <c r="ES37" s="404"/>
      <c r="ET37" s="404"/>
      <c r="EU37" s="404"/>
      <c r="EV37" s="404"/>
      <c r="EW37" s="404"/>
      <c r="EX37" s="404"/>
      <c r="EY37" s="404"/>
      <c r="EZ37" s="404"/>
      <c r="FA37" s="404"/>
      <c r="FB37" s="404"/>
      <c r="FC37" s="404"/>
      <c r="FD37" s="404"/>
      <c r="FE37" s="404"/>
      <c r="FF37" s="404"/>
      <c r="FG37" s="404"/>
      <c r="FH37" s="404"/>
      <c r="FI37" s="404"/>
      <c r="FJ37" s="404"/>
      <c r="FK37" s="404"/>
      <c r="FL37" s="404"/>
      <c r="FM37" s="404"/>
      <c r="FN37" s="404"/>
      <c r="FO37" s="404"/>
      <c r="FP37" s="404"/>
      <c r="FQ37" s="404"/>
      <c r="FR37" s="404"/>
      <c r="FS37" s="404"/>
      <c r="FT37" s="404"/>
      <c r="FU37" s="404"/>
      <c r="FV37" s="404"/>
      <c r="FW37" s="404"/>
      <c r="FX37" s="404"/>
      <c r="FY37" s="404"/>
      <c r="FZ37" s="404"/>
      <c r="GA37" s="404"/>
      <c r="GB37" s="404"/>
      <c r="GC37" s="404"/>
      <c r="GD37" s="404"/>
      <c r="GE37" s="404"/>
      <c r="GF37" s="404"/>
      <c r="GG37" s="404"/>
      <c r="GH37" s="404"/>
      <c r="GI37" s="404"/>
      <c r="GJ37" s="404"/>
      <c r="GK37" s="404"/>
      <c r="GL37" s="404"/>
      <c r="GM37" s="404"/>
      <c r="GN37" s="404"/>
      <c r="GO37" s="404"/>
      <c r="GP37" s="404"/>
      <c r="GQ37" s="404"/>
      <c r="GR37" s="404"/>
      <c r="GS37" s="404"/>
      <c r="GT37" s="404"/>
      <c r="GU37" s="404"/>
      <c r="GV37" s="404"/>
      <c r="GW37" s="404"/>
      <c r="GX37" s="404"/>
      <c r="GY37" s="404"/>
      <c r="GZ37" s="404"/>
      <c r="HA37" s="404"/>
      <c r="HB37" s="404"/>
      <c r="HC37" s="404"/>
      <c r="HD37" s="404"/>
      <c r="HE37" s="404"/>
      <c r="HF37" s="404"/>
      <c r="HG37" s="404"/>
      <c r="HH37" s="404"/>
      <c r="HI37" s="404"/>
      <c r="HJ37" s="404"/>
      <c r="HK37" s="404"/>
      <c r="HL37" s="404"/>
      <c r="HM37" s="404"/>
      <c r="HN37" s="404"/>
      <c r="HO37" s="404"/>
      <c r="HP37" s="404"/>
      <c r="HQ37" s="404"/>
      <c r="HR37" s="404"/>
      <c r="HS37" s="404"/>
      <c r="HT37" s="404"/>
      <c r="HU37" s="404"/>
      <c r="HV37" s="404"/>
      <c r="HW37" s="404"/>
      <c r="HX37" s="404"/>
      <c r="HY37" s="404"/>
      <c r="HZ37" s="404"/>
      <c r="IA37" s="404"/>
      <c r="IB37" s="404"/>
      <c r="IC37" s="404"/>
      <c r="ID37" s="404"/>
      <c r="IE37" s="404"/>
      <c r="IF37" s="404"/>
      <c r="IG37" s="404"/>
      <c r="IH37" s="404"/>
      <c r="II37" s="404"/>
      <c r="IJ37" s="404"/>
      <c r="IK37" s="404"/>
      <c r="IL37" s="404"/>
      <c r="IM37" s="404"/>
      <c r="IN37" s="404"/>
      <c r="IO37" s="404"/>
      <c r="IP37" s="404"/>
      <c r="IQ37" s="404"/>
      <c r="IR37" s="404"/>
      <c r="IS37" s="404"/>
      <c r="IT37" s="404"/>
      <c r="IU37" s="404"/>
      <c r="IV37" s="404"/>
    </row>
    <row r="38" spans="1:256" s="721" customFormat="1" x14ac:dyDescent="0.35">
      <c r="A38" s="735">
        <v>29</v>
      </c>
      <c r="B38" s="729"/>
      <c r="C38" s="406"/>
      <c r="D38" s="641" t="s">
        <v>927</v>
      </c>
      <c r="E38" s="416"/>
      <c r="F38" s="725"/>
      <c r="G38" s="417"/>
      <c r="H38" s="946"/>
      <c r="I38" s="964"/>
      <c r="J38" s="960"/>
      <c r="K38" s="722">
        <f>SUM(K36:K37)</f>
        <v>564</v>
      </c>
      <c r="L38" s="722"/>
      <c r="M38" s="722">
        <f t="shared" ref="M38" si="11">SUM(M36:M37)</f>
        <v>753528</v>
      </c>
      <c r="N38" s="960"/>
      <c r="O38" s="730">
        <f t="shared" si="10"/>
        <v>754092</v>
      </c>
      <c r="P38" s="726"/>
      <c r="Q38" s="404"/>
      <c r="R38" s="404"/>
      <c r="S38" s="404"/>
      <c r="T38" s="404"/>
      <c r="U38" s="404"/>
      <c r="V38" s="404"/>
      <c r="W38" s="404"/>
      <c r="X38" s="404"/>
      <c r="Y38" s="404"/>
      <c r="Z38" s="404"/>
      <c r="AA38" s="404"/>
      <c r="AB38" s="404"/>
      <c r="AC38" s="404"/>
      <c r="AD38" s="404"/>
      <c r="AE38" s="404"/>
      <c r="AF38" s="404"/>
      <c r="AG38" s="404"/>
      <c r="AH38" s="404"/>
      <c r="AI38" s="404"/>
      <c r="AJ38" s="404"/>
      <c r="AK38" s="404"/>
      <c r="AL38" s="404"/>
      <c r="AM38" s="404"/>
      <c r="AN38" s="404"/>
      <c r="AO38" s="404"/>
      <c r="AP38" s="404"/>
      <c r="AQ38" s="404"/>
      <c r="AR38" s="404"/>
      <c r="AS38" s="404"/>
      <c r="AT38" s="404"/>
      <c r="AU38" s="404"/>
      <c r="AV38" s="404"/>
      <c r="AW38" s="404"/>
      <c r="AX38" s="404"/>
      <c r="AY38" s="404"/>
      <c r="AZ38" s="404"/>
      <c r="BA38" s="404"/>
      <c r="BB38" s="404"/>
      <c r="BC38" s="404"/>
      <c r="BD38" s="404"/>
      <c r="BE38" s="404"/>
      <c r="BF38" s="404"/>
      <c r="BG38" s="404"/>
      <c r="BH38" s="404"/>
      <c r="BI38" s="404"/>
      <c r="BJ38" s="404"/>
      <c r="BK38" s="404"/>
      <c r="BL38" s="404"/>
      <c r="BM38" s="404"/>
      <c r="BN38" s="404"/>
      <c r="BO38" s="404"/>
      <c r="BP38" s="404"/>
      <c r="BQ38" s="404"/>
      <c r="BR38" s="404"/>
      <c r="BS38" s="404"/>
      <c r="BT38" s="404"/>
      <c r="BU38" s="404"/>
      <c r="BV38" s="404"/>
      <c r="BW38" s="404"/>
      <c r="BX38" s="404"/>
      <c r="BY38" s="404"/>
      <c r="BZ38" s="404"/>
      <c r="CA38" s="404"/>
      <c r="CB38" s="404"/>
      <c r="CC38" s="404"/>
      <c r="CD38" s="404"/>
      <c r="CE38" s="404"/>
      <c r="CF38" s="404"/>
      <c r="CG38" s="404"/>
      <c r="CH38" s="404"/>
      <c r="CI38" s="404"/>
      <c r="CJ38" s="404"/>
      <c r="CK38" s="404"/>
      <c r="CL38" s="404"/>
      <c r="CM38" s="404"/>
      <c r="CN38" s="404"/>
      <c r="CO38" s="404"/>
      <c r="CP38" s="404"/>
      <c r="CQ38" s="404"/>
      <c r="CR38" s="404"/>
      <c r="CS38" s="404"/>
      <c r="CT38" s="404"/>
      <c r="CU38" s="404"/>
      <c r="CV38" s="404"/>
      <c r="CW38" s="404"/>
      <c r="CX38" s="404"/>
      <c r="CY38" s="404"/>
      <c r="CZ38" s="404"/>
      <c r="DA38" s="404"/>
      <c r="DB38" s="404"/>
      <c r="DC38" s="404"/>
      <c r="DD38" s="404"/>
      <c r="DE38" s="404"/>
      <c r="DF38" s="404"/>
      <c r="DG38" s="404"/>
      <c r="DH38" s="404"/>
      <c r="DI38" s="404"/>
      <c r="DJ38" s="404"/>
      <c r="DK38" s="404"/>
      <c r="DL38" s="404"/>
      <c r="DM38" s="404"/>
      <c r="DN38" s="404"/>
      <c r="DO38" s="404"/>
      <c r="DP38" s="404"/>
      <c r="DQ38" s="404"/>
      <c r="DR38" s="404"/>
      <c r="DS38" s="404"/>
      <c r="DT38" s="404"/>
      <c r="DU38" s="404"/>
      <c r="DV38" s="404"/>
      <c r="DW38" s="404"/>
      <c r="DX38" s="404"/>
      <c r="DY38" s="404"/>
      <c r="DZ38" s="404"/>
      <c r="EA38" s="404"/>
      <c r="EB38" s="404"/>
      <c r="EC38" s="404"/>
      <c r="ED38" s="404"/>
      <c r="EE38" s="404"/>
      <c r="EF38" s="404"/>
      <c r="EG38" s="404"/>
      <c r="EH38" s="404"/>
      <c r="EI38" s="404"/>
      <c r="EJ38" s="404"/>
      <c r="EK38" s="404"/>
      <c r="EL38" s="404"/>
      <c r="EM38" s="404"/>
      <c r="EN38" s="404"/>
      <c r="EO38" s="404"/>
      <c r="EP38" s="404"/>
      <c r="EQ38" s="404"/>
      <c r="ER38" s="404"/>
      <c r="ES38" s="404"/>
      <c r="ET38" s="404"/>
      <c r="EU38" s="404"/>
      <c r="EV38" s="404"/>
      <c r="EW38" s="404"/>
      <c r="EX38" s="404"/>
      <c r="EY38" s="404"/>
      <c r="EZ38" s="404"/>
      <c r="FA38" s="404"/>
      <c r="FB38" s="404"/>
      <c r="FC38" s="404"/>
      <c r="FD38" s="404"/>
      <c r="FE38" s="404"/>
      <c r="FF38" s="404"/>
      <c r="FG38" s="404"/>
      <c r="FH38" s="404"/>
      <c r="FI38" s="404"/>
      <c r="FJ38" s="404"/>
      <c r="FK38" s="404"/>
      <c r="FL38" s="404"/>
      <c r="FM38" s="404"/>
      <c r="FN38" s="404"/>
      <c r="FO38" s="404"/>
      <c r="FP38" s="404"/>
      <c r="FQ38" s="404"/>
      <c r="FR38" s="404"/>
      <c r="FS38" s="404"/>
      <c r="FT38" s="404"/>
      <c r="FU38" s="404"/>
      <c r="FV38" s="404"/>
      <c r="FW38" s="404"/>
      <c r="FX38" s="404"/>
      <c r="FY38" s="404"/>
      <c r="FZ38" s="404"/>
      <c r="GA38" s="404"/>
      <c r="GB38" s="404"/>
      <c r="GC38" s="404"/>
      <c r="GD38" s="404"/>
      <c r="GE38" s="404"/>
      <c r="GF38" s="404"/>
      <c r="GG38" s="404"/>
      <c r="GH38" s="404"/>
      <c r="GI38" s="404"/>
      <c r="GJ38" s="404"/>
      <c r="GK38" s="404"/>
      <c r="GL38" s="404"/>
      <c r="GM38" s="404"/>
      <c r="GN38" s="404"/>
      <c r="GO38" s="404"/>
      <c r="GP38" s="404"/>
      <c r="GQ38" s="404"/>
      <c r="GR38" s="404"/>
      <c r="GS38" s="404"/>
      <c r="GT38" s="404"/>
      <c r="GU38" s="404"/>
      <c r="GV38" s="404"/>
      <c r="GW38" s="404"/>
      <c r="GX38" s="404"/>
      <c r="GY38" s="404"/>
      <c r="GZ38" s="404"/>
      <c r="HA38" s="404"/>
      <c r="HB38" s="404"/>
      <c r="HC38" s="404"/>
      <c r="HD38" s="404"/>
      <c r="HE38" s="404"/>
      <c r="HF38" s="404"/>
      <c r="HG38" s="404"/>
      <c r="HH38" s="404"/>
      <c r="HI38" s="404"/>
      <c r="HJ38" s="404"/>
      <c r="HK38" s="404"/>
      <c r="HL38" s="404"/>
      <c r="HM38" s="404"/>
      <c r="HN38" s="404"/>
      <c r="HO38" s="404"/>
      <c r="HP38" s="404"/>
      <c r="HQ38" s="404"/>
      <c r="HR38" s="404"/>
      <c r="HS38" s="404"/>
      <c r="HT38" s="404"/>
      <c r="HU38" s="404"/>
      <c r="HV38" s="404"/>
      <c r="HW38" s="404"/>
      <c r="HX38" s="404"/>
      <c r="HY38" s="404"/>
      <c r="HZ38" s="404"/>
      <c r="IA38" s="404"/>
      <c r="IB38" s="404"/>
      <c r="IC38" s="404"/>
      <c r="ID38" s="404"/>
      <c r="IE38" s="404"/>
      <c r="IF38" s="404"/>
      <c r="IG38" s="404"/>
      <c r="IH38" s="404"/>
      <c r="II38" s="404"/>
      <c r="IJ38" s="404"/>
      <c r="IK38" s="404"/>
      <c r="IL38" s="404"/>
      <c r="IM38" s="404"/>
      <c r="IN38" s="404"/>
      <c r="IO38" s="404"/>
      <c r="IP38" s="404"/>
      <c r="IQ38" s="404"/>
      <c r="IR38" s="404"/>
      <c r="IS38" s="404"/>
      <c r="IT38" s="404"/>
      <c r="IU38" s="404"/>
      <c r="IV38" s="404"/>
    </row>
    <row r="39" spans="1:256" s="721" customFormat="1" x14ac:dyDescent="0.35">
      <c r="A39" s="735">
        <v>30</v>
      </c>
      <c r="B39" s="602"/>
      <c r="C39" s="447">
        <v>8</v>
      </c>
      <c r="D39" s="739" t="s">
        <v>628</v>
      </c>
      <c r="E39" s="416"/>
      <c r="F39" s="725"/>
      <c r="G39" s="417"/>
      <c r="H39" s="946" t="s">
        <v>24</v>
      </c>
      <c r="I39" s="964"/>
      <c r="J39" s="960"/>
      <c r="K39" s="960"/>
      <c r="L39" s="960"/>
      <c r="M39" s="960"/>
      <c r="N39" s="960"/>
      <c r="O39" s="730"/>
      <c r="P39" s="726"/>
      <c r="Q39" s="404"/>
      <c r="R39" s="404"/>
      <c r="S39" s="404"/>
      <c r="T39" s="404"/>
      <c r="U39" s="404"/>
      <c r="V39" s="404"/>
      <c r="W39" s="404"/>
      <c r="X39" s="404"/>
      <c r="Y39" s="404"/>
      <c r="Z39" s="404"/>
      <c r="AA39" s="404"/>
      <c r="AB39" s="404"/>
      <c r="AC39" s="404"/>
      <c r="AD39" s="404"/>
      <c r="AE39" s="404"/>
      <c r="AF39" s="404"/>
      <c r="AG39" s="404"/>
      <c r="AH39" s="404"/>
      <c r="AI39" s="404"/>
      <c r="AJ39" s="404"/>
      <c r="AK39" s="404"/>
      <c r="AL39" s="404"/>
      <c r="AM39" s="404"/>
      <c r="AN39" s="404"/>
      <c r="AO39" s="404"/>
      <c r="AP39" s="404"/>
      <c r="AQ39" s="404"/>
      <c r="AR39" s="404"/>
      <c r="AS39" s="404"/>
      <c r="AT39" s="404"/>
      <c r="AU39" s="404"/>
      <c r="AV39" s="404"/>
      <c r="AW39" s="404"/>
      <c r="AX39" s="404"/>
      <c r="AY39" s="404"/>
      <c r="AZ39" s="404"/>
      <c r="BA39" s="404"/>
      <c r="BB39" s="404"/>
      <c r="BC39" s="404"/>
      <c r="BD39" s="404"/>
      <c r="BE39" s="404"/>
      <c r="BF39" s="404"/>
      <c r="BG39" s="404"/>
      <c r="BH39" s="404"/>
      <c r="BI39" s="404"/>
      <c r="BJ39" s="404"/>
      <c r="BK39" s="404"/>
      <c r="BL39" s="404"/>
      <c r="BM39" s="404"/>
      <c r="BN39" s="404"/>
      <c r="BO39" s="404"/>
      <c r="BP39" s="404"/>
      <c r="BQ39" s="404"/>
      <c r="BR39" s="404"/>
      <c r="BS39" s="404"/>
      <c r="BT39" s="404"/>
      <c r="BU39" s="404"/>
      <c r="BV39" s="404"/>
      <c r="BW39" s="404"/>
      <c r="BX39" s="404"/>
      <c r="BY39" s="404"/>
      <c r="BZ39" s="404"/>
      <c r="CA39" s="404"/>
      <c r="CB39" s="404"/>
      <c r="CC39" s="404"/>
      <c r="CD39" s="404"/>
      <c r="CE39" s="404"/>
      <c r="CF39" s="404"/>
      <c r="CG39" s="404"/>
      <c r="CH39" s="404"/>
      <c r="CI39" s="404"/>
      <c r="CJ39" s="404"/>
      <c r="CK39" s="404"/>
      <c r="CL39" s="404"/>
      <c r="CM39" s="404"/>
      <c r="CN39" s="404"/>
      <c r="CO39" s="404"/>
      <c r="CP39" s="404"/>
      <c r="CQ39" s="404"/>
      <c r="CR39" s="404"/>
      <c r="CS39" s="404"/>
      <c r="CT39" s="404"/>
      <c r="CU39" s="404"/>
      <c r="CV39" s="404"/>
      <c r="CW39" s="404"/>
      <c r="CX39" s="404"/>
      <c r="CY39" s="404"/>
      <c r="CZ39" s="404"/>
      <c r="DA39" s="404"/>
      <c r="DB39" s="404"/>
      <c r="DC39" s="404"/>
      <c r="DD39" s="404"/>
      <c r="DE39" s="404"/>
      <c r="DF39" s="404"/>
      <c r="DG39" s="404"/>
      <c r="DH39" s="404"/>
      <c r="DI39" s="404"/>
      <c r="DJ39" s="404"/>
      <c r="DK39" s="404"/>
      <c r="DL39" s="404"/>
      <c r="DM39" s="404"/>
      <c r="DN39" s="404"/>
      <c r="DO39" s="404"/>
      <c r="DP39" s="404"/>
      <c r="DQ39" s="404"/>
      <c r="DR39" s="404"/>
      <c r="DS39" s="404"/>
      <c r="DT39" s="404"/>
      <c r="DU39" s="404"/>
      <c r="DV39" s="404"/>
      <c r="DW39" s="404"/>
      <c r="DX39" s="404"/>
      <c r="DY39" s="404"/>
      <c r="DZ39" s="404"/>
      <c r="EA39" s="404"/>
      <c r="EB39" s="404"/>
      <c r="EC39" s="404"/>
      <c r="ED39" s="404"/>
      <c r="EE39" s="404"/>
      <c r="EF39" s="404"/>
      <c r="EG39" s="404"/>
      <c r="EH39" s="404"/>
      <c r="EI39" s="404"/>
      <c r="EJ39" s="404"/>
      <c r="EK39" s="404"/>
      <c r="EL39" s="404"/>
      <c r="EM39" s="404"/>
      <c r="EN39" s="404"/>
      <c r="EO39" s="404"/>
      <c r="EP39" s="404"/>
      <c r="EQ39" s="404"/>
      <c r="ER39" s="404"/>
      <c r="ES39" s="404"/>
      <c r="ET39" s="404"/>
      <c r="EU39" s="404"/>
      <c r="EV39" s="404"/>
      <c r="EW39" s="404"/>
      <c r="EX39" s="404"/>
      <c r="EY39" s="404"/>
      <c r="EZ39" s="404"/>
      <c r="FA39" s="404"/>
      <c r="FB39" s="404"/>
      <c r="FC39" s="404"/>
      <c r="FD39" s="404"/>
      <c r="FE39" s="404"/>
      <c r="FF39" s="404"/>
      <c r="FG39" s="404"/>
      <c r="FH39" s="404"/>
      <c r="FI39" s="404"/>
      <c r="FJ39" s="404"/>
      <c r="FK39" s="404"/>
      <c r="FL39" s="404"/>
      <c r="FM39" s="404"/>
      <c r="FN39" s="404"/>
      <c r="FO39" s="404"/>
      <c r="FP39" s="404"/>
      <c r="FQ39" s="404"/>
      <c r="FR39" s="404"/>
      <c r="FS39" s="404"/>
      <c r="FT39" s="404"/>
      <c r="FU39" s="404"/>
      <c r="FV39" s="404"/>
      <c r="FW39" s="404"/>
      <c r="FX39" s="404"/>
      <c r="FY39" s="404"/>
      <c r="FZ39" s="404"/>
      <c r="GA39" s="404"/>
      <c r="GB39" s="404"/>
      <c r="GC39" s="404"/>
      <c r="GD39" s="404"/>
      <c r="GE39" s="404"/>
      <c r="GF39" s="404"/>
      <c r="GG39" s="404"/>
      <c r="GH39" s="404"/>
      <c r="GI39" s="404"/>
      <c r="GJ39" s="404"/>
      <c r="GK39" s="404"/>
      <c r="GL39" s="404"/>
      <c r="GM39" s="404"/>
      <c r="GN39" s="404"/>
      <c r="GO39" s="404"/>
      <c r="GP39" s="404"/>
      <c r="GQ39" s="404"/>
      <c r="GR39" s="404"/>
      <c r="GS39" s="404"/>
      <c r="GT39" s="404"/>
      <c r="GU39" s="404"/>
      <c r="GV39" s="404"/>
      <c r="GW39" s="404"/>
      <c r="GX39" s="404"/>
      <c r="GY39" s="404"/>
      <c r="GZ39" s="404"/>
      <c r="HA39" s="404"/>
      <c r="HB39" s="404"/>
      <c r="HC39" s="404"/>
      <c r="HD39" s="404"/>
      <c r="HE39" s="404"/>
      <c r="HF39" s="404"/>
      <c r="HG39" s="404"/>
      <c r="HH39" s="404"/>
      <c r="HI39" s="404"/>
      <c r="HJ39" s="404"/>
      <c r="HK39" s="404"/>
      <c r="HL39" s="404"/>
      <c r="HM39" s="404"/>
      <c r="HN39" s="404"/>
      <c r="HO39" s="404"/>
      <c r="HP39" s="404"/>
      <c r="HQ39" s="404"/>
      <c r="HR39" s="404"/>
      <c r="HS39" s="404"/>
      <c r="HT39" s="404"/>
      <c r="HU39" s="404"/>
      <c r="HV39" s="404"/>
      <c r="HW39" s="404"/>
      <c r="HX39" s="404"/>
      <c r="HY39" s="404"/>
      <c r="HZ39" s="404"/>
      <c r="IA39" s="404"/>
      <c r="IB39" s="404"/>
      <c r="IC39" s="404"/>
      <c r="ID39" s="404"/>
      <c r="IE39" s="404"/>
      <c r="IF39" s="404"/>
      <c r="IG39" s="404"/>
      <c r="IH39" s="404"/>
      <c r="II39" s="404"/>
      <c r="IJ39" s="404"/>
      <c r="IK39" s="404"/>
      <c r="IL39" s="404"/>
      <c r="IM39" s="404"/>
      <c r="IN39" s="404"/>
      <c r="IO39" s="404"/>
      <c r="IP39" s="404"/>
      <c r="IQ39" s="404"/>
      <c r="IR39" s="404"/>
      <c r="IS39" s="404"/>
      <c r="IT39" s="404"/>
      <c r="IU39" s="404"/>
      <c r="IV39" s="404"/>
    </row>
    <row r="40" spans="1:256" s="721" customFormat="1" x14ac:dyDescent="0.35">
      <c r="A40" s="735">
        <v>31</v>
      </c>
      <c r="B40" s="729"/>
      <c r="C40" s="447"/>
      <c r="D40" s="1735" t="s">
        <v>292</v>
      </c>
      <c r="E40" s="416">
        <f>F40+G40+O42+P40</f>
        <v>3901162</v>
      </c>
      <c r="F40" s="725"/>
      <c r="G40" s="417"/>
      <c r="H40" s="946"/>
      <c r="I40" s="964"/>
      <c r="J40" s="960"/>
      <c r="K40" s="960"/>
      <c r="L40" s="960"/>
      <c r="M40" s="960">
        <v>1084455</v>
      </c>
      <c r="N40" s="960"/>
      <c r="O40" s="930">
        <f>SUM(I40:N40)</f>
        <v>1084455</v>
      </c>
      <c r="P40" s="726">
        <v>2816707</v>
      </c>
      <c r="Q40" s="404"/>
      <c r="R40" s="404"/>
      <c r="S40" s="404"/>
      <c r="T40" s="404"/>
      <c r="U40" s="404"/>
      <c r="V40" s="404"/>
      <c r="W40" s="404"/>
      <c r="X40" s="404"/>
      <c r="Y40" s="404"/>
      <c r="Z40" s="404"/>
      <c r="AA40" s="404"/>
      <c r="AB40" s="404"/>
      <c r="AC40" s="404"/>
      <c r="AD40" s="404"/>
      <c r="AE40" s="404"/>
      <c r="AF40" s="404"/>
      <c r="AG40" s="404"/>
      <c r="AH40" s="404"/>
      <c r="AI40" s="404"/>
      <c r="AJ40" s="404"/>
      <c r="AK40" s="404"/>
      <c r="AL40" s="404"/>
      <c r="AM40" s="404"/>
      <c r="AN40" s="404"/>
      <c r="AO40" s="404"/>
      <c r="AP40" s="404"/>
      <c r="AQ40" s="404"/>
      <c r="AR40" s="404"/>
      <c r="AS40" s="404"/>
      <c r="AT40" s="404"/>
      <c r="AU40" s="404"/>
      <c r="AV40" s="404"/>
      <c r="AW40" s="404"/>
      <c r="AX40" s="404"/>
      <c r="AY40" s="404"/>
      <c r="AZ40" s="404"/>
      <c r="BA40" s="404"/>
      <c r="BB40" s="404"/>
      <c r="BC40" s="404"/>
      <c r="BD40" s="404"/>
      <c r="BE40" s="404"/>
      <c r="BF40" s="404"/>
      <c r="BG40" s="404"/>
      <c r="BH40" s="404"/>
      <c r="BI40" s="404"/>
      <c r="BJ40" s="404"/>
      <c r="BK40" s="404"/>
      <c r="BL40" s="404"/>
      <c r="BM40" s="404"/>
      <c r="BN40" s="404"/>
      <c r="BO40" s="404"/>
      <c r="BP40" s="404"/>
      <c r="BQ40" s="404"/>
      <c r="BR40" s="404"/>
      <c r="BS40" s="404"/>
      <c r="BT40" s="404"/>
      <c r="BU40" s="404"/>
      <c r="BV40" s="404"/>
      <c r="BW40" s="404"/>
      <c r="BX40" s="404"/>
      <c r="BY40" s="404"/>
      <c r="BZ40" s="404"/>
      <c r="CA40" s="404"/>
      <c r="CB40" s="404"/>
      <c r="CC40" s="404"/>
      <c r="CD40" s="404"/>
      <c r="CE40" s="404"/>
      <c r="CF40" s="404"/>
      <c r="CG40" s="404"/>
      <c r="CH40" s="404"/>
      <c r="CI40" s="404"/>
      <c r="CJ40" s="404"/>
      <c r="CK40" s="404"/>
      <c r="CL40" s="404"/>
      <c r="CM40" s="404"/>
      <c r="CN40" s="404"/>
      <c r="CO40" s="404"/>
      <c r="CP40" s="404"/>
      <c r="CQ40" s="404"/>
      <c r="CR40" s="404"/>
      <c r="CS40" s="404"/>
      <c r="CT40" s="404"/>
      <c r="CU40" s="404"/>
      <c r="CV40" s="404"/>
      <c r="CW40" s="404"/>
      <c r="CX40" s="404"/>
      <c r="CY40" s="404"/>
      <c r="CZ40" s="404"/>
      <c r="DA40" s="404"/>
      <c r="DB40" s="404"/>
      <c r="DC40" s="404"/>
      <c r="DD40" s="404"/>
      <c r="DE40" s="404"/>
      <c r="DF40" s="404"/>
      <c r="DG40" s="404"/>
      <c r="DH40" s="404"/>
      <c r="DI40" s="404"/>
      <c r="DJ40" s="404"/>
      <c r="DK40" s="404"/>
      <c r="DL40" s="404"/>
      <c r="DM40" s="404"/>
      <c r="DN40" s="404"/>
      <c r="DO40" s="404"/>
      <c r="DP40" s="404"/>
      <c r="DQ40" s="404"/>
      <c r="DR40" s="404"/>
      <c r="DS40" s="404"/>
      <c r="DT40" s="404"/>
      <c r="DU40" s="404"/>
      <c r="DV40" s="404"/>
      <c r="DW40" s="404"/>
      <c r="DX40" s="404"/>
      <c r="DY40" s="404"/>
      <c r="DZ40" s="404"/>
      <c r="EA40" s="404"/>
      <c r="EB40" s="404"/>
      <c r="EC40" s="404"/>
      <c r="ED40" s="404"/>
      <c r="EE40" s="404"/>
      <c r="EF40" s="404"/>
      <c r="EG40" s="404"/>
      <c r="EH40" s="404"/>
      <c r="EI40" s="404"/>
      <c r="EJ40" s="404"/>
      <c r="EK40" s="404"/>
      <c r="EL40" s="404"/>
      <c r="EM40" s="404"/>
      <c r="EN40" s="404"/>
      <c r="EO40" s="404"/>
      <c r="EP40" s="404"/>
      <c r="EQ40" s="404"/>
      <c r="ER40" s="404"/>
      <c r="ES40" s="404"/>
      <c r="ET40" s="404"/>
      <c r="EU40" s="404"/>
      <c r="EV40" s="404"/>
      <c r="EW40" s="404"/>
      <c r="EX40" s="404"/>
      <c r="EY40" s="404"/>
      <c r="EZ40" s="404"/>
      <c r="FA40" s="404"/>
      <c r="FB40" s="404"/>
      <c r="FC40" s="404"/>
      <c r="FD40" s="404"/>
      <c r="FE40" s="404"/>
      <c r="FF40" s="404"/>
      <c r="FG40" s="404"/>
      <c r="FH40" s="404"/>
      <c r="FI40" s="404"/>
      <c r="FJ40" s="404"/>
      <c r="FK40" s="404"/>
      <c r="FL40" s="404"/>
      <c r="FM40" s="404"/>
      <c r="FN40" s="404"/>
      <c r="FO40" s="404"/>
      <c r="FP40" s="404"/>
      <c r="FQ40" s="404"/>
      <c r="FR40" s="404"/>
      <c r="FS40" s="404"/>
      <c r="FT40" s="404"/>
      <c r="FU40" s="404"/>
      <c r="FV40" s="404"/>
      <c r="FW40" s="404"/>
      <c r="FX40" s="404"/>
      <c r="FY40" s="404"/>
      <c r="FZ40" s="404"/>
      <c r="GA40" s="404"/>
      <c r="GB40" s="404"/>
      <c r="GC40" s="404"/>
      <c r="GD40" s="404"/>
      <c r="GE40" s="404"/>
      <c r="GF40" s="404"/>
      <c r="GG40" s="404"/>
      <c r="GH40" s="404"/>
      <c r="GI40" s="404"/>
      <c r="GJ40" s="404"/>
      <c r="GK40" s="404"/>
      <c r="GL40" s="404"/>
      <c r="GM40" s="404"/>
      <c r="GN40" s="404"/>
      <c r="GO40" s="404"/>
      <c r="GP40" s="404"/>
      <c r="GQ40" s="404"/>
      <c r="GR40" s="404"/>
      <c r="GS40" s="404"/>
      <c r="GT40" s="404"/>
      <c r="GU40" s="404"/>
      <c r="GV40" s="404"/>
      <c r="GW40" s="404"/>
      <c r="GX40" s="404"/>
      <c r="GY40" s="404"/>
      <c r="GZ40" s="404"/>
      <c r="HA40" s="404"/>
      <c r="HB40" s="404"/>
      <c r="HC40" s="404"/>
      <c r="HD40" s="404"/>
      <c r="HE40" s="404"/>
      <c r="HF40" s="404"/>
      <c r="HG40" s="404"/>
      <c r="HH40" s="404"/>
      <c r="HI40" s="404"/>
      <c r="HJ40" s="404"/>
      <c r="HK40" s="404"/>
      <c r="HL40" s="404"/>
      <c r="HM40" s="404"/>
      <c r="HN40" s="404"/>
      <c r="HO40" s="404"/>
      <c r="HP40" s="404"/>
      <c r="HQ40" s="404"/>
      <c r="HR40" s="404"/>
      <c r="HS40" s="404"/>
      <c r="HT40" s="404"/>
      <c r="HU40" s="404"/>
      <c r="HV40" s="404"/>
      <c r="HW40" s="404"/>
      <c r="HX40" s="404"/>
      <c r="HY40" s="404"/>
      <c r="HZ40" s="404"/>
      <c r="IA40" s="404"/>
      <c r="IB40" s="404"/>
      <c r="IC40" s="404"/>
      <c r="ID40" s="404"/>
      <c r="IE40" s="404"/>
      <c r="IF40" s="404"/>
      <c r="IG40" s="404"/>
      <c r="IH40" s="404"/>
      <c r="II40" s="404"/>
      <c r="IJ40" s="404"/>
      <c r="IK40" s="404"/>
      <c r="IL40" s="404"/>
      <c r="IM40" s="404"/>
      <c r="IN40" s="404"/>
      <c r="IO40" s="404"/>
      <c r="IP40" s="404"/>
      <c r="IQ40" s="404"/>
      <c r="IR40" s="404"/>
      <c r="IS40" s="404"/>
      <c r="IT40" s="404"/>
      <c r="IU40" s="404"/>
      <c r="IV40" s="404"/>
    </row>
    <row r="41" spans="1:256" s="721" customFormat="1" x14ac:dyDescent="0.35">
      <c r="A41" s="735">
        <v>32</v>
      </c>
      <c r="B41" s="729"/>
      <c r="C41" s="447"/>
      <c r="D41" s="1499" t="s">
        <v>929</v>
      </c>
      <c r="E41" s="416"/>
      <c r="F41" s="725"/>
      <c r="G41" s="417"/>
      <c r="H41" s="946"/>
      <c r="I41" s="964"/>
      <c r="J41" s="960"/>
      <c r="K41" s="960"/>
      <c r="L41" s="960"/>
      <c r="M41" s="960"/>
      <c r="N41" s="960"/>
      <c r="O41" s="1740">
        <f t="shared" ref="O41:O42" si="12">SUM(I41:N41)</f>
        <v>0</v>
      </c>
      <c r="P41" s="726"/>
      <c r="Q41" s="404"/>
      <c r="R41" s="404"/>
      <c r="S41" s="404"/>
      <c r="T41" s="404"/>
      <c r="U41" s="404"/>
      <c r="V41" s="404"/>
      <c r="W41" s="404"/>
      <c r="X41" s="404"/>
      <c r="Y41" s="404"/>
      <c r="Z41" s="404"/>
      <c r="AA41" s="404"/>
      <c r="AB41" s="404"/>
      <c r="AC41" s="404"/>
      <c r="AD41" s="404"/>
      <c r="AE41" s="404"/>
      <c r="AF41" s="404"/>
      <c r="AG41" s="404"/>
      <c r="AH41" s="404"/>
      <c r="AI41" s="404"/>
      <c r="AJ41" s="404"/>
      <c r="AK41" s="404"/>
      <c r="AL41" s="404"/>
      <c r="AM41" s="404"/>
      <c r="AN41" s="404"/>
      <c r="AO41" s="404"/>
      <c r="AP41" s="404"/>
      <c r="AQ41" s="404"/>
      <c r="AR41" s="404"/>
      <c r="AS41" s="404"/>
      <c r="AT41" s="404"/>
      <c r="AU41" s="404"/>
      <c r="AV41" s="404"/>
      <c r="AW41" s="404"/>
      <c r="AX41" s="404"/>
      <c r="AY41" s="404"/>
      <c r="AZ41" s="404"/>
      <c r="BA41" s="404"/>
      <c r="BB41" s="404"/>
      <c r="BC41" s="404"/>
      <c r="BD41" s="404"/>
      <c r="BE41" s="404"/>
      <c r="BF41" s="404"/>
      <c r="BG41" s="404"/>
      <c r="BH41" s="404"/>
      <c r="BI41" s="404"/>
      <c r="BJ41" s="404"/>
      <c r="BK41" s="404"/>
      <c r="BL41" s="404"/>
      <c r="BM41" s="404"/>
      <c r="BN41" s="404"/>
      <c r="BO41" s="404"/>
      <c r="BP41" s="404"/>
      <c r="BQ41" s="404"/>
      <c r="BR41" s="404"/>
      <c r="BS41" s="404"/>
      <c r="BT41" s="404"/>
      <c r="BU41" s="404"/>
      <c r="BV41" s="404"/>
      <c r="BW41" s="404"/>
      <c r="BX41" s="404"/>
      <c r="BY41" s="404"/>
      <c r="BZ41" s="404"/>
      <c r="CA41" s="404"/>
      <c r="CB41" s="404"/>
      <c r="CC41" s="404"/>
      <c r="CD41" s="404"/>
      <c r="CE41" s="404"/>
      <c r="CF41" s="404"/>
      <c r="CG41" s="404"/>
      <c r="CH41" s="404"/>
      <c r="CI41" s="404"/>
      <c r="CJ41" s="404"/>
      <c r="CK41" s="404"/>
      <c r="CL41" s="404"/>
      <c r="CM41" s="404"/>
      <c r="CN41" s="404"/>
      <c r="CO41" s="404"/>
      <c r="CP41" s="404"/>
      <c r="CQ41" s="404"/>
      <c r="CR41" s="404"/>
      <c r="CS41" s="404"/>
      <c r="CT41" s="404"/>
      <c r="CU41" s="404"/>
      <c r="CV41" s="404"/>
      <c r="CW41" s="404"/>
      <c r="CX41" s="404"/>
      <c r="CY41" s="404"/>
      <c r="CZ41" s="404"/>
      <c r="DA41" s="404"/>
      <c r="DB41" s="404"/>
      <c r="DC41" s="404"/>
      <c r="DD41" s="404"/>
      <c r="DE41" s="404"/>
      <c r="DF41" s="404"/>
      <c r="DG41" s="404"/>
      <c r="DH41" s="404"/>
      <c r="DI41" s="404"/>
      <c r="DJ41" s="404"/>
      <c r="DK41" s="404"/>
      <c r="DL41" s="404"/>
      <c r="DM41" s="404"/>
      <c r="DN41" s="404"/>
      <c r="DO41" s="404"/>
      <c r="DP41" s="404"/>
      <c r="DQ41" s="404"/>
      <c r="DR41" s="404"/>
      <c r="DS41" s="404"/>
      <c r="DT41" s="404"/>
      <c r="DU41" s="404"/>
      <c r="DV41" s="404"/>
      <c r="DW41" s="404"/>
      <c r="DX41" s="404"/>
      <c r="DY41" s="404"/>
      <c r="DZ41" s="404"/>
      <c r="EA41" s="404"/>
      <c r="EB41" s="404"/>
      <c r="EC41" s="404"/>
      <c r="ED41" s="404"/>
      <c r="EE41" s="404"/>
      <c r="EF41" s="404"/>
      <c r="EG41" s="404"/>
      <c r="EH41" s="404"/>
      <c r="EI41" s="404"/>
      <c r="EJ41" s="404"/>
      <c r="EK41" s="404"/>
      <c r="EL41" s="404"/>
      <c r="EM41" s="404"/>
      <c r="EN41" s="404"/>
      <c r="EO41" s="404"/>
      <c r="EP41" s="404"/>
      <c r="EQ41" s="404"/>
      <c r="ER41" s="404"/>
      <c r="ES41" s="404"/>
      <c r="ET41" s="404"/>
      <c r="EU41" s="404"/>
      <c r="EV41" s="404"/>
      <c r="EW41" s="404"/>
      <c r="EX41" s="404"/>
      <c r="EY41" s="404"/>
      <c r="EZ41" s="404"/>
      <c r="FA41" s="404"/>
      <c r="FB41" s="404"/>
      <c r="FC41" s="404"/>
      <c r="FD41" s="404"/>
      <c r="FE41" s="404"/>
      <c r="FF41" s="404"/>
      <c r="FG41" s="404"/>
      <c r="FH41" s="404"/>
      <c r="FI41" s="404"/>
      <c r="FJ41" s="404"/>
      <c r="FK41" s="404"/>
      <c r="FL41" s="404"/>
      <c r="FM41" s="404"/>
      <c r="FN41" s="404"/>
      <c r="FO41" s="404"/>
      <c r="FP41" s="404"/>
      <c r="FQ41" s="404"/>
      <c r="FR41" s="404"/>
      <c r="FS41" s="404"/>
      <c r="FT41" s="404"/>
      <c r="FU41" s="404"/>
      <c r="FV41" s="404"/>
      <c r="FW41" s="404"/>
      <c r="FX41" s="404"/>
      <c r="FY41" s="404"/>
      <c r="FZ41" s="404"/>
      <c r="GA41" s="404"/>
      <c r="GB41" s="404"/>
      <c r="GC41" s="404"/>
      <c r="GD41" s="404"/>
      <c r="GE41" s="404"/>
      <c r="GF41" s="404"/>
      <c r="GG41" s="404"/>
      <c r="GH41" s="404"/>
      <c r="GI41" s="404"/>
      <c r="GJ41" s="404"/>
      <c r="GK41" s="404"/>
      <c r="GL41" s="404"/>
      <c r="GM41" s="404"/>
      <c r="GN41" s="404"/>
      <c r="GO41" s="404"/>
      <c r="GP41" s="404"/>
      <c r="GQ41" s="404"/>
      <c r="GR41" s="404"/>
      <c r="GS41" s="404"/>
      <c r="GT41" s="404"/>
      <c r="GU41" s="404"/>
      <c r="GV41" s="404"/>
      <c r="GW41" s="404"/>
      <c r="GX41" s="404"/>
      <c r="GY41" s="404"/>
      <c r="GZ41" s="404"/>
      <c r="HA41" s="404"/>
      <c r="HB41" s="404"/>
      <c r="HC41" s="404"/>
      <c r="HD41" s="404"/>
      <c r="HE41" s="404"/>
      <c r="HF41" s="404"/>
      <c r="HG41" s="404"/>
      <c r="HH41" s="404"/>
      <c r="HI41" s="404"/>
      <c r="HJ41" s="404"/>
      <c r="HK41" s="404"/>
      <c r="HL41" s="404"/>
      <c r="HM41" s="404"/>
      <c r="HN41" s="404"/>
      <c r="HO41" s="404"/>
      <c r="HP41" s="404"/>
      <c r="HQ41" s="404"/>
      <c r="HR41" s="404"/>
      <c r="HS41" s="404"/>
      <c r="HT41" s="404"/>
      <c r="HU41" s="404"/>
      <c r="HV41" s="404"/>
      <c r="HW41" s="404"/>
      <c r="HX41" s="404"/>
      <c r="HY41" s="404"/>
      <c r="HZ41" s="404"/>
      <c r="IA41" s="404"/>
      <c r="IB41" s="404"/>
      <c r="IC41" s="404"/>
      <c r="ID41" s="404"/>
      <c r="IE41" s="404"/>
      <c r="IF41" s="404"/>
      <c r="IG41" s="404"/>
      <c r="IH41" s="404"/>
      <c r="II41" s="404"/>
      <c r="IJ41" s="404"/>
      <c r="IK41" s="404"/>
      <c r="IL41" s="404"/>
      <c r="IM41" s="404"/>
      <c r="IN41" s="404"/>
      <c r="IO41" s="404"/>
      <c r="IP41" s="404"/>
      <c r="IQ41" s="404"/>
      <c r="IR41" s="404"/>
      <c r="IS41" s="404"/>
      <c r="IT41" s="404"/>
      <c r="IU41" s="404"/>
      <c r="IV41" s="404"/>
    </row>
    <row r="42" spans="1:256" s="721" customFormat="1" x14ac:dyDescent="0.35">
      <c r="A42" s="735">
        <v>33</v>
      </c>
      <c r="B42" s="729"/>
      <c r="C42" s="447"/>
      <c r="D42" s="641" t="s">
        <v>927</v>
      </c>
      <c r="E42" s="416"/>
      <c r="F42" s="725"/>
      <c r="G42" s="417"/>
      <c r="H42" s="946"/>
      <c r="I42" s="964"/>
      <c r="J42" s="960"/>
      <c r="K42" s="960"/>
      <c r="L42" s="960"/>
      <c r="M42" s="722">
        <f>SUM(M40:M41)</f>
        <v>1084455</v>
      </c>
      <c r="N42" s="960"/>
      <c r="O42" s="730">
        <f t="shared" si="12"/>
        <v>1084455</v>
      </c>
      <c r="P42" s="726"/>
      <c r="Q42" s="404"/>
      <c r="R42" s="404"/>
      <c r="S42" s="404"/>
      <c r="T42" s="404"/>
      <c r="U42" s="404"/>
      <c r="V42" s="404"/>
      <c r="W42" s="404"/>
      <c r="X42" s="404"/>
      <c r="Y42" s="404"/>
      <c r="Z42" s="404"/>
      <c r="AA42" s="404"/>
      <c r="AB42" s="404"/>
      <c r="AC42" s="404"/>
      <c r="AD42" s="404"/>
      <c r="AE42" s="404"/>
      <c r="AF42" s="404"/>
      <c r="AG42" s="404"/>
      <c r="AH42" s="404"/>
      <c r="AI42" s="404"/>
      <c r="AJ42" s="404"/>
      <c r="AK42" s="404"/>
      <c r="AL42" s="404"/>
      <c r="AM42" s="404"/>
      <c r="AN42" s="404"/>
      <c r="AO42" s="404"/>
      <c r="AP42" s="404"/>
      <c r="AQ42" s="404"/>
      <c r="AR42" s="404"/>
      <c r="AS42" s="404"/>
      <c r="AT42" s="404"/>
      <c r="AU42" s="404"/>
      <c r="AV42" s="404"/>
      <c r="AW42" s="404"/>
      <c r="AX42" s="404"/>
      <c r="AY42" s="404"/>
      <c r="AZ42" s="404"/>
      <c r="BA42" s="404"/>
      <c r="BB42" s="404"/>
      <c r="BC42" s="404"/>
      <c r="BD42" s="404"/>
      <c r="BE42" s="404"/>
      <c r="BF42" s="404"/>
      <c r="BG42" s="404"/>
      <c r="BH42" s="404"/>
      <c r="BI42" s="404"/>
      <c r="BJ42" s="404"/>
      <c r="BK42" s="404"/>
      <c r="BL42" s="404"/>
      <c r="BM42" s="404"/>
      <c r="BN42" s="404"/>
      <c r="BO42" s="404"/>
      <c r="BP42" s="404"/>
      <c r="BQ42" s="404"/>
      <c r="BR42" s="404"/>
      <c r="BS42" s="404"/>
      <c r="BT42" s="404"/>
      <c r="BU42" s="404"/>
      <c r="BV42" s="404"/>
      <c r="BW42" s="404"/>
      <c r="BX42" s="404"/>
      <c r="BY42" s="404"/>
      <c r="BZ42" s="404"/>
      <c r="CA42" s="404"/>
      <c r="CB42" s="404"/>
      <c r="CC42" s="404"/>
      <c r="CD42" s="404"/>
      <c r="CE42" s="404"/>
      <c r="CF42" s="404"/>
      <c r="CG42" s="404"/>
      <c r="CH42" s="404"/>
      <c r="CI42" s="404"/>
      <c r="CJ42" s="404"/>
      <c r="CK42" s="404"/>
      <c r="CL42" s="404"/>
      <c r="CM42" s="404"/>
      <c r="CN42" s="404"/>
      <c r="CO42" s="404"/>
      <c r="CP42" s="404"/>
      <c r="CQ42" s="404"/>
      <c r="CR42" s="404"/>
      <c r="CS42" s="404"/>
      <c r="CT42" s="404"/>
      <c r="CU42" s="404"/>
      <c r="CV42" s="404"/>
      <c r="CW42" s="404"/>
      <c r="CX42" s="404"/>
      <c r="CY42" s="404"/>
      <c r="CZ42" s="404"/>
      <c r="DA42" s="404"/>
      <c r="DB42" s="404"/>
      <c r="DC42" s="404"/>
      <c r="DD42" s="404"/>
      <c r="DE42" s="404"/>
      <c r="DF42" s="404"/>
      <c r="DG42" s="404"/>
      <c r="DH42" s="404"/>
      <c r="DI42" s="404"/>
      <c r="DJ42" s="404"/>
      <c r="DK42" s="404"/>
      <c r="DL42" s="404"/>
      <c r="DM42" s="404"/>
      <c r="DN42" s="404"/>
      <c r="DO42" s="404"/>
      <c r="DP42" s="404"/>
      <c r="DQ42" s="404"/>
      <c r="DR42" s="404"/>
      <c r="DS42" s="404"/>
      <c r="DT42" s="404"/>
      <c r="DU42" s="404"/>
      <c r="DV42" s="404"/>
      <c r="DW42" s="404"/>
      <c r="DX42" s="404"/>
      <c r="DY42" s="404"/>
      <c r="DZ42" s="404"/>
      <c r="EA42" s="404"/>
      <c r="EB42" s="404"/>
      <c r="EC42" s="404"/>
      <c r="ED42" s="404"/>
      <c r="EE42" s="404"/>
      <c r="EF42" s="404"/>
      <c r="EG42" s="404"/>
      <c r="EH42" s="404"/>
      <c r="EI42" s="404"/>
      <c r="EJ42" s="404"/>
      <c r="EK42" s="404"/>
      <c r="EL42" s="404"/>
      <c r="EM42" s="404"/>
      <c r="EN42" s="404"/>
      <c r="EO42" s="404"/>
      <c r="EP42" s="404"/>
      <c r="EQ42" s="404"/>
      <c r="ER42" s="404"/>
      <c r="ES42" s="404"/>
      <c r="ET42" s="404"/>
      <c r="EU42" s="404"/>
      <c r="EV42" s="404"/>
      <c r="EW42" s="404"/>
      <c r="EX42" s="404"/>
      <c r="EY42" s="404"/>
      <c r="EZ42" s="404"/>
      <c r="FA42" s="404"/>
      <c r="FB42" s="404"/>
      <c r="FC42" s="404"/>
      <c r="FD42" s="404"/>
      <c r="FE42" s="404"/>
      <c r="FF42" s="404"/>
      <c r="FG42" s="404"/>
      <c r="FH42" s="404"/>
      <c r="FI42" s="404"/>
      <c r="FJ42" s="404"/>
      <c r="FK42" s="404"/>
      <c r="FL42" s="404"/>
      <c r="FM42" s="404"/>
      <c r="FN42" s="404"/>
      <c r="FO42" s="404"/>
      <c r="FP42" s="404"/>
      <c r="FQ42" s="404"/>
      <c r="FR42" s="404"/>
      <c r="FS42" s="404"/>
      <c r="FT42" s="404"/>
      <c r="FU42" s="404"/>
      <c r="FV42" s="404"/>
      <c r="FW42" s="404"/>
      <c r="FX42" s="404"/>
      <c r="FY42" s="404"/>
      <c r="FZ42" s="404"/>
      <c r="GA42" s="404"/>
      <c r="GB42" s="404"/>
      <c r="GC42" s="404"/>
      <c r="GD42" s="404"/>
      <c r="GE42" s="404"/>
      <c r="GF42" s="404"/>
      <c r="GG42" s="404"/>
      <c r="GH42" s="404"/>
      <c r="GI42" s="404"/>
      <c r="GJ42" s="404"/>
      <c r="GK42" s="404"/>
      <c r="GL42" s="404"/>
      <c r="GM42" s="404"/>
      <c r="GN42" s="404"/>
      <c r="GO42" s="404"/>
      <c r="GP42" s="404"/>
      <c r="GQ42" s="404"/>
      <c r="GR42" s="404"/>
      <c r="GS42" s="404"/>
      <c r="GT42" s="404"/>
      <c r="GU42" s="404"/>
      <c r="GV42" s="404"/>
      <c r="GW42" s="404"/>
      <c r="GX42" s="404"/>
      <c r="GY42" s="404"/>
      <c r="GZ42" s="404"/>
      <c r="HA42" s="404"/>
      <c r="HB42" s="404"/>
      <c r="HC42" s="404"/>
      <c r="HD42" s="404"/>
      <c r="HE42" s="404"/>
      <c r="HF42" s="404"/>
      <c r="HG42" s="404"/>
      <c r="HH42" s="404"/>
      <c r="HI42" s="404"/>
      <c r="HJ42" s="404"/>
      <c r="HK42" s="404"/>
      <c r="HL42" s="404"/>
      <c r="HM42" s="404"/>
      <c r="HN42" s="404"/>
      <c r="HO42" s="404"/>
      <c r="HP42" s="404"/>
      <c r="HQ42" s="404"/>
      <c r="HR42" s="404"/>
      <c r="HS42" s="404"/>
      <c r="HT42" s="404"/>
      <c r="HU42" s="404"/>
      <c r="HV42" s="404"/>
      <c r="HW42" s="404"/>
      <c r="HX42" s="404"/>
      <c r="HY42" s="404"/>
      <c r="HZ42" s="404"/>
      <c r="IA42" s="404"/>
      <c r="IB42" s="404"/>
      <c r="IC42" s="404"/>
      <c r="ID42" s="404"/>
      <c r="IE42" s="404"/>
      <c r="IF42" s="404"/>
      <c r="IG42" s="404"/>
      <c r="IH42" s="404"/>
      <c r="II42" s="404"/>
      <c r="IJ42" s="404"/>
      <c r="IK42" s="404"/>
      <c r="IL42" s="404"/>
      <c r="IM42" s="404"/>
      <c r="IN42" s="404"/>
      <c r="IO42" s="404"/>
      <c r="IP42" s="404"/>
      <c r="IQ42" s="404"/>
      <c r="IR42" s="404"/>
      <c r="IS42" s="404"/>
      <c r="IT42" s="404"/>
      <c r="IU42" s="404"/>
      <c r="IV42" s="404"/>
    </row>
    <row r="43" spans="1:256" s="409" customFormat="1" x14ac:dyDescent="0.35">
      <c r="A43" s="735">
        <v>34</v>
      </c>
      <c r="B43" s="602"/>
      <c r="C43" s="447">
        <v>9</v>
      </c>
      <c r="D43" s="733" t="s">
        <v>530</v>
      </c>
      <c r="E43" s="416"/>
      <c r="F43" s="725"/>
      <c r="G43" s="417"/>
      <c r="H43" s="946" t="s">
        <v>24</v>
      </c>
      <c r="I43" s="964"/>
      <c r="J43" s="960"/>
      <c r="K43" s="960"/>
      <c r="L43" s="960"/>
      <c r="M43" s="960"/>
      <c r="N43" s="960"/>
      <c r="O43" s="730"/>
      <c r="P43" s="726"/>
    </row>
    <row r="44" spans="1:256" x14ac:dyDescent="0.35">
      <c r="A44" s="735">
        <v>35</v>
      </c>
      <c r="B44" s="729"/>
      <c r="C44" s="406"/>
      <c r="D44" s="1735" t="s">
        <v>292</v>
      </c>
      <c r="E44" s="416">
        <f>F44+G44+O46+P44</f>
        <v>3095</v>
      </c>
      <c r="F44" s="725"/>
      <c r="G44" s="417"/>
      <c r="H44" s="946"/>
      <c r="I44" s="964"/>
      <c r="J44" s="960"/>
      <c r="K44" s="960">
        <f>5000-1905</f>
        <v>3095</v>
      </c>
      <c r="L44" s="960"/>
      <c r="M44" s="960"/>
      <c r="N44" s="960"/>
      <c r="O44" s="930">
        <f>SUM(I44:N44)</f>
        <v>3095</v>
      </c>
      <c r="P44" s="726"/>
    </row>
    <row r="45" spans="1:256" x14ac:dyDescent="0.35">
      <c r="A45" s="735">
        <v>36</v>
      </c>
      <c r="B45" s="729"/>
      <c r="C45" s="406"/>
      <c r="D45" s="1499" t="s">
        <v>929</v>
      </c>
      <c r="E45" s="416"/>
      <c r="F45" s="725"/>
      <c r="G45" s="417"/>
      <c r="H45" s="946"/>
      <c r="I45" s="964"/>
      <c r="J45" s="960"/>
      <c r="K45" s="960"/>
      <c r="L45" s="960"/>
      <c r="M45" s="960"/>
      <c r="N45" s="960"/>
      <c r="O45" s="1740">
        <f t="shared" ref="O45:O46" si="13">SUM(I45:N45)</f>
        <v>0</v>
      </c>
      <c r="P45" s="726"/>
    </row>
    <row r="46" spans="1:256" x14ac:dyDescent="0.35">
      <c r="A46" s="735">
        <v>37</v>
      </c>
      <c r="B46" s="729"/>
      <c r="C46" s="406"/>
      <c r="D46" s="641" t="s">
        <v>927</v>
      </c>
      <c r="E46" s="416"/>
      <c r="F46" s="725"/>
      <c r="G46" s="417"/>
      <c r="H46" s="946"/>
      <c r="I46" s="964"/>
      <c r="J46" s="960"/>
      <c r="K46" s="722">
        <f>SUM(K44:K45)</f>
        <v>3095</v>
      </c>
      <c r="L46" s="960"/>
      <c r="M46" s="960"/>
      <c r="N46" s="960"/>
      <c r="O46" s="730">
        <f t="shared" si="13"/>
        <v>3095</v>
      </c>
      <c r="P46" s="726"/>
    </row>
    <row r="47" spans="1:256" x14ac:dyDescent="0.35">
      <c r="A47" s="735">
        <v>38</v>
      </c>
      <c r="B47" s="729"/>
      <c r="C47" s="447">
        <v>10</v>
      </c>
      <c r="D47" s="733" t="s">
        <v>586</v>
      </c>
      <c r="E47" s="416"/>
      <c r="F47" s="725"/>
      <c r="G47" s="417"/>
      <c r="H47" s="946" t="s">
        <v>24</v>
      </c>
      <c r="I47" s="964"/>
      <c r="J47" s="960"/>
      <c r="K47" s="960"/>
      <c r="L47" s="960"/>
      <c r="M47" s="960"/>
      <c r="N47" s="960"/>
      <c r="O47" s="930"/>
      <c r="P47" s="726"/>
    </row>
    <row r="48" spans="1:256" x14ac:dyDescent="0.35">
      <c r="A48" s="735">
        <v>39</v>
      </c>
      <c r="B48" s="729"/>
      <c r="C48" s="406"/>
      <c r="D48" s="1735" t="s">
        <v>292</v>
      </c>
      <c r="E48" s="416">
        <f>F48+G48+O50+P48</f>
        <v>1905</v>
      </c>
      <c r="F48" s="725"/>
      <c r="G48" s="417"/>
      <c r="H48" s="946"/>
      <c r="I48" s="964"/>
      <c r="J48" s="960"/>
      <c r="K48" s="960"/>
      <c r="L48" s="960"/>
      <c r="M48" s="960">
        <v>1905</v>
      </c>
      <c r="N48" s="960"/>
      <c r="O48" s="930">
        <f>SUM(I48:N48)</f>
        <v>1905</v>
      </c>
      <c r="P48" s="726"/>
    </row>
    <row r="49" spans="1:16" x14ac:dyDescent="0.35">
      <c r="A49" s="735">
        <v>40</v>
      </c>
      <c r="B49" s="729"/>
      <c r="C49" s="406"/>
      <c r="D49" s="1499" t="s">
        <v>929</v>
      </c>
      <c r="E49" s="416"/>
      <c r="F49" s="725"/>
      <c r="G49" s="417"/>
      <c r="H49" s="946"/>
      <c r="I49" s="964"/>
      <c r="J49" s="960"/>
      <c r="K49" s="960"/>
      <c r="L49" s="960"/>
      <c r="M49" s="960"/>
      <c r="N49" s="960"/>
      <c r="O49" s="1740">
        <f t="shared" ref="O49:O50" si="14">SUM(I49:N49)</f>
        <v>0</v>
      </c>
      <c r="P49" s="726"/>
    </row>
    <row r="50" spans="1:16" x14ac:dyDescent="0.35">
      <c r="A50" s="735">
        <v>41</v>
      </c>
      <c r="B50" s="729"/>
      <c r="C50" s="406"/>
      <c r="D50" s="641" t="s">
        <v>927</v>
      </c>
      <c r="E50" s="416"/>
      <c r="F50" s="725"/>
      <c r="G50" s="417"/>
      <c r="H50" s="946"/>
      <c r="I50" s="964"/>
      <c r="J50" s="960"/>
      <c r="K50" s="960"/>
      <c r="L50" s="960"/>
      <c r="M50" s="722">
        <f>SUM(M48:M49)</f>
        <v>1905</v>
      </c>
      <c r="N50" s="960"/>
      <c r="O50" s="730">
        <f t="shared" si="14"/>
        <v>1905</v>
      </c>
      <c r="P50" s="726"/>
    </row>
    <row r="51" spans="1:16" x14ac:dyDescent="0.35">
      <c r="A51" s="735">
        <v>42</v>
      </c>
      <c r="B51" s="729"/>
      <c r="C51" s="1141">
        <v>11</v>
      </c>
      <c r="D51" s="1140" t="s">
        <v>711</v>
      </c>
      <c r="E51" s="416"/>
      <c r="F51" s="725"/>
      <c r="G51" s="417"/>
      <c r="H51" s="946" t="s">
        <v>24</v>
      </c>
      <c r="I51" s="964"/>
      <c r="J51" s="960"/>
      <c r="K51" s="960"/>
      <c r="L51" s="960"/>
      <c r="M51" s="960"/>
      <c r="N51" s="960"/>
      <c r="O51" s="930"/>
      <c r="P51" s="726"/>
    </row>
    <row r="52" spans="1:16" x14ac:dyDescent="0.35">
      <c r="A52" s="735">
        <v>43</v>
      </c>
      <c r="B52" s="729"/>
      <c r="C52" s="406"/>
      <c r="D52" s="1735" t="s">
        <v>292</v>
      </c>
      <c r="E52" s="416">
        <f>F52+G52+O54+P52</f>
        <v>500000</v>
      </c>
      <c r="F52" s="725"/>
      <c r="G52" s="417"/>
      <c r="H52" s="946"/>
      <c r="I52" s="964"/>
      <c r="J52" s="960"/>
      <c r="K52" s="960"/>
      <c r="L52" s="960"/>
      <c r="M52" s="960">
        <v>217000</v>
      </c>
      <c r="N52" s="960"/>
      <c r="O52" s="930">
        <f>SUM(I52:N52)</f>
        <v>217000</v>
      </c>
      <c r="P52" s="726">
        <v>283000</v>
      </c>
    </row>
    <row r="53" spans="1:16" x14ac:dyDescent="0.35">
      <c r="A53" s="735">
        <v>44</v>
      </c>
      <c r="B53" s="729"/>
      <c r="C53" s="406"/>
      <c r="D53" s="1499" t="s">
        <v>929</v>
      </c>
      <c r="E53" s="416"/>
      <c r="F53" s="725"/>
      <c r="G53" s="417"/>
      <c r="H53" s="946"/>
      <c r="I53" s="964"/>
      <c r="J53" s="960"/>
      <c r="K53" s="960"/>
      <c r="L53" s="960"/>
      <c r="M53" s="960"/>
      <c r="N53" s="960"/>
      <c r="O53" s="1740">
        <f t="shared" ref="O53:O54" si="15">SUM(I53:N53)</f>
        <v>0</v>
      </c>
      <c r="P53" s="726"/>
    </row>
    <row r="54" spans="1:16" x14ac:dyDescent="0.35">
      <c r="A54" s="735">
        <v>45</v>
      </c>
      <c r="B54" s="729"/>
      <c r="C54" s="406"/>
      <c r="D54" s="641" t="s">
        <v>927</v>
      </c>
      <c r="E54" s="416"/>
      <c r="F54" s="725"/>
      <c r="G54" s="417"/>
      <c r="H54" s="946"/>
      <c r="I54" s="964"/>
      <c r="J54" s="960"/>
      <c r="K54" s="960"/>
      <c r="L54" s="960"/>
      <c r="M54" s="722">
        <f>SUM(M52:M53)</f>
        <v>217000</v>
      </c>
      <c r="N54" s="960"/>
      <c r="O54" s="730">
        <f t="shared" si="15"/>
        <v>217000</v>
      </c>
      <c r="P54" s="726"/>
    </row>
    <row r="55" spans="1:16" x14ac:dyDescent="0.35">
      <c r="A55" s="735">
        <v>46</v>
      </c>
      <c r="B55" s="729"/>
      <c r="C55" s="406">
        <v>12</v>
      </c>
      <c r="D55" s="1140" t="s">
        <v>712</v>
      </c>
      <c r="E55" s="416"/>
      <c r="F55" s="725"/>
      <c r="G55" s="417"/>
      <c r="H55" s="946" t="s">
        <v>24</v>
      </c>
      <c r="I55" s="964"/>
      <c r="J55" s="960"/>
      <c r="K55" s="960"/>
      <c r="L55" s="960"/>
      <c r="M55" s="960"/>
      <c r="N55" s="960"/>
      <c r="O55" s="930"/>
      <c r="P55" s="726"/>
    </row>
    <row r="56" spans="1:16" x14ac:dyDescent="0.35">
      <c r="A56" s="735">
        <v>47</v>
      </c>
      <c r="B56" s="729"/>
      <c r="C56" s="406"/>
      <c r="D56" s="1735" t="s">
        <v>292</v>
      </c>
      <c r="E56" s="416">
        <f>F56+G56+O58+P56</f>
        <v>10</v>
      </c>
      <c r="F56" s="725"/>
      <c r="G56" s="417"/>
      <c r="H56" s="946"/>
      <c r="I56" s="964"/>
      <c r="J56" s="960"/>
      <c r="K56" s="960"/>
      <c r="L56" s="960"/>
      <c r="M56" s="960">
        <v>10</v>
      </c>
      <c r="N56" s="960"/>
      <c r="O56" s="930">
        <f>SUM(I56:N56)</f>
        <v>10</v>
      </c>
      <c r="P56" s="726"/>
    </row>
    <row r="57" spans="1:16" x14ac:dyDescent="0.35">
      <c r="A57" s="735">
        <v>48</v>
      </c>
      <c r="B57" s="729"/>
      <c r="C57" s="406"/>
      <c r="D57" s="1499" t="s">
        <v>929</v>
      </c>
      <c r="E57" s="416"/>
      <c r="F57" s="725"/>
      <c r="G57" s="417"/>
      <c r="H57" s="946"/>
      <c r="I57" s="964"/>
      <c r="J57" s="960"/>
      <c r="K57" s="960"/>
      <c r="L57" s="960"/>
      <c r="M57" s="960"/>
      <c r="N57" s="960"/>
      <c r="O57" s="1740">
        <f t="shared" ref="O57:O58" si="16">SUM(I57:N57)</f>
        <v>0</v>
      </c>
      <c r="P57" s="726"/>
    </row>
    <row r="58" spans="1:16" x14ac:dyDescent="0.35">
      <c r="A58" s="735">
        <v>49</v>
      </c>
      <c r="B58" s="729"/>
      <c r="C58" s="406"/>
      <c r="D58" s="641" t="s">
        <v>927</v>
      </c>
      <c r="E58" s="416"/>
      <c r="F58" s="725"/>
      <c r="G58" s="417"/>
      <c r="H58" s="946"/>
      <c r="I58" s="964"/>
      <c r="J58" s="960"/>
      <c r="K58" s="960"/>
      <c r="L58" s="960"/>
      <c r="M58" s="722">
        <f>SUM(M56:M57)</f>
        <v>10</v>
      </c>
      <c r="N58" s="960"/>
      <c r="O58" s="730">
        <f t="shared" si="16"/>
        <v>10</v>
      </c>
      <c r="P58" s="726"/>
    </row>
    <row r="59" spans="1:16" x14ac:dyDescent="0.35">
      <c r="A59" s="735">
        <v>50</v>
      </c>
      <c r="B59" s="729"/>
      <c r="C59" s="406">
        <v>13</v>
      </c>
      <c r="D59" s="1140" t="s">
        <v>900</v>
      </c>
      <c r="E59" s="416"/>
      <c r="F59" s="725"/>
      <c r="G59" s="417"/>
      <c r="H59" s="946" t="s">
        <v>24</v>
      </c>
      <c r="I59" s="964"/>
      <c r="J59" s="960"/>
      <c r="K59" s="960"/>
      <c r="L59" s="960"/>
      <c r="M59" s="960"/>
      <c r="N59" s="960"/>
      <c r="O59" s="930"/>
      <c r="P59" s="726"/>
    </row>
    <row r="60" spans="1:16" x14ac:dyDescent="0.35">
      <c r="A60" s="735">
        <v>51</v>
      </c>
      <c r="B60" s="729"/>
      <c r="C60" s="406"/>
      <c r="D60" s="1735" t="s">
        <v>292</v>
      </c>
      <c r="E60" s="416">
        <f>F60+G60+O62+P60</f>
        <v>499990</v>
      </c>
      <c r="F60" s="725"/>
      <c r="G60" s="417"/>
      <c r="H60" s="946"/>
      <c r="I60" s="964"/>
      <c r="J60" s="960"/>
      <c r="K60" s="960"/>
      <c r="L60" s="960"/>
      <c r="M60" s="960">
        <v>499990</v>
      </c>
      <c r="N60" s="960"/>
      <c r="O60" s="930">
        <f>SUM(I60:N60)</f>
        <v>499990</v>
      </c>
      <c r="P60" s="726"/>
    </row>
    <row r="61" spans="1:16" x14ac:dyDescent="0.35">
      <c r="A61" s="735">
        <v>52</v>
      </c>
      <c r="B61" s="729"/>
      <c r="C61" s="406"/>
      <c r="D61" s="1499" t="s">
        <v>929</v>
      </c>
      <c r="E61" s="416"/>
      <c r="F61" s="725"/>
      <c r="G61" s="417"/>
      <c r="H61" s="946"/>
      <c r="I61" s="964"/>
      <c r="J61" s="960"/>
      <c r="K61" s="960"/>
      <c r="L61" s="960"/>
      <c r="M61" s="960"/>
      <c r="N61" s="960"/>
      <c r="O61" s="1740">
        <f t="shared" ref="O61:O62" si="17">SUM(I61:N61)</f>
        <v>0</v>
      </c>
      <c r="P61" s="726"/>
    </row>
    <row r="62" spans="1:16" x14ac:dyDescent="0.35">
      <c r="A62" s="735">
        <v>53</v>
      </c>
      <c r="B62" s="729"/>
      <c r="C62" s="406"/>
      <c r="D62" s="641" t="s">
        <v>927</v>
      </c>
      <c r="E62" s="416"/>
      <c r="F62" s="725"/>
      <c r="G62" s="417"/>
      <c r="H62" s="946"/>
      <c r="I62" s="964"/>
      <c r="J62" s="960"/>
      <c r="K62" s="960"/>
      <c r="L62" s="960"/>
      <c r="M62" s="722">
        <f>SUM(M60:M61)</f>
        <v>499990</v>
      </c>
      <c r="N62" s="960"/>
      <c r="O62" s="730">
        <f t="shared" si="17"/>
        <v>499990</v>
      </c>
      <c r="P62" s="726"/>
    </row>
    <row r="63" spans="1:16" x14ac:dyDescent="0.35">
      <c r="A63" s="735">
        <v>54</v>
      </c>
      <c r="B63" s="729"/>
      <c r="C63" s="406">
        <v>14</v>
      </c>
      <c r="D63" s="733" t="s">
        <v>710</v>
      </c>
      <c r="E63" s="416"/>
      <c r="F63" s="725"/>
      <c r="G63" s="417"/>
      <c r="H63" s="946" t="s">
        <v>24</v>
      </c>
      <c r="I63" s="964"/>
      <c r="J63" s="960"/>
      <c r="K63" s="960"/>
      <c r="L63" s="960"/>
      <c r="M63" s="960"/>
      <c r="N63" s="960"/>
      <c r="O63" s="930"/>
      <c r="P63" s="726"/>
    </row>
    <row r="64" spans="1:16" x14ac:dyDescent="0.35">
      <c r="A64" s="735">
        <v>55</v>
      </c>
      <c r="B64" s="729"/>
      <c r="C64" s="406"/>
      <c r="D64" s="1735" t="s">
        <v>292</v>
      </c>
      <c r="E64" s="416">
        <f>F64+G64+O66+P64</f>
        <v>1500</v>
      </c>
      <c r="F64" s="725"/>
      <c r="G64" s="417"/>
      <c r="H64" s="946"/>
      <c r="I64" s="964"/>
      <c r="J64" s="960"/>
      <c r="K64" s="960">
        <v>1500</v>
      </c>
      <c r="L64" s="960"/>
      <c r="M64" s="960"/>
      <c r="N64" s="960"/>
      <c r="O64" s="930">
        <f>SUM(I64:N64)</f>
        <v>1500</v>
      </c>
      <c r="P64" s="726"/>
    </row>
    <row r="65" spans="1:16" x14ac:dyDescent="0.35">
      <c r="A65" s="735">
        <v>56</v>
      </c>
      <c r="B65" s="729"/>
      <c r="C65" s="406"/>
      <c r="D65" s="1499" t="s">
        <v>929</v>
      </c>
      <c r="E65" s="416"/>
      <c r="F65" s="725"/>
      <c r="G65" s="417"/>
      <c r="H65" s="946"/>
      <c r="I65" s="964"/>
      <c r="J65" s="960"/>
      <c r="K65" s="960"/>
      <c r="L65" s="960"/>
      <c r="M65" s="960"/>
      <c r="N65" s="960"/>
      <c r="O65" s="1740">
        <f t="shared" ref="O65:O66" si="18">SUM(I65:N65)</f>
        <v>0</v>
      </c>
      <c r="P65" s="726"/>
    </row>
    <row r="66" spans="1:16" x14ac:dyDescent="0.35">
      <c r="A66" s="735">
        <v>57</v>
      </c>
      <c r="B66" s="729"/>
      <c r="C66" s="406"/>
      <c r="D66" s="641" t="s">
        <v>927</v>
      </c>
      <c r="E66" s="416"/>
      <c r="F66" s="725"/>
      <c r="G66" s="417"/>
      <c r="H66" s="946"/>
      <c r="I66" s="964"/>
      <c r="J66" s="960"/>
      <c r="K66" s="722">
        <f>SUM(K64:K65)</f>
        <v>1500</v>
      </c>
      <c r="L66" s="960"/>
      <c r="M66" s="960"/>
      <c r="N66" s="960"/>
      <c r="O66" s="730">
        <f t="shared" si="18"/>
        <v>1500</v>
      </c>
      <c r="P66" s="726"/>
    </row>
    <row r="67" spans="1:16" x14ac:dyDescent="0.35">
      <c r="A67" s="735">
        <v>58</v>
      </c>
      <c r="B67" s="729"/>
      <c r="C67" s="447">
        <v>15</v>
      </c>
      <c r="D67" s="733" t="s">
        <v>551</v>
      </c>
      <c r="E67" s="416"/>
      <c r="F67" s="725"/>
      <c r="G67" s="417"/>
      <c r="H67" s="946" t="s">
        <v>24</v>
      </c>
      <c r="I67" s="964"/>
      <c r="J67" s="960"/>
      <c r="K67" s="960"/>
      <c r="L67" s="960"/>
      <c r="M67" s="960"/>
      <c r="N67" s="960"/>
      <c r="O67" s="930"/>
      <c r="P67" s="726"/>
    </row>
    <row r="68" spans="1:16" x14ac:dyDescent="0.35">
      <c r="A68" s="735">
        <v>59</v>
      </c>
      <c r="B68" s="729"/>
      <c r="C68" s="406"/>
      <c r="D68" s="1735" t="s">
        <v>292</v>
      </c>
      <c r="E68" s="416">
        <f>F68+G68+O70+P68</f>
        <v>5521</v>
      </c>
      <c r="F68" s="725"/>
      <c r="G68" s="417"/>
      <c r="H68" s="946"/>
      <c r="I68" s="964"/>
      <c r="J68" s="960"/>
      <c r="K68" s="960">
        <v>79</v>
      </c>
      <c r="L68" s="960"/>
      <c r="M68" s="960">
        <v>5442</v>
      </c>
      <c r="N68" s="960"/>
      <c r="O68" s="930">
        <f>SUM(I68:N68)</f>
        <v>5521</v>
      </c>
      <c r="P68" s="726"/>
    </row>
    <row r="69" spans="1:16" x14ac:dyDescent="0.35">
      <c r="A69" s="735">
        <v>60</v>
      </c>
      <c r="B69" s="729"/>
      <c r="C69" s="406"/>
      <c r="D69" s="1499" t="s">
        <v>929</v>
      </c>
      <c r="E69" s="416"/>
      <c r="F69" s="725"/>
      <c r="G69" s="417"/>
      <c r="H69" s="946"/>
      <c r="I69" s="964"/>
      <c r="J69" s="960"/>
      <c r="K69" s="960"/>
      <c r="L69" s="960"/>
      <c r="M69" s="960"/>
      <c r="N69" s="960"/>
      <c r="O69" s="1740">
        <f t="shared" ref="O69:O70" si="19">SUM(I69:N69)</f>
        <v>0</v>
      </c>
      <c r="P69" s="726"/>
    </row>
    <row r="70" spans="1:16" x14ac:dyDescent="0.35">
      <c r="A70" s="735">
        <v>61</v>
      </c>
      <c r="B70" s="729"/>
      <c r="C70" s="406"/>
      <c r="D70" s="641" t="s">
        <v>927</v>
      </c>
      <c r="E70" s="416"/>
      <c r="F70" s="725"/>
      <c r="G70" s="417"/>
      <c r="H70" s="946"/>
      <c r="I70" s="964"/>
      <c r="J70" s="960"/>
      <c r="K70" s="722">
        <f>SUM(K68:K69)</f>
        <v>79</v>
      </c>
      <c r="L70" s="722"/>
      <c r="M70" s="722">
        <f t="shared" ref="M70" si="20">SUM(M68:M69)</f>
        <v>5442</v>
      </c>
      <c r="N70" s="960"/>
      <c r="O70" s="730">
        <f t="shared" si="19"/>
        <v>5521</v>
      </c>
      <c r="P70" s="726"/>
    </row>
    <row r="71" spans="1:16" x14ac:dyDescent="0.35">
      <c r="A71" s="735">
        <v>62</v>
      </c>
      <c r="B71" s="729"/>
      <c r="C71" s="447">
        <v>16</v>
      </c>
      <c r="D71" s="733" t="s">
        <v>709</v>
      </c>
      <c r="E71" s="416"/>
      <c r="F71" s="725"/>
      <c r="G71" s="417"/>
      <c r="H71" s="946" t="s">
        <v>24</v>
      </c>
      <c r="I71" s="964"/>
      <c r="J71" s="960"/>
      <c r="K71" s="960"/>
      <c r="L71" s="960"/>
      <c r="M71" s="960"/>
      <c r="N71" s="960"/>
      <c r="O71" s="930"/>
      <c r="P71" s="726"/>
    </row>
    <row r="72" spans="1:16" x14ac:dyDescent="0.35">
      <c r="A72" s="735">
        <v>63</v>
      </c>
      <c r="B72" s="729"/>
      <c r="C72" s="406"/>
      <c r="D72" s="1735" t="s">
        <v>292</v>
      </c>
      <c r="E72" s="416">
        <f>F72+G72+O74+P72</f>
        <v>18903</v>
      </c>
      <c r="F72" s="725"/>
      <c r="G72" s="417"/>
      <c r="H72" s="946"/>
      <c r="I72" s="964"/>
      <c r="J72" s="960"/>
      <c r="K72" s="960">
        <v>18903</v>
      </c>
      <c r="L72" s="960"/>
      <c r="M72" s="960"/>
      <c r="N72" s="960"/>
      <c r="O72" s="930">
        <f>SUM(I72:N72)</f>
        <v>18903</v>
      </c>
      <c r="P72" s="726"/>
    </row>
    <row r="73" spans="1:16" x14ac:dyDescent="0.35">
      <c r="A73" s="735">
        <v>64</v>
      </c>
      <c r="B73" s="1771"/>
      <c r="C73" s="406"/>
      <c r="D73" s="1499" t="s">
        <v>1082</v>
      </c>
      <c r="E73" s="1738"/>
      <c r="F73" s="725"/>
      <c r="G73" s="1738"/>
      <c r="H73" s="946"/>
      <c r="I73" s="964"/>
      <c r="J73" s="964"/>
      <c r="K73" s="1730">
        <v>-34</v>
      </c>
      <c r="L73" s="1730">
        <v>34</v>
      </c>
      <c r="M73" s="964"/>
      <c r="N73" s="964"/>
      <c r="O73" s="1740">
        <f t="shared" ref="O73:O80" si="21">SUM(I73:N73)</f>
        <v>0</v>
      </c>
      <c r="P73" s="726"/>
    </row>
    <row r="74" spans="1:16" x14ac:dyDescent="0.35">
      <c r="A74" s="735">
        <v>65</v>
      </c>
      <c r="B74" s="1771"/>
      <c r="C74" s="406"/>
      <c r="D74" s="641" t="s">
        <v>927</v>
      </c>
      <c r="E74" s="1738"/>
      <c r="F74" s="725"/>
      <c r="G74" s="1738"/>
      <c r="H74" s="946"/>
      <c r="I74" s="964"/>
      <c r="J74" s="964"/>
      <c r="K74" s="943">
        <f>SUM(K72:K73)</f>
        <v>18869</v>
      </c>
      <c r="L74" s="943">
        <f>SUM(L73)</f>
        <v>34</v>
      </c>
      <c r="M74" s="964"/>
      <c r="N74" s="964"/>
      <c r="O74" s="730">
        <f t="shared" si="21"/>
        <v>18903</v>
      </c>
      <c r="P74" s="726"/>
    </row>
    <row r="75" spans="1:16" ht="33.75" x14ac:dyDescent="0.35">
      <c r="A75" s="735">
        <v>66</v>
      </c>
      <c r="B75" s="1771"/>
      <c r="C75" s="447">
        <v>17</v>
      </c>
      <c r="D75" s="1772" t="s">
        <v>1083</v>
      </c>
      <c r="E75" s="416">
        <f>F75+G75+O77+P76</f>
        <v>60000</v>
      </c>
      <c r="F75" s="1773"/>
      <c r="G75" s="1738"/>
      <c r="H75" s="946" t="s">
        <v>24</v>
      </c>
      <c r="I75" s="964"/>
      <c r="J75" s="964"/>
      <c r="K75" s="943"/>
      <c r="L75" s="943"/>
      <c r="M75" s="964"/>
      <c r="N75" s="964"/>
      <c r="O75" s="1739"/>
      <c r="P75" s="726"/>
    </row>
    <row r="76" spans="1:16" x14ac:dyDescent="0.35">
      <c r="A76" s="735">
        <v>67</v>
      </c>
      <c r="B76" s="1771"/>
      <c r="C76" s="406"/>
      <c r="D76" s="1499" t="s">
        <v>1084</v>
      </c>
      <c r="E76" s="416"/>
      <c r="F76" s="1773"/>
      <c r="G76" s="1738"/>
      <c r="H76" s="946"/>
      <c r="I76" s="964"/>
      <c r="J76" s="964"/>
      <c r="K76" s="943"/>
      <c r="L76" s="943"/>
      <c r="M76" s="1730">
        <f>30000+30000</f>
        <v>60000</v>
      </c>
      <c r="N76" s="964"/>
      <c r="O76" s="1740">
        <f t="shared" si="21"/>
        <v>60000</v>
      </c>
      <c r="P76" s="726"/>
    </row>
    <row r="77" spans="1:16" x14ac:dyDescent="0.35">
      <c r="A77" s="735">
        <v>68</v>
      </c>
      <c r="B77" s="1771"/>
      <c r="C77" s="406"/>
      <c r="D77" s="641" t="s">
        <v>927</v>
      </c>
      <c r="E77" s="416"/>
      <c r="F77" s="1773"/>
      <c r="G77" s="1738"/>
      <c r="H77" s="946"/>
      <c r="I77" s="964"/>
      <c r="J77" s="964"/>
      <c r="K77" s="943"/>
      <c r="L77" s="943"/>
      <c r="M77" s="943">
        <f>SUM(M76)</f>
        <v>60000</v>
      </c>
      <c r="N77" s="964"/>
      <c r="O77" s="730">
        <f t="shared" si="21"/>
        <v>60000</v>
      </c>
      <c r="P77" s="726"/>
    </row>
    <row r="78" spans="1:16" ht="83.25" x14ac:dyDescent="0.35">
      <c r="A78" s="735">
        <v>69</v>
      </c>
      <c r="B78" s="1771"/>
      <c r="C78" s="406">
        <v>18</v>
      </c>
      <c r="D78" s="1772" t="s">
        <v>1085</v>
      </c>
      <c r="E78" s="1774">
        <f>F78+G78+O80+P79</f>
        <v>19000</v>
      </c>
      <c r="F78" s="1773"/>
      <c r="G78" s="1738"/>
      <c r="H78" s="946" t="s">
        <v>24</v>
      </c>
      <c r="I78" s="964"/>
      <c r="J78" s="964"/>
      <c r="K78" s="943"/>
      <c r="L78" s="943"/>
      <c r="M78" s="964"/>
      <c r="N78" s="964"/>
      <c r="O78" s="1739"/>
      <c r="P78" s="726"/>
    </row>
    <row r="79" spans="1:16" x14ac:dyDescent="0.35">
      <c r="A79" s="735">
        <v>70</v>
      </c>
      <c r="B79" s="1771"/>
      <c r="C79" s="406"/>
      <c r="D79" s="1499" t="s">
        <v>1086</v>
      </c>
      <c r="E79" s="416"/>
      <c r="F79" s="1773"/>
      <c r="G79" s="1738"/>
      <c r="H79" s="946"/>
      <c r="I79" s="964"/>
      <c r="J79" s="964"/>
      <c r="K79" s="943"/>
      <c r="L79" s="943"/>
      <c r="M79" s="1730">
        <v>19000</v>
      </c>
      <c r="N79" s="964"/>
      <c r="O79" s="1740">
        <f t="shared" si="21"/>
        <v>19000</v>
      </c>
      <c r="P79" s="726"/>
    </row>
    <row r="80" spans="1:16" ht="18" thickBot="1" x14ac:dyDescent="0.4">
      <c r="A80" s="735">
        <v>71</v>
      </c>
      <c r="B80" s="1775"/>
      <c r="C80" s="1776"/>
      <c r="D80" s="1777" t="s">
        <v>927</v>
      </c>
      <c r="E80" s="1012"/>
      <c r="F80" s="1778"/>
      <c r="G80" s="1779"/>
      <c r="H80" s="1015"/>
      <c r="I80" s="1780"/>
      <c r="J80" s="1780"/>
      <c r="K80" s="1016"/>
      <c r="L80" s="1016"/>
      <c r="M80" s="1780">
        <f>SUM(M79)</f>
        <v>19000</v>
      </c>
      <c r="N80" s="1780"/>
      <c r="O80" s="1781">
        <f t="shared" si="21"/>
        <v>19000</v>
      </c>
      <c r="P80" s="1002"/>
    </row>
    <row r="81" spans="1:16" x14ac:dyDescent="0.3">
      <c r="A81" s="735">
        <v>72</v>
      </c>
      <c r="B81" s="2152" t="s">
        <v>13</v>
      </c>
      <c r="C81" s="2153"/>
      <c r="D81" s="2153"/>
      <c r="E81" s="2153"/>
      <c r="F81" s="2153"/>
      <c r="G81" s="2154"/>
      <c r="H81" s="1782"/>
      <c r="I81" s="1749"/>
      <c r="J81" s="1749"/>
      <c r="K81" s="1749"/>
      <c r="L81" s="1749"/>
      <c r="M81" s="1749"/>
      <c r="N81" s="1749"/>
      <c r="O81" s="1749"/>
      <c r="P81" s="1750">
        <f>SUM(P11:P72)</f>
        <v>12880287</v>
      </c>
    </row>
    <row r="82" spans="1:16" x14ac:dyDescent="0.35">
      <c r="A82" s="735">
        <v>73</v>
      </c>
      <c r="B82" s="1751"/>
      <c r="C82" s="1752"/>
      <c r="D82" s="2161" t="s">
        <v>292</v>
      </c>
      <c r="E82" s="2162"/>
      <c r="F82" s="2162"/>
      <c r="G82" s="2163"/>
      <c r="H82" s="1783"/>
      <c r="I82" s="1784">
        <f>I72+I68+I64+I60+I56+I52+I48+I44+I40+I36+I32+I28+I24+I20+I16+I12</f>
        <v>0</v>
      </c>
      <c r="J82" s="1754">
        <f t="shared" ref="J82:N82" si="22">J72+J68+J64+J60+J56+J52+J48+J44+J40+J36+J32+J28+J24+J20+J16+J12</f>
        <v>0</v>
      </c>
      <c r="K82" s="1754">
        <f t="shared" si="22"/>
        <v>209396</v>
      </c>
      <c r="L82" s="1754">
        <f t="shared" si="22"/>
        <v>0</v>
      </c>
      <c r="M82" s="1754">
        <f t="shared" si="22"/>
        <v>16186034</v>
      </c>
      <c r="N82" s="1754">
        <f t="shared" si="22"/>
        <v>40493</v>
      </c>
      <c r="O82" s="998">
        <f>SUM(I82:N82)</f>
        <v>16435923</v>
      </c>
      <c r="P82" s="1785"/>
    </row>
    <row r="83" spans="1:16" x14ac:dyDescent="0.35">
      <c r="A83" s="735">
        <v>74</v>
      </c>
      <c r="B83" s="1757"/>
      <c r="C83" s="1758"/>
      <c r="D83" s="2058" t="s">
        <v>929</v>
      </c>
      <c r="E83" s="2059"/>
      <c r="F83" s="2059"/>
      <c r="G83" s="2060"/>
      <c r="H83" s="1786"/>
      <c r="I83" s="1731">
        <f>I73+I69+I65+I61+I57+I53+I49+I45+I41+I37+I33+I29+I25+I21+I17+I13+I76+I79</f>
        <v>0</v>
      </c>
      <c r="J83" s="1731">
        <f t="shared" ref="J83:N83" si="23">J73+J69+J65+J61+J57+J53+J49+J45+J41+J37+J33+J29+J25+J21+J17+J13+J76+J79</f>
        <v>0</v>
      </c>
      <c r="K83" s="1731">
        <f t="shared" si="23"/>
        <v>-7549</v>
      </c>
      <c r="L83" s="1731">
        <f t="shared" si="23"/>
        <v>34</v>
      </c>
      <c r="M83" s="1731">
        <f t="shared" si="23"/>
        <v>86515</v>
      </c>
      <c r="N83" s="1731">
        <f t="shared" si="23"/>
        <v>0</v>
      </c>
      <c r="O83" s="1732">
        <f t="shared" ref="O83" si="24">SUM(I83:N83)</f>
        <v>79000</v>
      </c>
      <c r="P83" s="1787"/>
    </row>
    <row r="84" spans="1:16" ht="18" thickBot="1" x14ac:dyDescent="0.4">
      <c r="A84" s="735">
        <v>75</v>
      </c>
      <c r="B84" s="1763"/>
      <c r="C84" s="1764"/>
      <c r="D84" s="2067" t="s">
        <v>927</v>
      </c>
      <c r="E84" s="2068"/>
      <c r="F84" s="2068"/>
      <c r="G84" s="2069"/>
      <c r="H84" s="1788"/>
      <c r="I84" s="1766">
        <f>SUM(I82:I83)</f>
        <v>0</v>
      </c>
      <c r="J84" s="1766">
        <f t="shared" ref="J84:N84" si="25">SUM(J82:J83)</f>
        <v>0</v>
      </c>
      <c r="K84" s="1766">
        <f t="shared" si="25"/>
        <v>201847</v>
      </c>
      <c r="L84" s="1766">
        <f t="shared" si="25"/>
        <v>34</v>
      </c>
      <c r="M84" s="1766">
        <f t="shared" si="25"/>
        <v>16272549</v>
      </c>
      <c r="N84" s="1766">
        <f t="shared" si="25"/>
        <v>40493</v>
      </c>
      <c r="O84" s="1789">
        <f>SUM(I84:N84)</f>
        <v>16514923</v>
      </c>
      <c r="P84" s="1790"/>
    </row>
    <row r="85" spans="1:16" x14ac:dyDescent="0.35">
      <c r="B85" s="727" t="s">
        <v>27</v>
      </c>
      <c r="C85" s="728"/>
      <c r="D85" s="727"/>
      <c r="E85" s="418"/>
      <c r="F85" s="419"/>
      <c r="G85" s="418"/>
      <c r="H85" s="714"/>
      <c r="I85" s="418"/>
      <c r="J85" s="418"/>
      <c r="K85" s="418"/>
      <c r="L85" s="418"/>
      <c r="M85" s="418"/>
      <c r="N85" s="418"/>
      <c r="O85" s="737"/>
      <c r="P85" s="1373"/>
    </row>
    <row r="86" spans="1:16" x14ac:dyDescent="0.35">
      <c r="B86" s="727" t="s">
        <v>28</v>
      </c>
      <c r="C86" s="728"/>
      <c r="D86" s="727"/>
      <c r="E86" s="608"/>
      <c r="F86" s="419"/>
      <c r="G86" s="418"/>
      <c r="H86" s="714"/>
      <c r="I86" s="418"/>
      <c r="J86" s="418"/>
      <c r="K86" s="418"/>
      <c r="L86" s="418"/>
      <c r="M86" s="418"/>
      <c r="N86" s="418"/>
      <c r="O86" s="737"/>
      <c r="P86" s="1373"/>
    </row>
    <row r="87" spans="1:16" x14ac:dyDescent="0.35">
      <c r="B87" s="727" t="s">
        <v>29</v>
      </c>
      <c r="C87" s="728"/>
      <c r="D87" s="727"/>
      <c r="E87" s="608"/>
      <c r="F87" s="419"/>
      <c r="G87" s="418"/>
      <c r="H87" s="714"/>
      <c r="I87" s="418"/>
      <c r="J87" s="418"/>
      <c r="K87" s="418"/>
      <c r="L87" s="418"/>
      <c r="M87" s="418"/>
      <c r="N87" s="418"/>
      <c r="O87" s="737"/>
      <c r="P87" s="1373"/>
    </row>
    <row r="88" spans="1:16" x14ac:dyDescent="0.35">
      <c r="B88" s="415" t="s">
        <v>632</v>
      </c>
      <c r="C88" s="415"/>
      <c r="E88" s="1373"/>
      <c r="F88" s="1373"/>
      <c r="G88" s="1373"/>
      <c r="I88" s="1373"/>
      <c r="J88" s="1373"/>
      <c r="K88" s="1373"/>
      <c r="L88" s="1373"/>
      <c r="M88" s="1373"/>
      <c r="N88" s="1373"/>
      <c r="P88" s="1373"/>
    </row>
  </sheetData>
  <mergeCells count="21">
    <mergeCell ref="B81:G81"/>
    <mergeCell ref="D82:G82"/>
    <mergeCell ref="D83:G83"/>
    <mergeCell ref="D84:G84"/>
    <mergeCell ref="Q7:R7"/>
    <mergeCell ref="I8:L8"/>
    <mergeCell ref="M8:N8"/>
    <mergeCell ref="O8:O9"/>
    <mergeCell ref="I7:O7"/>
    <mergeCell ref="P7:P9"/>
    <mergeCell ref="C7:C9"/>
    <mergeCell ref="D7:D9"/>
    <mergeCell ref="E7:E9"/>
    <mergeCell ref="F7:F9"/>
    <mergeCell ref="G7:G9"/>
    <mergeCell ref="H7:H9"/>
    <mergeCell ref="I1:P1"/>
    <mergeCell ref="A3:P3"/>
    <mergeCell ref="A4:P4"/>
    <mergeCell ref="B7:B9"/>
    <mergeCell ref="B2:F2"/>
  </mergeCells>
  <printOptions horizontalCentered="1"/>
  <pageMargins left="0.19685039370078741" right="0.19685039370078741" top="0.59055118110236227" bottom="0.59055118110236227" header="0.51181102362204722" footer="0.51181102362204722"/>
  <pageSetup paperSize="9" scale="60" fitToHeight="0" orientation="landscape" r:id="rId1"/>
  <headerFooter>
    <oddFooter>&amp;C-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29"/>
  <sheetViews>
    <sheetView view="pageBreakPreview" zoomScaleNormal="100" zoomScaleSheetLayoutView="100" workbookViewId="0">
      <selection activeCell="B2" sqref="B2:F2"/>
    </sheetView>
  </sheetViews>
  <sheetFormatPr defaultColWidth="9.140625" defaultRowHeight="17.25" x14ac:dyDescent="0.35"/>
  <cols>
    <col min="1" max="1" width="3.7109375" style="713" customWidth="1"/>
    <col min="2" max="3" width="5.7109375" style="848" customWidth="1"/>
    <col min="4" max="4" width="62.7109375" style="404" customWidth="1"/>
    <col min="5" max="5" width="12.7109375" style="847" customWidth="1"/>
    <col min="6" max="7" width="10.7109375" style="847" customWidth="1"/>
    <col min="8" max="8" width="6.7109375" style="716" customWidth="1"/>
    <col min="9" max="15" width="14.85546875" style="847" customWidth="1"/>
    <col min="16" max="16" width="15.7109375" style="736" customWidth="1"/>
    <col min="17" max="17" width="13.85546875" style="847" customWidth="1"/>
    <col min="18" max="16384" width="9.140625" style="404"/>
  </cols>
  <sheetData>
    <row r="1" spans="1:256" ht="18" customHeight="1" x14ac:dyDescent="0.3">
      <c r="A1" s="1422"/>
      <c r="B1" s="1422" t="s">
        <v>914</v>
      </c>
      <c r="C1" s="1422"/>
      <c r="D1" s="1422"/>
      <c r="E1" s="608"/>
      <c r="F1" s="608"/>
      <c r="G1" s="608"/>
      <c r="H1" s="714"/>
      <c r="I1" s="2081"/>
      <c r="J1" s="2081"/>
      <c r="K1" s="2081"/>
      <c r="L1" s="2081"/>
      <c r="M1" s="2081"/>
      <c r="N1" s="2081"/>
      <c r="O1" s="2081"/>
      <c r="P1" s="2081"/>
      <c r="Q1" s="2081"/>
      <c r="R1" s="715"/>
      <c r="S1" s="715"/>
      <c r="T1" s="715"/>
      <c r="U1" s="715"/>
      <c r="V1" s="715"/>
      <c r="W1" s="715"/>
      <c r="X1" s="715"/>
      <c r="Y1" s="715"/>
      <c r="Z1" s="715"/>
      <c r="AA1" s="715"/>
      <c r="AB1" s="715"/>
      <c r="AC1" s="715"/>
      <c r="AD1" s="715"/>
      <c r="AE1" s="715"/>
      <c r="AF1" s="715"/>
      <c r="AG1" s="715"/>
      <c r="AH1" s="715"/>
      <c r="AI1" s="715"/>
      <c r="AJ1" s="715"/>
      <c r="AK1" s="715"/>
      <c r="AL1" s="715"/>
      <c r="AM1" s="715"/>
      <c r="AN1" s="715"/>
      <c r="AO1" s="715"/>
      <c r="AP1" s="715"/>
      <c r="AQ1" s="715"/>
      <c r="AR1" s="715"/>
      <c r="AS1" s="715"/>
      <c r="AT1" s="715"/>
      <c r="AU1" s="715"/>
      <c r="AV1" s="715"/>
      <c r="AW1" s="715"/>
      <c r="AX1" s="715"/>
      <c r="AY1" s="715"/>
      <c r="AZ1" s="715"/>
      <c r="BA1" s="715"/>
      <c r="BB1" s="715"/>
      <c r="BC1" s="715"/>
      <c r="BD1" s="715"/>
      <c r="BE1" s="715"/>
      <c r="BF1" s="715"/>
      <c r="BG1" s="715"/>
      <c r="BH1" s="715"/>
      <c r="BI1" s="715"/>
      <c r="BJ1" s="715"/>
      <c r="BK1" s="715"/>
      <c r="BL1" s="715"/>
      <c r="BM1" s="715"/>
      <c r="BN1" s="715"/>
      <c r="BO1" s="715"/>
      <c r="BP1" s="715"/>
      <c r="BQ1" s="715"/>
      <c r="BR1" s="715"/>
      <c r="BS1" s="715"/>
      <c r="BT1" s="715"/>
      <c r="BU1" s="715"/>
      <c r="BV1" s="715"/>
      <c r="BW1" s="715"/>
      <c r="BX1" s="715"/>
      <c r="BY1" s="715"/>
      <c r="BZ1" s="715"/>
      <c r="CA1" s="715"/>
      <c r="CB1" s="715"/>
      <c r="CC1" s="715"/>
      <c r="CD1" s="715"/>
      <c r="CE1" s="715"/>
      <c r="CF1" s="715"/>
      <c r="CG1" s="715"/>
      <c r="CH1" s="715"/>
      <c r="CI1" s="715"/>
      <c r="CJ1" s="715"/>
      <c r="CK1" s="715"/>
      <c r="CL1" s="715"/>
      <c r="CM1" s="715"/>
      <c r="CN1" s="715"/>
      <c r="CO1" s="715"/>
      <c r="CP1" s="715"/>
      <c r="CQ1" s="715"/>
      <c r="CR1" s="715"/>
      <c r="CS1" s="715"/>
      <c r="CT1" s="715"/>
      <c r="CU1" s="715"/>
      <c r="CV1" s="715"/>
      <c r="CW1" s="715"/>
      <c r="CX1" s="715"/>
      <c r="CY1" s="715"/>
      <c r="CZ1" s="715"/>
      <c r="DA1" s="715"/>
      <c r="DB1" s="715"/>
      <c r="DC1" s="715"/>
      <c r="DD1" s="715"/>
      <c r="DE1" s="715"/>
      <c r="DF1" s="715"/>
      <c r="DG1" s="715"/>
      <c r="DH1" s="715"/>
      <c r="DI1" s="715"/>
      <c r="DJ1" s="715"/>
      <c r="DK1" s="715"/>
      <c r="DL1" s="715"/>
      <c r="DM1" s="715"/>
      <c r="DN1" s="715"/>
      <c r="DO1" s="715"/>
      <c r="DP1" s="715"/>
      <c r="DQ1" s="715"/>
      <c r="DR1" s="715"/>
      <c r="DS1" s="715"/>
      <c r="DT1" s="715"/>
      <c r="DU1" s="715"/>
      <c r="DV1" s="715"/>
      <c r="DW1" s="715"/>
      <c r="DX1" s="715"/>
      <c r="DY1" s="715"/>
      <c r="DZ1" s="715"/>
      <c r="EA1" s="715"/>
      <c r="EB1" s="715"/>
      <c r="EC1" s="715"/>
      <c r="ED1" s="715"/>
      <c r="EE1" s="715"/>
      <c r="EF1" s="715"/>
      <c r="EG1" s="715"/>
      <c r="EH1" s="715"/>
      <c r="EI1" s="715"/>
      <c r="EJ1" s="715"/>
      <c r="EK1" s="715"/>
      <c r="EL1" s="715"/>
      <c r="EM1" s="715"/>
      <c r="EN1" s="715"/>
      <c r="EO1" s="715"/>
      <c r="EP1" s="715"/>
      <c r="EQ1" s="715"/>
      <c r="ER1" s="715"/>
      <c r="ES1" s="715"/>
      <c r="ET1" s="715"/>
      <c r="EU1" s="715"/>
      <c r="EV1" s="715"/>
      <c r="EW1" s="715"/>
      <c r="EX1" s="715"/>
      <c r="EY1" s="715"/>
      <c r="EZ1" s="715"/>
      <c r="FA1" s="715"/>
      <c r="FB1" s="715"/>
      <c r="FC1" s="715"/>
      <c r="FD1" s="715"/>
      <c r="FE1" s="715"/>
      <c r="FF1" s="715"/>
      <c r="FG1" s="715"/>
      <c r="FH1" s="715"/>
      <c r="FI1" s="715"/>
      <c r="FJ1" s="715"/>
      <c r="FK1" s="715"/>
      <c r="FL1" s="715"/>
      <c r="FM1" s="715"/>
      <c r="FN1" s="715"/>
      <c r="FO1" s="715"/>
      <c r="FP1" s="715"/>
      <c r="FQ1" s="715"/>
      <c r="FR1" s="715"/>
      <c r="FS1" s="715"/>
      <c r="FT1" s="715"/>
      <c r="FU1" s="715"/>
      <c r="FV1" s="715"/>
      <c r="FW1" s="715"/>
      <c r="FX1" s="715"/>
      <c r="FY1" s="715"/>
      <c r="FZ1" s="715"/>
      <c r="GA1" s="715"/>
      <c r="GB1" s="715"/>
      <c r="GC1" s="715"/>
      <c r="GD1" s="715"/>
      <c r="GE1" s="715"/>
      <c r="GF1" s="715"/>
      <c r="GG1" s="715"/>
      <c r="GH1" s="715"/>
      <c r="GI1" s="715"/>
      <c r="GJ1" s="715"/>
      <c r="GK1" s="715"/>
      <c r="GL1" s="715"/>
      <c r="GM1" s="715"/>
      <c r="GN1" s="715"/>
      <c r="GO1" s="715"/>
      <c r="GP1" s="715"/>
      <c r="GQ1" s="715"/>
      <c r="GR1" s="715"/>
      <c r="GS1" s="715"/>
      <c r="GT1" s="715"/>
      <c r="GU1" s="715"/>
      <c r="GV1" s="715"/>
      <c r="GW1" s="715"/>
      <c r="GX1" s="715"/>
      <c r="GY1" s="715"/>
      <c r="GZ1" s="715"/>
      <c r="HA1" s="715"/>
      <c r="HB1" s="715"/>
      <c r="HC1" s="715"/>
      <c r="HD1" s="715"/>
      <c r="HE1" s="715"/>
      <c r="HF1" s="715"/>
      <c r="HG1" s="715"/>
      <c r="HH1" s="715"/>
      <c r="HI1" s="715"/>
      <c r="HJ1" s="715"/>
      <c r="HK1" s="715"/>
      <c r="HL1" s="715"/>
      <c r="HM1" s="715"/>
      <c r="HN1" s="715"/>
      <c r="HO1" s="715"/>
      <c r="HP1" s="715"/>
      <c r="HQ1" s="715"/>
      <c r="HR1" s="715"/>
      <c r="HS1" s="715"/>
      <c r="HT1" s="715"/>
      <c r="HU1" s="715"/>
      <c r="HV1" s="715"/>
      <c r="HW1" s="715"/>
      <c r="HX1" s="715"/>
      <c r="HY1" s="715"/>
      <c r="HZ1" s="715"/>
      <c r="IA1" s="715"/>
      <c r="IB1" s="715"/>
      <c r="IC1" s="715"/>
      <c r="ID1" s="715"/>
      <c r="IE1" s="715"/>
      <c r="IF1" s="715"/>
      <c r="IG1" s="715"/>
      <c r="IH1" s="715"/>
      <c r="II1" s="715"/>
      <c r="IJ1" s="715"/>
      <c r="IK1" s="715"/>
      <c r="IL1" s="715"/>
      <c r="IM1" s="715"/>
      <c r="IN1" s="715"/>
      <c r="IO1" s="715"/>
      <c r="IP1" s="715"/>
      <c r="IQ1" s="715"/>
    </row>
    <row r="2" spans="1:256" s="141" customFormat="1" ht="16.5" x14ac:dyDescent="0.3">
      <c r="A2" s="126"/>
      <c r="B2" s="1896"/>
      <c r="C2" s="1896"/>
      <c r="D2" s="1896"/>
      <c r="E2" s="1896"/>
      <c r="F2" s="1896"/>
      <c r="G2" s="118"/>
      <c r="H2" s="118"/>
      <c r="I2" s="118"/>
      <c r="J2" s="282"/>
    </row>
    <row r="3" spans="1:256" ht="24.75" customHeight="1" x14ac:dyDescent="0.35">
      <c r="A3" s="2082" t="s">
        <v>14</v>
      </c>
      <c r="B3" s="2082"/>
      <c r="C3" s="2082"/>
      <c r="D3" s="2082"/>
      <c r="E3" s="2082"/>
      <c r="F3" s="2082"/>
      <c r="G3" s="2082"/>
      <c r="H3" s="2082"/>
      <c r="I3" s="2082"/>
      <c r="J3" s="2082"/>
      <c r="K3" s="2082"/>
      <c r="L3" s="2082"/>
      <c r="M3" s="2082"/>
      <c r="N3" s="2082"/>
      <c r="O3" s="2082"/>
      <c r="P3" s="2082"/>
      <c r="Q3" s="2082"/>
    </row>
    <row r="4" spans="1:256" ht="24.75" customHeight="1" x14ac:dyDescent="0.35">
      <c r="A4" s="2128" t="s">
        <v>713</v>
      </c>
      <c r="B4" s="2128"/>
      <c r="C4" s="2128"/>
      <c r="D4" s="2128"/>
      <c r="E4" s="2128"/>
      <c r="F4" s="2128"/>
      <c r="G4" s="2128"/>
      <c r="H4" s="2128"/>
      <c r="I4" s="2128"/>
      <c r="J4" s="2128"/>
      <c r="K4" s="2128"/>
      <c r="L4" s="2128"/>
      <c r="M4" s="2128"/>
      <c r="N4" s="2128"/>
      <c r="O4" s="2128"/>
      <c r="P4" s="2128"/>
      <c r="Q4" s="2128"/>
    </row>
    <row r="5" spans="1:256" s="917" customFormat="1" ht="18" customHeight="1" x14ac:dyDescent="0.3">
      <c r="A5" s="713"/>
      <c r="B5" s="713"/>
      <c r="C5" s="713"/>
      <c r="E5" s="669"/>
      <c r="F5" s="669"/>
      <c r="G5" s="669"/>
      <c r="H5" s="918"/>
      <c r="I5" s="669"/>
      <c r="J5" s="669"/>
      <c r="K5" s="669"/>
      <c r="L5" s="669"/>
      <c r="M5" s="669"/>
      <c r="N5" s="669"/>
      <c r="O5" s="669"/>
      <c r="P5" s="919"/>
      <c r="Q5" s="675" t="s">
        <v>0</v>
      </c>
    </row>
    <row r="6" spans="1:256" s="923" customFormat="1" ht="18" customHeight="1" thickBot="1" x14ac:dyDescent="0.35">
      <c r="A6" s="920"/>
      <c r="B6" s="921" t="s">
        <v>1</v>
      </c>
      <c r="C6" s="922" t="s">
        <v>3</v>
      </c>
      <c r="D6" s="922" t="s">
        <v>2</v>
      </c>
      <c r="E6" s="922" t="s">
        <v>4</v>
      </c>
      <c r="F6" s="922" t="s">
        <v>5</v>
      </c>
      <c r="G6" s="922" t="s">
        <v>15</v>
      </c>
      <c r="H6" s="922" t="s">
        <v>16</v>
      </c>
      <c r="I6" s="922" t="s">
        <v>17</v>
      </c>
      <c r="J6" s="922" t="s">
        <v>34</v>
      </c>
      <c r="K6" s="922" t="s">
        <v>30</v>
      </c>
      <c r="L6" s="922" t="s">
        <v>23</v>
      </c>
      <c r="M6" s="922" t="s">
        <v>35</v>
      </c>
      <c r="N6" s="922" t="s">
        <v>36</v>
      </c>
      <c r="O6" s="922" t="s">
        <v>151</v>
      </c>
      <c r="P6" s="922" t="s">
        <v>152</v>
      </c>
      <c r="Q6" s="922" t="s">
        <v>153</v>
      </c>
      <c r="R6" s="920"/>
      <c r="S6" s="920"/>
      <c r="T6" s="920"/>
      <c r="U6" s="920"/>
      <c r="V6" s="920"/>
      <c r="W6" s="920"/>
      <c r="X6" s="920"/>
      <c r="Y6" s="920"/>
      <c r="Z6" s="920"/>
      <c r="AA6" s="920"/>
      <c r="AB6" s="920"/>
      <c r="AC6" s="920"/>
      <c r="AD6" s="920"/>
      <c r="AE6" s="920"/>
      <c r="AF6" s="920"/>
      <c r="AG6" s="920"/>
      <c r="AH6" s="920"/>
      <c r="AI6" s="920"/>
      <c r="AJ6" s="920"/>
      <c r="AK6" s="920"/>
      <c r="AL6" s="920"/>
      <c r="AM6" s="920"/>
      <c r="AN6" s="920"/>
      <c r="AO6" s="920"/>
      <c r="AP6" s="920"/>
      <c r="AQ6" s="920"/>
      <c r="AR6" s="920"/>
      <c r="AS6" s="920"/>
      <c r="AT6" s="920"/>
      <c r="AU6" s="920"/>
      <c r="AV6" s="920"/>
      <c r="AW6" s="920"/>
      <c r="AX6" s="920"/>
      <c r="AY6" s="920"/>
      <c r="AZ6" s="920"/>
      <c r="BA6" s="920"/>
      <c r="BB6" s="920"/>
      <c r="BC6" s="920"/>
      <c r="BD6" s="920"/>
      <c r="BE6" s="920"/>
      <c r="BF6" s="920"/>
      <c r="BG6" s="920"/>
      <c r="BH6" s="920"/>
      <c r="BI6" s="920"/>
      <c r="BJ6" s="920"/>
      <c r="BK6" s="920"/>
      <c r="BL6" s="920"/>
      <c r="BM6" s="920"/>
      <c r="BN6" s="920"/>
      <c r="BO6" s="920"/>
      <c r="BP6" s="920"/>
      <c r="BQ6" s="920"/>
      <c r="BR6" s="920"/>
      <c r="BS6" s="920"/>
      <c r="BT6" s="920"/>
      <c r="BU6" s="920"/>
      <c r="BV6" s="920"/>
      <c r="BW6" s="920"/>
      <c r="BX6" s="920"/>
      <c r="BY6" s="920"/>
      <c r="BZ6" s="920"/>
      <c r="CA6" s="920"/>
      <c r="CB6" s="920"/>
      <c r="CC6" s="920"/>
      <c r="CD6" s="920"/>
      <c r="CE6" s="920"/>
      <c r="CF6" s="920"/>
      <c r="CG6" s="920"/>
      <c r="CH6" s="920"/>
      <c r="CI6" s="920"/>
      <c r="CJ6" s="920"/>
      <c r="CK6" s="920"/>
      <c r="CL6" s="920"/>
      <c r="CM6" s="920"/>
      <c r="CN6" s="920"/>
      <c r="CO6" s="920"/>
      <c r="CP6" s="920"/>
      <c r="CQ6" s="920"/>
      <c r="CR6" s="920"/>
      <c r="CS6" s="920"/>
      <c r="CT6" s="920"/>
      <c r="CU6" s="920"/>
      <c r="CV6" s="920"/>
      <c r="CW6" s="920"/>
      <c r="CX6" s="920"/>
      <c r="CY6" s="920"/>
      <c r="CZ6" s="920"/>
      <c r="DA6" s="920"/>
      <c r="DB6" s="920"/>
      <c r="DC6" s="920"/>
      <c r="DD6" s="920"/>
      <c r="DE6" s="920"/>
      <c r="DF6" s="920"/>
      <c r="DG6" s="920"/>
      <c r="DH6" s="920"/>
      <c r="DI6" s="920"/>
      <c r="DJ6" s="920"/>
      <c r="DK6" s="920"/>
      <c r="DL6" s="920"/>
      <c r="DM6" s="920"/>
      <c r="DN6" s="920"/>
      <c r="DO6" s="920"/>
      <c r="DP6" s="920"/>
      <c r="DQ6" s="920"/>
      <c r="DR6" s="920"/>
      <c r="DS6" s="920"/>
      <c r="DT6" s="920"/>
      <c r="DU6" s="920"/>
      <c r="DV6" s="920"/>
      <c r="DW6" s="920"/>
      <c r="DX6" s="920"/>
      <c r="DY6" s="920"/>
      <c r="DZ6" s="920"/>
      <c r="EA6" s="920"/>
      <c r="EB6" s="920"/>
      <c r="EC6" s="920"/>
      <c r="ED6" s="920"/>
      <c r="EE6" s="920"/>
      <c r="EF6" s="920"/>
      <c r="EG6" s="920"/>
      <c r="EH6" s="920"/>
      <c r="EI6" s="920"/>
      <c r="EJ6" s="920"/>
      <c r="EK6" s="920"/>
      <c r="EL6" s="920"/>
      <c r="EM6" s="920"/>
      <c r="EN6" s="920"/>
      <c r="EO6" s="920"/>
      <c r="EP6" s="920"/>
      <c r="EQ6" s="920"/>
      <c r="ER6" s="920"/>
      <c r="ES6" s="920"/>
      <c r="ET6" s="920"/>
      <c r="EU6" s="920"/>
      <c r="EV6" s="920"/>
      <c r="EW6" s="920"/>
      <c r="EX6" s="920"/>
      <c r="EY6" s="920"/>
      <c r="EZ6" s="920"/>
      <c r="FA6" s="920"/>
      <c r="FB6" s="920"/>
      <c r="FC6" s="920"/>
      <c r="FD6" s="920"/>
      <c r="FE6" s="920"/>
      <c r="FF6" s="920"/>
      <c r="FG6" s="920"/>
      <c r="FH6" s="920"/>
      <c r="FI6" s="920"/>
      <c r="FJ6" s="920"/>
      <c r="FK6" s="920"/>
      <c r="FL6" s="920"/>
      <c r="FM6" s="920"/>
      <c r="FN6" s="920"/>
      <c r="FO6" s="920"/>
      <c r="FP6" s="920"/>
      <c r="FQ6" s="920"/>
      <c r="FR6" s="920"/>
      <c r="FS6" s="920"/>
      <c r="FT6" s="920"/>
      <c r="FU6" s="920"/>
      <c r="FV6" s="920"/>
      <c r="FW6" s="920"/>
      <c r="FX6" s="920"/>
      <c r="FY6" s="920"/>
      <c r="FZ6" s="920"/>
      <c r="GA6" s="920"/>
      <c r="GB6" s="920"/>
      <c r="GC6" s="920"/>
      <c r="GD6" s="920"/>
      <c r="GE6" s="920"/>
      <c r="GF6" s="920"/>
      <c r="GG6" s="920"/>
      <c r="GH6" s="920"/>
      <c r="GI6" s="920"/>
      <c r="GJ6" s="920"/>
      <c r="GK6" s="920"/>
      <c r="GL6" s="920"/>
      <c r="GM6" s="920"/>
      <c r="GN6" s="920"/>
      <c r="GO6" s="920"/>
      <c r="GP6" s="920"/>
      <c r="GQ6" s="920"/>
      <c r="GR6" s="920"/>
      <c r="GS6" s="920"/>
      <c r="GT6" s="920"/>
      <c r="GU6" s="920"/>
      <c r="GV6" s="920"/>
      <c r="GW6" s="920"/>
      <c r="GX6" s="920"/>
      <c r="GY6" s="920"/>
      <c r="GZ6" s="920"/>
      <c r="HA6" s="920"/>
      <c r="HB6" s="920"/>
      <c r="HC6" s="920"/>
      <c r="HD6" s="920"/>
      <c r="HE6" s="920"/>
      <c r="HF6" s="920"/>
      <c r="HG6" s="920"/>
      <c r="HH6" s="920"/>
      <c r="HI6" s="920"/>
      <c r="HJ6" s="920"/>
      <c r="HK6" s="920"/>
      <c r="HL6" s="920"/>
      <c r="HM6" s="920"/>
      <c r="HN6" s="920"/>
      <c r="HO6" s="920"/>
      <c r="HP6" s="920"/>
      <c r="HQ6" s="920"/>
      <c r="HR6" s="920"/>
      <c r="HS6" s="920"/>
      <c r="HT6" s="920"/>
      <c r="HU6" s="920"/>
      <c r="HV6" s="920"/>
      <c r="HW6" s="920"/>
      <c r="HX6" s="920"/>
      <c r="HY6" s="920"/>
      <c r="HZ6" s="920"/>
      <c r="IA6" s="920"/>
      <c r="IB6" s="920"/>
      <c r="IC6" s="920"/>
      <c r="ID6" s="920"/>
      <c r="IE6" s="920"/>
      <c r="IF6" s="920"/>
      <c r="IG6" s="920"/>
      <c r="IH6" s="920"/>
      <c r="II6" s="920"/>
      <c r="IJ6" s="920"/>
      <c r="IK6" s="920"/>
      <c r="IL6" s="920"/>
      <c r="IM6" s="920"/>
      <c r="IN6" s="920"/>
      <c r="IO6" s="920"/>
      <c r="IP6" s="920"/>
      <c r="IQ6" s="920"/>
    </row>
    <row r="7" spans="1:256" ht="22.5" customHeight="1" x14ac:dyDescent="0.3">
      <c r="B7" s="2122" t="s">
        <v>18</v>
      </c>
      <c r="C7" s="2158" t="s">
        <v>19</v>
      </c>
      <c r="D7" s="2129" t="s">
        <v>6</v>
      </c>
      <c r="E7" s="2125" t="s">
        <v>489</v>
      </c>
      <c r="F7" s="2125" t="s">
        <v>708</v>
      </c>
      <c r="G7" s="2132" t="s">
        <v>1077</v>
      </c>
      <c r="H7" s="2105" t="s">
        <v>20</v>
      </c>
      <c r="I7" s="2135" t="s">
        <v>638</v>
      </c>
      <c r="J7" s="2125"/>
      <c r="K7" s="2125"/>
      <c r="L7" s="2125"/>
      <c r="M7" s="2125"/>
      <c r="N7" s="2125"/>
      <c r="O7" s="2125"/>
      <c r="P7" s="2136"/>
      <c r="Q7" s="2137" t="s">
        <v>701</v>
      </c>
      <c r="R7" s="2121"/>
      <c r="S7" s="2121"/>
    </row>
    <row r="8" spans="1:256" ht="33" customHeight="1" x14ac:dyDescent="0.3">
      <c r="B8" s="2123"/>
      <c r="C8" s="2159"/>
      <c r="D8" s="2130"/>
      <c r="E8" s="2126"/>
      <c r="F8" s="2126"/>
      <c r="G8" s="2133"/>
      <c r="H8" s="2106"/>
      <c r="I8" s="2140" t="s">
        <v>491</v>
      </c>
      <c r="J8" s="2141"/>
      <c r="K8" s="2142"/>
      <c r="L8" s="2142"/>
      <c r="M8" s="2149" t="s">
        <v>154</v>
      </c>
      <c r="N8" s="2149"/>
      <c r="O8" s="2149"/>
      <c r="P8" s="2150" t="s">
        <v>120</v>
      </c>
      <c r="Q8" s="2138"/>
    </row>
    <row r="9" spans="1:256" ht="53.25" customHeight="1" thickBot="1" x14ac:dyDescent="0.35">
      <c r="B9" s="2124"/>
      <c r="C9" s="2160"/>
      <c r="D9" s="2131"/>
      <c r="E9" s="2127"/>
      <c r="F9" s="2127"/>
      <c r="G9" s="2134"/>
      <c r="H9" s="2107"/>
      <c r="I9" s="941" t="s">
        <v>38</v>
      </c>
      <c r="J9" s="717" t="s">
        <v>486</v>
      </c>
      <c r="K9" s="718" t="s">
        <v>40</v>
      </c>
      <c r="L9" s="718" t="s">
        <v>488</v>
      </c>
      <c r="M9" s="717" t="s">
        <v>219</v>
      </c>
      <c r="N9" s="717" t="s">
        <v>220</v>
      </c>
      <c r="O9" s="717" t="s">
        <v>155</v>
      </c>
      <c r="P9" s="2151"/>
      <c r="Q9" s="2139"/>
    </row>
    <row r="10" spans="1:256" s="721" customFormat="1" ht="22.5" customHeight="1" x14ac:dyDescent="0.35">
      <c r="A10" s="735">
        <v>1</v>
      </c>
      <c r="B10" s="719">
        <v>18</v>
      </c>
      <c r="C10" s="731" t="s">
        <v>14</v>
      </c>
      <c r="D10" s="929"/>
      <c r="E10" s="413"/>
      <c r="F10" s="411"/>
      <c r="G10" s="412"/>
      <c r="H10" s="945"/>
      <c r="I10" s="942"/>
      <c r="J10" s="738"/>
      <c r="K10" s="738"/>
      <c r="L10" s="738"/>
      <c r="M10" s="738"/>
      <c r="N10" s="738"/>
      <c r="O10" s="738"/>
      <c r="P10" s="720"/>
      <c r="Q10" s="723"/>
      <c r="R10" s="404"/>
      <c r="S10" s="404"/>
      <c r="T10" s="404"/>
      <c r="U10" s="404"/>
      <c r="V10" s="404"/>
      <c r="W10" s="404"/>
      <c r="X10" s="404"/>
      <c r="Y10" s="404"/>
      <c r="Z10" s="404"/>
      <c r="AA10" s="404"/>
      <c r="AB10" s="404"/>
      <c r="AC10" s="404"/>
      <c r="AD10" s="404"/>
      <c r="AE10" s="404"/>
      <c r="AF10" s="404"/>
      <c r="AG10" s="404"/>
      <c r="AH10" s="404"/>
      <c r="AI10" s="404"/>
      <c r="AJ10" s="404"/>
      <c r="AK10" s="404"/>
      <c r="AL10" s="404"/>
      <c r="AM10" s="404"/>
      <c r="AN10" s="404"/>
      <c r="AO10" s="404"/>
      <c r="AP10" s="404"/>
      <c r="AQ10" s="404"/>
      <c r="AR10" s="404"/>
      <c r="AS10" s="404"/>
      <c r="AT10" s="404"/>
      <c r="AU10" s="404"/>
      <c r="AV10" s="404"/>
      <c r="AW10" s="404"/>
      <c r="AX10" s="404"/>
      <c r="AY10" s="404"/>
      <c r="AZ10" s="404"/>
      <c r="BA10" s="404"/>
      <c r="BB10" s="404"/>
      <c r="BC10" s="404"/>
      <c r="BD10" s="404"/>
      <c r="BE10" s="404"/>
      <c r="BF10" s="404"/>
      <c r="BG10" s="404"/>
      <c r="BH10" s="404"/>
      <c r="BI10" s="404"/>
      <c r="BJ10" s="404"/>
      <c r="BK10" s="404"/>
      <c r="BL10" s="404"/>
      <c r="BM10" s="404"/>
      <c r="BN10" s="404"/>
      <c r="BO10" s="404"/>
      <c r="BP10" s="404"/>
      <c r="BQ10" s="404"/>
      <c r="BR10" s="404"/>
      <c r="BS10" s="404"/>
      <c r="BT10" s="404"/>
      <c r="BU10" s="404"/>
      <c r="BV10" s="404"/>
      <c r="BW10" s="404"/>
      <c r="BX10" s="404"/>
      <c r="BY10" s="404"/>
      <c r="BZ10" s="404"/>
      <c r="CA10" s="404"/>
      <c r="CB10" s="404"/>
      <c r="CC10" s="404"/>
      <c r="CD10" s="404"/>
      <c r="CE10" s="404"/>
      <c r="CF10" s="404"/>
      <c r="CG10" s="404"/>
      <c r="CH10" s="404"/>
      <c r="CI10" s="404"/>
      <c r="CJ10" s="404"/>
      <c r="CK10" s="404"/>
      <c r="CL10" s="404"/>
      <c r="CM10" s="404"/>
      <c r="CN10" s="404"/>
      <c r="CO10" s="404"/>
      <c r="CP10" s="404"/>
      <c r="CQ10" s="404"/>
      <c r="CR10" s="404"/>
      <c r="CS10" s="404"/>
      <c r="CT10" s="404"/>
      <c r="CU10" s="404"/>
      <c r="CV10" s="404"/>
      <c r="CW10" s="404"/>
      <c r="CX10" s="404"/>
      <c r="CY10" s="404"/>
      <c r="CZ10" s="404"/>
      <c r="DA10" s="404"/>
      <c r="DB10" s="404"/>
      <c r="DC10" s="404"/>
      <c r="DD10" s="404"/>
      <c r="DE10" s="404"/>
      <c r="DF10" s="404"/>
      <c r="DG10" s="404"/>
      <c r="DH10" s="404"/>
      <c r="DI10" s="404"/>
      <c r="DJ10" s="404"/>
      <c r="DK10" s="404"/>
      <c r="DL10" s="404"/>
      <c r="DM10" s="404"/>
      <c r="DN10" s="404"/>
      <c r="DO10" s="404"/>
      <c r="DP10" s="404"/>
      <c r="DQ10" s="404"/>
      <c r="DR10" s="404"/>
      <c r="DS10" s="404"/>
      <c r="DT10" s="404"/>
      <c r="DU10" s="404"/>
      <c r="DV10" s="404"/>
      <c r="DW10" s="404"/>
      <c r="DX10" s="404"/>
      <c r="DY10" s="404"/>
      <c r="DZ10" s="404"/>
      <c r="EA10" s="404"/>
      <c r="EB10" s="404"/>
      <c r="EC10" s="404"/>
      <c r="ED10" s="404"/>
      <c r="EE10" s="404"/>
      <c r="EF10" s="404"/>
      <c r="EG10" s="404"/>
      <c r="EH10" s="404"/>
      <c r="EI10" s="404"/>
      <c r="EJ10" s="404"/>
      <c r="EK10" s="404"/>
      <c r="EL10" s="404"/>
      <c r="EM10" s="404"/>
      <c r="EN10" s="404"/>
      <c r="EO10" s="404"/>
      <c r="EP10" s="404"/>
      <c r="EQ10" s="404"/>
      <c r="ER10" s="404"/>
      <c r="ES10" s="404"/>
      <c r="ET10" s="404"/>
      <c r="EU10" s="404"/>
      <c r="EV10" s="404"/>
      <c r="EW10" s="404"/>
      <c r="EX10" s="404"/>
      <c r="EY10" s="404"/>
      <c r="EZ10" s="404"/>
      <c r="FA10" s="404"/>
      <c r="FB10" s="404"/>
      <c r="FC10" s="404"/>
      <c r="FD10" s="404"/>
      <c r="FE10" s="404"/>
      <c r="FF10" s="404"/>
      <c r="FG10" s="404"/>
      <c r="FH10" s="404"/>
      <c r="FI10" s="404"/>
      <c r="FJ10" s="404"/>
      <c r="FK10" s="404"/>
      <c r="FL10" s="404"/>
      <c r="FM10" s="404"/>
      <c r="FN10" s="404"/>
      <c r="FO10" s="404"/>
      <c r="FP10" s="404"/>
      <c r="FQ10" s="404"/>
      <c r="FR10" s="404"/>
      <c r="FS10" s="404"/>
      <c r="FT10" s="404"/>
      <c r="FU10" s="404"/>
      <c r="FV10" s="404"/>
      <c r="FW10" s="404"/>
      <c r="FX10" s="404"/>
      <c r="FY10" s="404"/>
      <c r="FZ10" s="404"/>
      <c r="GA10" s="404"/>
      <c r="GB10" s="404"/>
      <c r="GC10" s="404"/>
      <c r="GD10" s="404"/>
      <c r="GE10" s="404"/>
      <c r="GF10" s="404"/>
      <c r="GG10" s="404"/>
      <c r="GH10" s="404"/>
      <c r="GI10" s="404"/>
      <c r="GJ10" s="404"/>
      <c r="GK10" s="404"/>
      <c r="GL10" s="404"/>
      <c r="GM10" s="404"/>
      <c r="GN10" s="404"/>
      <c r="GO10" s="404"/>
      <c r="GP10" s="404"/>
      <c r="GQ10" s="404"/>
      <c r="GR10" s="404"/>
      <c r="GS10" s="404"/>
      <c r="GT10" s="404"/>
      <c r="GU10" s="404"/>
      <c r="GV10" s="404"/>
      <c r="GW10" s="404"/>
      <c r="GX10" s="404"/>
      <c r="GY10" s="404"/>
      <c r="GZ10" s="404"/>
      <c r="HA10" s="404"/>
      <c r="HB10" s="404"/>
      <c r="HC10" s="404"/>
      <c r="HD10" s="404"/>
      <c r="HE10" s="404"/>
      <c r="HF10" s="404"/>
      <c r="HG10" s="404"/>
      <c r="HH10" s="404"/>
      <c r="HI10" s="404"/>
      <c r="HJ10" s="404"/>
      <c r="HK10" s="404"/>
      <c r="HL10" s="404"/>
      <c r="HM10" s="404"/>
      <c r="HN10" s="404"/>
      <c r="HO10" s="404"/>
      <c r="HP10" s="404"/>
      <c r="HQ10" s="404"/>
      <c r="HR10" s="404"/>
      <c r="HS10" s="404"/>
      <c r="HT10" s="404"/>
      <c r="HU10" s="404"/>
      <c r="HV10" s="404"/>
      <c r="HW10" s="404"/>
      <c r="HX10" s="404"/>
      <c r="HY10" s="404"/>
      <c r="HZ10" s="404"/>
      <c r="IA10" s="404"/>
      <c r="IB10" s="404"/>
      <c r="IC10" s="404"/>
      <c r="ID10" s="404"/>
      <c r="IE10" s="404"/>
      <c r="IF10" s="404"/>
      <c r="IG10" s="404"/>
      <c r="IH10" s="404"/>
      <c r="II10" s="404"/>
      <c r="IJ10" s="404"/>
      <c r="IK10" s="404"/>
      <c r="IL10" s="404"/>
      <c r="IM10" s="404"/>
      <c r="IN10" s="404"/>
      <c r="IO10" s="404"/>
      <c r="IP10" s="404"/>
      <c r="IQ10" s="404"/>
      <c r="IR10" s="404"/>
      <c r="IS10" s="404"/>
      <c r="IT10" s="404"/>
      <c r="IU10" s="404"/>
      <c r="IV10" s="404"/>
    </row>
    <row r="11" spans="1:256" s="721" customFormat="1" ht="18" x14ac:dyDescent="0.35">
      <c r="A11" s="735">
        <v>2</v>
      </c>
      <c r="B11" s="719"/>
      <c r="C11" s="991">
        <v>1</v>
      </c>
      <c r="D11" s="977" t="s">
        <v>540</v>
      </c>
      <c r="E11" s="413"/>
      <c r="F11" s="411"/>
      <c r="G11" s="412"/>
      <c r="H11" s="945" t="s">
        <v>24</v>
      </c>
      <c r="I11" s="722"/>
      <c r="J11" s="722"/>
      <c r="K11" s="722"/>
      <c r="L11" s="722"/>
      <c r="M11" s="722"/>
      <c r="N11" s="722"/>
      <c r="O11" s="722"/>
      <c r="P11" s="730"/>
      <c r="Q11" s="723"/>
      <c r="R11" s="404"/>
      <c r="S11" s="404"/>
      <c r="T11" s="404"/>
      <c r="U11" s="404"/>
      <c r="V11" s="404"/>
      <c r="W11" s="404"/>
      <c r="X11" s="404"/>
      <c r="Y11" s="404"/>
      <c r="Z11" s="404"/>
      <c r="AA11" s="404"/>
      <c r="AB11" s="404"/>
      <c r="AC11" s="404"/>
      <c r="AD11" s="404"/>
      <c r="AE11" s="404"/>
      <c r="AF11" s="404"/>
      <c r="AG11" s="404"/>
      <c r="AH11" s="404"/>
      <c r="AI11" s="404"/>
      <c r="AJ11" s="404"/>
      <c r="AK11" s="404"/>
      <c r="AL11" s="404"/>
      <c r="AM11" s="404"/>
      <c r="AN11" s="404"/>
      <c r="AO11" s="404"/>
      <c r="AP11" s="404"/>
      <c r="AQ11" s="404"/>
      <c r="AR11" s="404"/>
      <c r="AS11" s="404"/>
      <c r="AT11" s="404"/>
      <c r="AU11" s="404"/>
      <c r="AV11" s="404"/>
      <c r="AW11" s="404"/>
      <c r="AX11" s="404"/>
      <c r="AY11" s="404"/>
      <c r="AZ11" s="404"/>
      <c r="BA11" s="404"/>
      <c r="BB11" s="404"/>
      <c r="BC11" s="404"/>
      <c r="BD11" s="404"/>
      <c r="BE11" s="404"/>
      <c r="BF11" s="404"/>
      <c r="BG11" s="404"/>
      <c r="BH11" s="404"/>
      <c r="BI11" s="404"/>
      <c r="BJ11" s="404"/>
      <c r="BK11" s="404"/>
      <c r="BL11" s="404"/>
      <c r="BM11" s="404"/>
      <c r="BN11" s="404"/>
      <c r="BO11" s="404"/>
      <c r="BP11" s="404"/>
      <c r="BQ11" s="404"/>
      <c r="BR11" s="404"/>
      <c r="BS11" s="404"/>
      <c r="BT11" s="404"/>
      <c r="BU11" s="404"/>
      <c r="BV11" s="404"/>
      <c r="BW11" s="404"/>
      <c r="BX11" s="404"/>
      <c r="BY11" s="404"/>
      <c r="BZ11" s="404"/>
      <c r="CA11" s="404"/>
      <c r="CB11" s="404"/>
      <c r="CC11" s="404"/>
      <c r="CD11" s="404"/>
      <c r="CE11" s="404"/>
      <c r="CF11" s="404"/>
      <c r="CG11" s="404"/>
      <c r="CH11" s="404"/>
      <c r="CI11" s="404"/>
      <c r="CJ11" s="404"/>
      <c r="CK11" s="404"/>
      <c r="CL11" s="404"/>
      <c r="CM11" s="404"/>
      <c r="CN11" s="404"/>
      <c r="CO11" s="404"/>
      <c r="CP11" s="404"/>
      <c r="CQ11" s="404"/>
      <c r="CR11" s="404"/>
      <c r="CS11" s="404"/>
      <c r="CT11" s="404"/>
      <c r="CU11" s="404"/>
      <c r="CV11" s="404"/>
      <c r="CW11" s="404"/>
      <c r="CX11" s="404"/>
      <c r="CY11" s="404"/>
      <c r="CZ11" s="404"/>
      <c r="DA11" s="404"/>
      <c r="DB11" s="404"/>
      <c r="DC11" s="404"/>
      <c r="DD11" s="404"/>
      <c r="DE11" s="404"/>
      <c r="DF11" s="404"/>
      <c r="DG11" s="404"/>
      <c r="DH11" s="404"/>
      <c r="DI11" s="404"/>
      <c r="DJ11" s="404"/>
      <c r="DK11" s="404"/>
      <c r="DL11" s="404"/>
      <c r="DM11" s="404"/>
      <c r="DN11" s="404"/>
      <c r="DO11" s="404"/>
      <c r="DP11" s="404"/>
      <c r="DQ11" s="404"/>
      <c r="DR11" s="404"/>
      <c r="DS11" s="404"/>
      <c r="DT11" s="404"/>
      <c r="DU11" s="404"/>
      <c r="DV11" s="404"/>
      <c r="DW11" s="404"/>
      <c r="DX11" s="404"/>
      <c r="DY11" s="404"/>
      <c r="DZ11" s="404"/>
      <c r="EA11" s="404"/>
      <c r="EB11" s="404"/>
      <c r="EC11" s="404"/>
      <c r="ED11" s="404"/>
      <c r="EE11" s="404"/>
      <c r="EF11" s="404"/>
      <c r="EG11" s="404"/>
      <c r="EH11" s="404"/>
      <c r="EI11" s="404"/>
      <c r="EJ11" s="404"/>
      <c r="EK11" s="404"/>
      <c r="EL11" s="404"/>
      <c r="EM11" s="404"/>
      <c r="EN11" s="404"/>
      <c r="EO11" s="404"/>
      <c r="EP11" s="404"/>
      <c r="EQ11" s="404"/>
      <c r="ER11" s="404"/>
      <c r="ES11" s="404"/>
      <c r="ET11" s="404"/>
      <c r="EU11" s="404"/>
      <c r="EV11" s="404"/>
      <c r="EW11" s="404"/>
      <c r="EX11" s="404"/>
      <c r="EY11" s="404"/>
      <c r="EZ11" s="404"/>
      <c r="FA11" s="404"/>
      <c r="FB11" s="404"/>
      <c r="FC11" s="404"/>
      <c r="FD11" s="404"/>
      <c r="FE11" s="404"/>
      <c r="FF11" s="404"/>
      <c r="FG11" s="404"/>
      <c r="FH11" s="404"/>
      <c r="FI11" s="404"/>
      <c r="FJ11" s="404"/>
      <c r="FK11" s="404"/>
      <c r="FL11" s="404"/>
      <c r="FM11" s="404"/>
      <c r="FN11" s="404"/>
      <c r="FO11" s="404"/>
      <c r="FP11" s="404"/>
      <c r="FQ11" s="404"/>
      <c r="FR11" s="404"/>
      <c r="FS11" s="404"/>
      <c r="FT11" s="404"/>
      <c r="FU11" s="404"/>
      <c r="FV11" s="404"/>
      <c r="FW11" s="404"/>
      <c r="FX11" s="404"/>
      <c r="FY11" s="404"/>
      <c r="FZ11" s="404"/>
      <c r="GA11" s="404"/>
      <c r="GB11" s="404"/>
      <c r="GC11" s="404"/>
      <c r="GD11" s="404"/>
      <c r="GE11" s="404"/>
      <c r="GF11" s="404"/>
      <c r="GG11" s="404"/>
      <c r="GH11" s="404"/>
      <c r="GI11" s="404"/>
      <c r="GJ11" s="404"/>
      <c r="GK11" s="404"/>
      <c r="GL11" s="404"/>
      <c r="GM11" s="404"/>
      <c r="GN11" s="404"/>
      <c r="GO11" s="404"/>
      <c r="GP11" s="404"/>
      <c r="GQ11" s="404"/>
      <c r="GR11" s="404"/>
      <c r="GS11" s="404"/>
      <c r="GT11" s="404"/>
      <c r="GU11" s="404"/>
      <c r="GV11" s="404"/>
      <c r="GW11" s="404"/>
      <c r="GX11" s="404"/>
      <c r="GY11" s="404"/>
      <c r="GZ11" s="404"/>
      <c r="HA11" s="404"/>
      <c r="HB11" s="404"/>
      <c r="HC11" s="404"/>
      <c r="HD11" s="404"/>
      <c r="HE11" s="404"/>
      <c r="HF11" s="404"/>
      <c r="HG11" s="404"/>
      <c r="HH11" s="404"/>
      <c r="HI11" s="404"/>
      <c r="HJ11" s="404"/>
      <c r="HK11" s="404"/>
      <c r="HL11" s="404"/>
      <c r="HM11" s="404"/>
      <c r="HN11" s="404"/>
      <c r="HO11" s="404"/>
      <c r="HP11" s="404"/>
      <c r="HQ11" s="404"/>
      <c r="HR11" s="404"/>
      <c r="HS11" s="404"/>
      <c r="HT11" s="404"/>
      <c r="HU11" s="404"/>
      <c r="HV11" s="404"/>
      <c r="HW11" s="404"/>
      <c r="HX11" s="404"/>
      <c r="HY11" s="404"/>
      <c r="HZ11" s="404"/>
      <c r="IA11" s="404"/>
      <c r="IB11" s="404"/>
      <c r="IC11" s="404"/>
      <c r="ID11" s="404"/>
      <c r="IE11" s="404"/>
      <c r="IF11" s="404"/>
      <c r="IG11" s="404"/>
      <c r="IH11" s="404"/>
      <c r="II11" s="404"/>
      <c r="IJ11" s="404"/>
      <c r="IK11" s="404"/>
      <c r="IL11" s="404"/>
      <c r="IM11" s="404"/>
      <c r="IN11" s="404"/>
      <c r="IO11" s="404"/>
      <c r="IP11" s="404"/>
      <c r="IQ11" s="404"/>
      <c r="IR11" s="404"/>
      <c r="IS11" s="404"/>
      <c r="IT11" s="404"/>
      <c r="IU11" s="404"/>
      <c r="IV11" s="404"/>
    </row>
    <row r="12" spans="1:256" s="721" customFormat="1" x14ac:dyDescent="0.35">
      <c r="A12" s="735">
        <v>3</v>
      </c>
      <c r="B12" s="729"/>
      <c r="C12" s="447"/>
      <c r="D12" s="970" t="s">
        <v>541</v>
      </c>
      <c r="E12" s="416"/>
      <c r="F12" s="725"/>
      <c r="G12" s="417"/>
      <c r="H12" s="946"/>
      <c r="I12" s="943"/>
      <c r="J12" s="722"/>
      <c r="K12" s="722"/>
      <c r="L12" s="722"/>
      <c r="M12" s="722"/>
      <c r="N12" s="722"/>
      <c r="O12" s="722"/>
      <c r="P12" s="730"/>
      <c r="Q12" s="726"/>
      <c r="R12" s="404"/>
      <c r="S12" s="404"/>
      <c r="T12" s="404"/>
      <c r="U12" s="404"/>
      <c r="V12" s="404"/>
      <c r="W12" s="404"/>
      <c r="X12" s="404"/>
      <c r="Y12" s="404"/>
      <c r="Z12" s="404"/>
      <c r="AA12" s="404"/>
      <c r="AB12" s="404"/>
      <c r="AC12" s="404"/>
      <c r="AD12" s="404"/>
      <c r="AE12" s="404"/>
      <c r="AF12" s="404"/>
      <c r="AG12" s="404"/>
      <c r="AH12" s="404"/>
      <c r="AI12" s="404"/>
      <c r="AJ12" s="404"/>
      <c r="AK12" s="404"/>
      <c r="AL12" s="404"/>
      <c r="AM12" s="404"/>
      <c r="AN12" s="404"/>
      <c r="AO12" s="404"/>
      <c r="AP12" s="404"/>
      <c r="AQ12" s="404"/>
      <c r="AR12" s="404"/>
      <c r="AS12" s="404"/>
      <c r="AT12" s="404"/>
      <c r="AU12" s="404"/>
      <c r="AV12" s="404"/>
      <c r="AW12" s="404"/>
      <c r="AX12" s="404"/>
      <c r="AY12" s="404"/>
      <c r="AZ12" s="404"/>
      <c r="BA12" s="404"/>
      <c r="BB12" s="404"/>
      <c r="BC12" s="404"/>
      <c r="BD12" s="404"/>
      <c r="BE12" s="404"/>
      <c r="BF12" s="404"/>
      <c r="BG12" s="404"/>
      <c r="BH12" s="404"/>
      <c r="BI12" s="404"/>
      <c r="BJ12" s="404"/>
      <c r="BK12" s="404"/>
      <c r="BL12" s="404"/>
      <c r="BM12" s="404"/>
      <c r="BN12" s="404"/>
      <c r="BO12" s="404"/>
      <c r="BP12" s="404"/>
      <c r="BQ12" s="404"/>
      <c r="BR12" s="404"/>
      <c r="BS12" s="404"/>
      <c r="BT12" s="404"/>
      <c r="BU12" s="404"/>
      <c r="BV12" s="404"/>
      <c r="BW12" s="404"/>
      <c r="BX12" s="404"/>
      <c r="BY12" s="404"/>
      <c r="BZ12" s="404"/>
      <c r="CA12" s="404"/>
      <c r="CB12" s="404"/>
      <c r="CC12" s="404"/>
      <c r="CD12" s="404"/>
      <c r="CE12" s="404"/>
      <c r="CF12" s="404"/>
      <c r="CG12" s="404"/>
      <c r="CH12" s="404"/>
      <c r="CI12" s="404"/>
      <c r="CJ12" s="404"/>
      <c r="CK12" s="404"/>
      <c r="CL12" s="404"/>
      <c r="CM12" s="404"/>
      <c r="CN12" s="404"/>
      <c r="CO12" s="404"/>
      <c r="CP12" s="404"/>
      <c r="CQ12" s="404"/>
      <c r="CR12" s="404"/>
      <c r="CS12" s="404"/>
      <c r="CT12" s="404"/>
      <c r="CU12" s="404"/>
      <c r="CV12" s="404"/>
      <c r="CW12" s="404"/>
      <c r="CX12" s="404"/>
      <c r="CY12" s="404"/>
      <c r="CZ12" s="404"/>
      <c r="DA12" s="404"/>
      <c r="DB12" s="404"/>
      <c r="DC12" s="404"/>
      <c r="DD12" s="404"/>
      <c r="DE12" s="404"/>
      <c r="DF12" s="404"/>
      <c r="DG12" s="404"/>
      <c r="DH12" s="404"/>
      <c r="DI12" s="404"/>
      <c r="DJ12" s="404"/>
      <c r="DK12" s="404"/>
      <c r="DL12" s="404"/>
      <c r="DM12" s="404"/>
      <c r="DN12" s="404"/>
      <c r="DO12" s="404"/>
      <c r="DP12" s="404"/>
      <c r="DQ12" s="404"/>
      <c r="DR12" s="404"/>
      <c r="DS12" s="404"/>
      <c r="DT12" s="404"/>
      <c r="DU12" s="404"/>
      <c r="DV12" s="404"/>
      <c r="DW12" s="404"/>
      <c r="DX12" s="404"/>
      <c r="DY12" s="404"/>
      <c r="DZ12" s="404"/>
      <c r="EA12" s="404"/>
      <c r="EB12" s="404"/>
      <c r="EC12" s="404"/>
      <c r="ED12" s="404"/>
      <c r="EE12" s="404"/>
      <c r="EF12" s="404"/>
      <c r="EG12" s="404"/>
      <c r="EH12" s="404"/>
      <c r="EI12" s="404"/>
      <c r="EJ12" s="404"/>
      <c r="EK12" s="404"/>
      <c r="EL12" s="404"/>
      <c r="EM12" s="404"/>
      <c r="EN12" s="404"/>
      <c r="EO12" s="404"/>
      <c r="EP12" s="404"/>
      <c r="EQ12" s="404"/>
      <c r="ER12" s="404"/>
      <c r="ES12" s="404"/>
      <c r="ET12" s="404"/>
      <c r="EU12" s="404"/>
      <c r="EV12" s="404"/>
      <c r="EW12" s="404"/>
      <c r="EX12" s="404"/>
      <c r="EY12" s="404"/>
      <c r="EZ12" s="404"/>
      <c r="FA12" s="404"/>
      <c r="FB12" s="404"/>
      <c r="FC12" s="404"/>
      <c r="FD12" s="404"/>
      <c r="FE12" s="404"/>
      <c r="FF12" s="404"/>
      <c r="FG12" s="404"/>
      <c r="FH12" s="404"/>
      <c r="FI12" s="404"/>
      <c r="FJ12" s="404"/>
      <c r="FK12" s="404"/>
      <c r="FL12" s="404"/>
      <c r="FM12" s="404"/>
      <c r="FN12" s="404"/>
      <c r="FO12" s="404"/>
      <c r="FP12" s="404"/>
      <c r="FQ12" s="404"/>
      <c r="FR12" s="404"/>
      <c r="FS12" s="404"/>
      <c r="FT12" s="404"/>
      <c r="FU12" s="404"/>
      <c r="FV12" s="404"/>
      <c r="FW12" s="404"/>
      <c r="FX12" s="404"/>
      <c r="FY12" s="404"/>
      <c r="FZ12" s="404"/>
      <c r="GA12" s="404"/>
      <c r="GB12" s="404"/>
      <c r="GC12" s="404"/>
      <c r="GD12" s="404"/>
      <c r="GE12" s="404"/>
      <c r="GF12" s="404"/>
      <c r="GG12" s="404"/>
      <c r="GH12" s="404"/>
      <c r="GI12" s="404"/>
      <c r="GJ12" s="404"/>
      <c r="GK12" s="404"/>
      <c r="GL12" s="404"/>
      <c r="GM12" s="404"/>
      <c r="GN12" s="404"/>
      <c r="GO12" s="404"/>
      <c r="GP12" s="404"/>
      <c r="GQ12" s="404"/>
      <c r="GR12" s="404"/>
      <c r="GS12" s="404"/>
      <c r="GT12" s="404"/>
      <c r="GU12" s="404"/>
      <c r="GV12" s="404"/>
      <c r="GW12" s="404"/>
      <c r="GX12" s="404"/>
      <c r="GY12" s="404"/>
      <c r="GZ12" s="404"/>
      <c r="HA12" s="404"/>
      <c r="HB12" s="404"/>
      <c r="HC12" s="404"/>
      <c r="HD12" s="404"/>
      <c r="HE12" s="404"/>
      <c r="HF12" s="404"/>
      <c r="HG12" s="404"/>
      <c r="HH12" s="404"/>
      <c r="HI12" s="404"/>
      <c r="HJ12" s="404"/>
      <c r="HK12" s="404"/>
      <c r="HL12" s="404"/>
      <c r="HM12" s="404"/>
      <c r="HN12" s="404"/>
      <c r="HO12" s="404"/>
      <c r="HP12" s="404"/>
      <c r="HQ12" s="404"/>
      <c r="HR12" s="404"/>
      <c r="HS12" s="404"/>
      <c r="HT12" s="404"/>
      <c r="HU12" s="404"/>
      <c r="HV12" s="404"/>
      <c r="HW12" s="404"/>
      <c r="HX12" s="404"/>
      <c r="HY12" s="404"/>
      <c r="HZ12" s="404"/>
      <c r="IA12" s="404"/>
      <c r="IB12" s="404"/>
      <c r="IC12" s="404"/>
      <c r="ID12" s="404"/>
      <c r="IE12" s="404"/>
      <c r="IF12" s="404"/>
      <c r="IG12" s="404"/>
      <c r="IH12" s="404"/>
      <c r="II12" s="404"/>
      <c r="IJ12" s="404"/>
      <c r="IK12" s="404"/>
      <c r="IL12" s="404"/>
      <c r="IM12" s="404"/>
      <c r="IN12" s="404"/>
      <c r="IO12" s="404"/>
      <c r="IP12" s="404"/>
      <c r="IQ12" s="404"/>
      <c r="IR12" s="404"/>
      <c r="IS12" s="404"/>
      <c r="IT12" s="404"/>
      <c r="IU12" s="404"/>
      <c r="IV12" s="404"/>
    </row>
    <row r="13" spans="1:256" s="939" customFormat="1" x14ac:dyDescent="0.35">
      <c r="A13" s="735">
        <v>4</v>
      </c>
      <c r="B13" s="931"/>
      <c r="C13" s="447"/>
      <c r="D13" s="933" t="s">
        <v>292</v>
      </c>
      <c r="E13" s="416">
        <f>F13+G13+P15+6083</f>
        <v>21590</v>
      </c>
      <c r="F13" s="972"/>
      <c r="G13" s="417">
        <f>3869+9817</f>
        <v>13686</v>
      </c>
      <c r="H13" s="947"/>
      <c r="I13" s="964">
        <v>300</v>
      </c>
      <c r="J13" s="960">
        <v>42</v>
      </c>
      <c r="K13" s="960">
        <v>1994</v>
      </c>
      <c r="L13" s="937"/>
      <c r="M13" s="960"/>
      <c r="N13" s="960"/>
      <c r="O13" s="937"/>
      <c r="P13" s="930">
        <f>SUM(I13:O13)</f>
        <v>2336</v>
      </c>
      <c r="Q13" s="938"/>
    </row>
    <row r="14" spans="1:256" s="939" customFormat="1" x14ac:dyDescent="0.35">
      <c r="A14" s="735">
        <v>5</v>
      </c>
      <c r="B14" s="931"/>
      <c r="C14" s="447"/>
      <c r="D14" s="1499" t="s">
        <v>949</v>
      </c>
      <c r="E14" s="416"/>
      <c r="F14" s="972"/>
      <c r="G14" s="417"/>
      <c r="H14" s="947"/>
      <c r="I14" s="1730">
        <v>600</v>
      </c>
      <c r="J14" s="1731">
        <v>84</v>
      </c>
      <c r="K14" s="1731">
        <v>-1199</v>
      </c>
      <c r="L14" s="1770"/>
      <c r="M14" s="1731"/>
      <c r="N14" s="1731"/>
      <c r="O14" s="1770"/>
      <c r="P14" s="1732">
        <f>SUM(I14:O14)</f>
        <v>-515</v>
      </c>
      <c r="Q14" s="938"/>
    </row>
    <row r="15" spans="1:256" s="939" customFormat="1" x14ac:dyDescent="0.35">
      <c r="A15" s="735">
        <v>6</v>
      </c>
      <c r="B15" s="931"/>
      <c r="C15" s="447"/>
      <c r="D15" s="641" t="s">
        <v>927</v>
      </c>
      <c r="E15" s="416"/>
      <c r="F15" s="972"/>
      <c r="G15" s="417"/>
      <c r="H15" s="947"/>
      <c r="I15" s="943">
        <f>SUM(I13:I14)</f>
        <v>900</v>
      </c>
      <c r="J15" s="722">
        <f>SUM(J13:J14)</f>
        <v>126</v>
      </c>
      <c r="K15" s="722">
        <f>SUM(K13:K14)</f>
        <v>795</v>
      </c>
      <c r="L15" s="1734"/>
      <c r="M15" s="722"/>
      <c r="N15" s="722"/>
      <c r="O15" s="1734"/>
      <c r="P15" s="730">
        <f>SUM(I15:O15)</f>
        <v>1821</v>
      </c>
      <c r="Q15" s="938"/>
    </row>
    <row r="16" spans="1:256" s="939" customFormat="1" x14ac:dyDescent="0.35">
      <c r="A16" s="735">
        <v>7</v>
      </c>
      <c r="B16" s="931"/>
      <c r="C16" s="447"/>
      <c r="D16" s="970" t="s">
        <v>542</v>
      </c>
      <c r="E16" s="416"/>
      <c r="F16" s="972"/>
      <c r="G16" s="417"/>
      <c r="H16" s="947"/>
      <c r="I16" s="944"/>
      <c r="J16" s="937"/>
      <c r="K16" s="960"/>
      <c r="L16" s="937"/>
      <c r="M16" s="960"/>
      <c r="N16" s="960"/>
      <c r="O16" s="937"/>
      <c r="P16" s="930"/>
      <c r="Q16" s="938"/>
    </row>
    <row r="17" spans="1:256" s="939" customFormat="1" x14ac:dyDescent="0.35">
      <c r="A17" s="735">
        <v>8</v>
      </c>
      <c r="B17" s="931"/>
      <c r="C17" s="447"/>
      <c r="D17" s="724" t="s">
        <v>714</v>
      </c>
      <c r="E17" s="416"/>
      <c r="F17" s="972"/>
      <c r="G17" s="417"/>
      <c r="H17" s="947"/>
      <c r="I17" s="944"/>
      <c r="J17" s="937"/>
      <c r="K17" s="960"/>
      <c r="L17" s="937"/>
      <c r="M17" s="960"/>
      <c r="N17" s="960"/>
      <c r="O17" s="937"/>
      <c r="P17" s="930"/>
      <c r="Q17" s="938"/>
    </row>
    <row r="18" spans="1:256" s="939" customFormat="1" x14ac:dyDescent="0.35">
      <c r="A18" s="735">
        <v>9</v>
      </c>
      <c r="B18" s="931"/>
      <c r="C18" s="447"/>
      <c r="D18" s="933" t="s">
        <v>292</v>
      </c>
      <c r="E18" s="416">
        <f>F18+G18+P20</f>
        <v>1500</v>
      </c>
      <c r="F18" s="972"/>
      <c r="G18" s="417"/>
      <c r="H18" s="947"/>
      <c r="I18" s="944"/>
      <c r="J18" s="937"/>
      <c r="K18" s="960"/>
      <c r="L18" s="937"/>
      <c r="M18" s="960">
        <v>1500</v>
      </c>
      <c r="N18" s="960"/>
      <c r="O18" s="937"/>
      <c r="P18" s="930">
        <f>SUM(I18:O18)</f>
        <v>1500</v>
      </c>
      <c r="Q18" s="938"/>
    </row>
    <row r="19" spans="1:256" s="939" customFormat="1" x14ac:dyDescent="0.35">
      <c r="A19" s="735">
        <v>10</v>
      </c>
      <c r="B19" s="931"/>
      <c r="C19" s="447"/>
      <c r="D19" s="1499" t="s">
        <v>929</v>
      </c>
      <c r="E19" s="416"/>
      <c r="F19" s="972"/>
      <c r="G19" s="417"/>
      <c r="H19" s="947"/>
      <c r="I19" s="944"/>
      <c r="J19" s="937"/>
      <c r="K19" s="960"/>
      <c r="L19" s="937"/>
      <c r="M19" s="960"/>
      <c r="N19" s="960"/>
      <c r="O19" s="937"/>
      <c r="P19" s="1732">
        <f>SUM(I19:O19)</f>
        <v>0</v>
      </c>
      <c r="Q19" s="938"/>
    </row>
    <row r="20" spans="1:256" s="939" customFormat="1" x14ac:dyDescent="0.35">
      <c r="A20" s="735">
        <v>11</v>
      </c>
      <c r="B20" s="931"/>
      <c r="C20" s="447"/>
      <c r="D20" s="641" t="s">
        <v>927</v>
      </c>
      <c r="E20" s="416"/>
      <c r="F20" s="972"/>
      <c r="G20" s="417"/>
      <c r="H20" s="947"/>
      <c r="I20" s="944"/>
      <c r="J20" s="937"/>
      <c r="K20" s="960"/>
      <c r="L20" s="937"/>
      <c r="M20" s="722">
        <f>SUM(M18:M19)</f>
        <v>1500</v>
      </c>
      <c r="N20" s="960"/>
      <c r="O20" s="937"/>
      <c r="P20" s="730">
        <f>SUM(I20:O20)</f>
        <v>1500</v>
      </c>
      <c r="Q20" s="938"/>
    </row>
    <row r="21" spans="1:256" s="939" customFormat="1" x14ac:dyDescent="0.35">
      <c r="A21" s="735">
        <v>12</v>
      </c>
      <c r="B21" s="931"/>
      <c r="C21" s="447"/>
      <c r="D21" s="724" t="s">
        <v>715</v>
      </c>
      <c r="E21" s="416"/>
      <c r="F21" s="972"/>
      <c r="G21" s="417"/>
      <c r="H21" s="947"/>
      <c r="I21" s="944"/>
      <c r="J21" s="937"/>
      <c r="K21" s="960"/>
      <c r="L21" s="937"/>
      <c r="M21" s="960"/>
      <c r="N21" s="960"/>
      <c r="O21" s="937"/>
      <c r="P21" s="930"/>
      <c r="Q21" s="938"/>
    </row>
    <row r="22" spans="1:256" s="939" customFormat="1" x14ac:dyDescent="0.35">
      <c r="A22" s="735">
        <v>13</v>
      </c>
      <c r="B22" s="931"/>
      <c r="C22" s="447"/>
      <c r="D22" s="933" t="s">
        <v>292</v>
      </c>
      <c r="E22" s="416">
        <f>F22+G22+P24</f>
        <v>52892</v>
      </c>
      <c r="F22" s="972"/>
      <c r="G22" s="417">
        <v>15138</v>
      </c>
      <c r="H22" s="947"/>
      <c r="I22" s="944"/>
      <c r="J22" s="937"/>
      <c r="K22" s="960"/>
      <c r="L22" s="937"/>
      <c r="M22" s="960">
        <v>39794</v>
      </c>
      <c r="N22" s="960"/>
      <c r="O22" s="937"/>
      <c r="P22" s="930">
        <f>SUM(I22:O22)</f>
        <v>39794</v>
      </c>
      <c r="Q22" s="938"/>
    </row>
    <row r="23" spans="1:256" s="721" customFormat="1" x14ac:dyDescent="0.35">
      <c r="A23" s="735">
        <v>14</v>
      </c>
      <c r="B23" s="931"/>
      <c r="C23" s="447"/>
      <c r="D23" s="1499" t="s">
        <v>949</v>
      </c>
      <c r="E23" s="416"/>
      <c r="F23" s="972"/>
      <c r="G23" s="417"/>
      <c r="H23" s="947"/>
      <c r="I23" s="944"/>
      <c r="J23" s="937"/>
      <c r="K23" s="960"/>
      <c r="L23" s="937"/>
      <c r="M23" s="1731">
        <v>-2040</v>
      </c>
      <c r="N23" s="960"/>
      <c r="O23" s="937"/>
      <c r="P23" s="1732">
        <f>SUM(I23:O23)</f>
        <v>-2040</v>
      </c>
      <c r="Q23" s="938"/>
      <c r="R23" s="404"/>
      <c r="S23" s="404"/>
      <c r="T23" s="404"/>
      <c r="U23" s="404"/>
      <c r="V23" s="404"/>
      <c r="W23" s="404"/>
      <c r="X23" s="404"/>
      <c r="Y23" s="404"/>
      <c r="Z23" s="404"/>
      <c r="AA23" s="404"/>
      <c r="AB23" s="404"/>
      <c r="AC23" s="404"/>
      <c r="AD23" s="404"/>
      <c r="AE23" s="404"/>
      <c r="AF23" s="404"/>
      <c r="AG23" s="404"/>
      <c r="AH23" s="404"/>
      <c r="AI23" s="404"/>
      <c r="AJ23" s="404"/>
      <c r="AK23" s="404"/>
      <c r="AL23" s="404"/>
      <c r="AM23" s="404"/>
      <c r="AN23" s="404"/>
      <c r="AO23" s="404"/>
      <c r="AP23" s="404"/>
      <c r="AQ23" s="404"/>
      <c r="AR23" s="404"/>
      <c r="AS23" s="404"/>
      <c r="AT23" s="404"/>
      <c r="AU23" s="404"/>
      <c r="AV23" s="404"/>
      <c r="AW23" s="404"/>
      <c r="AX23" s="404"/>
      <c r="AY23" s="404"/>
      <c r="AZ23" s="404"/>
      <c r="BA23" s="404"/>
      <c r="BB23" s="404"/>
      <c r="BC23" s="404"/>
      <c r="BD23" s="404"/>
      <c r="BE23" s="404"/>
      <c r="BF23" s="404"/>
      <c r="BG23" s="404"/>
      <c r="BH23" s="404"/>
      <c r="BI23" s="404"/>
      <c r="BJ23" s="404"/>
      <c r="BK23" s="404"/>
      <c r="BL23" s="404"/>
      <c r="BM23" s="404"/>
      <c r="BN23" s="404"/>
      <c r="BO23" s="404"/>
      <c r="BP23" s="404"/>
      <c r="BQ23" s="404"/>
      <c r="BR23" s="404"/>
      <c r="BS23" s="404"/>
      <c r="BT23" s="404"/>
      <c r="BU23" s="404"/>
      <c r="BV23" s="404"/>
      <c r="BW23" s="404"/>
      <c r="BX23" s="404"/>
      <c r="BY23" s="404"/>
      <c r="BZ23" s="404"/>
      <c r="CA23" s="404"/>
      <c r="CB23" s="404"/>
      <c r="CC23" s="404"/>
      <c r="CD23" s="404"/>
      <c r="CE23" s="404"/>
      <c r="CF23" s="404"/>
      <c r="CG23" s="404"/>
      <c r="CH23" s="404"/>
      <c r="CI23" s="404"/>
      <c r="CJ23" s="404"/>
      <c r="CK23" s="404"/>
      <c r="CL23" s="404"/>
      <c r="CM23" s="404"/>
      <c r="CN23" s="404"/>
      <c r="CO23" s="404"/>
      <c r="CP23" s="404"/>
      <c r="CQ23" s="404"/>
      <c r="CR23" s="404"/>
      <c r="CS23" s="404"/>
      <c r="CT23" s="404"/>
      <c r="CU23" s="404"/>
      <c r="CV23" s="404"/>
      <c r="CW23" s="404"/>
      <c r="CX23" s="404"/>
      <c r="CY23" s="404"/>
      <c r="CZ23" s="404"/>
      <c r="DA23" s="404"/>
      <c r="DB23" s="404"/>
      <c r="DC23" s="404"/>
      <c r="DD23" s="404"/>
      <c r="DE23" s="404"/>
      <c r="DF23" s="404"/>
      <c r="DG23" s="404"/>
      <c r="DH23" s="404"/>
      <c r="DI23" s="404"/>
      <c r="DJ23" s="404"/>
      <c r="DK23" s="404"/>
      <c r="DL23" s="404"/>
      <c r="DM23" s="404"/>
      <c r="DN23" s="404"/>
      <c r="DO23" s="404"/>
      <c r="DP23" s="404"/>
      <c r="DQ23" s="404"/>
      <c r="DR23" s="404"/>
      <c r="DS23" s="404"/>
      <c r="DT23" s="404"/>
      <c r="DU23" s="404"/>
      <c r="DV23" s="404"/>
      <c r="DW23" s="404"/>
      <c r="DX23" s="404"/>
      <c r="DY23" s="404"/>
      <c r="DZ23" s="404"/>
      <c r="EA23" s="404"/>
      <c r="EB23" s="404"/>
      <c r="EC23" s="404"/>
      <c r="ED23" s="404"/>
      <c r="EE23" s="404"/>
      <c r="EF23" s="404"/>
      <c r="EG23" s="404"/>
      <c r="EH23" s="404"/>
      <c r="EI23" s="404"/>
      <c r="EJ23" s="404"/>
      <c r="EK23" s="404"/>
      <c r="EL23" s="404"/>
      <c r="EM23" s="404"/>
      <c r="EN23" s="404"/>
      <c r="EO23" s="404"/>
      <c r="EP23" s="404"/>
      <c r="EQ23" s="404"/>
      <c r="ER23" s="404"/>
      <c r="ES23" s="404"/>
      <c r="ET23" s="404"/>
      <c r="EU23" s="404"/>
      <c r="EV23" s="404"/>
      <c r="EW23" s="404"/>
      <c r="EX23" s="404"/>
      <c r="EY23" s="404"/>
      <c r="EZ23" s="404"/>
      <c r="FA23" s="404"/>
      <c r="FB23" s="404"/>
      <c r="FC23" s="404"/>
      <c r="FD23" s="404"/>
      <c r="FE23" s="404"/>
      <c r="FF23" s="404"/>
      <c r="FG23" s="404"/>
      <c r="FH23" s="404"/>
      <c r="FI23" s="404"/>
      <c r="FJ23" s="404"/>
      <c r="FK23" s="404"/>
      <c r="FL23" s="404"/>
      <c r="FM23" s="404"/>
      <c r="FN23" s="404"/>
      <c r="FO23" s="404"/>
      <c r="FP23" s="404"/>
      <c r="FQ23" s="404"/>
      <c r="FR23" s="404"/>
      <c r="FS23" s="404"/>
      <c r="FT23" s="404"/>
      <c r="FU23" s="404"/>
      <c r="FV23" s="404"/>
      <c r="FW23" s="404"/>
      <c r="FX23" s="404"/>
      <c r="FY23" s="404"/>
      <c r="FZ23" s="404"/>
      <c r="GA23" s="404"/>
      <c r="GB23" s="404"/>
      <c r="GC23" s="404"/>
      <c r="GD23" s="404"/>
      <c r="GE23" s="404"/>
      <c r="GF23" s="404"/>
      <c r="GG23" s="404"/>
      <c r="GH23" s="404"/>
      <c r="GI23" s="404"/>
      <c r="GJ23" s="404"/>
      <c r="GK23" s="404"/>
      <c r="GL23" s="404"/>
      <c r="GM23" s="404"/>
      <c r="GN23" s="404"/>
      <c r="GO23" s="404"/>
      <c r="GP23" s="404"/>
      <c r="GQ23" s="404"/>
      <c r="GR23" s="404"/>
      <c r="GS23" s="404"/>
      <c r="GT23" s="404"/>
      <c r="GU23" s="404"/>
      <c r="GV23" s="404"/>
      <c r="GW23" s="404"/>
      <c r="GX23" s="404"/>
      <c r="GY23" s="404"/>
      <c r="GZ23" s="404"/>
      <c r="HA23" s="404"/>
      <c r="HB23" s="404"/>
      <c r="HC23" s="404"/>
      <c r="HD23" s="404"/>
      <c r="HE23" s="404"/>
      <c r="HF23" s="404"/>
      <c r="HG23" s="404"/>
      <c r="HH23" s="404"/>
      <c r="HI23" s="404"/>
      <c r="HJ23" s="404"/>
      <c r="HK23" s="404"/>
      <c r="HL23" s="404"/>
      <c r="HM23" s="404"/>
      <c r="HN23" s="404"/>
      <c r="HO23" s="404"/>
      <c r="HP23" s="404"/>
      <c r="HQ23" s="404"/>
      <c r="HR23" s="404"/>
      <c r="HS23" s="404"/>
      <c r="HT23" s="404"/>
      <c r="HU23" s="404"/>
      <c r="HV23" s="404"/>
      <c r="HW23" s="404"/>
      <c r="HX23" s="404"/>
      <c r="HY23" s="404"/>
      <c r="HZ23" s="404"/>
      <c r="IA23" s="404"/>
      <c r="IB23" s="404"/>
      <c r="IC23" s="404"/>
      <c r="ID23" s="404"/>
      <c r="IE23" s="404"/>
      <c r="IF23" s="404"/>
      <c r="IG23" s="404"/>
      <c r="IH23" s="404"/>
      <c r="II23" s="404"/>
      <c r="IJ23" s="404"/>
      <c r="IK23" s="404"/>
      <c r="IL23" s="404"/>
      <c r="IM23" s="404"/>
      <c r="IN23" s="404"/>
      <c r="IO23" s="404"/>
      <c r="IP23" s="404"/>
      <c r="IQ23" s="404"/>
      <c r="IR23" s="404"/>
      <c r="IS23" s="404"/>
      <c r="IT23" s="404"/>
      <c r="IU23" s="404"/>
      <c r="IV23" s="404"/>
    </row>
    <row r="24" spans="1:256" s="939" customFormat="1" x14ac:dyDescent="0.35">
      <c r="A24" s="735">
        <v>15</v>
      </c>
      <c r="B24" s="931"/>
      <c r="C24" s="447"/>
      <c r="D24" s="641" t="s">
        <v>927</v>
      </c>
      <c r="E24" s="416"/>
      <c r="F24" s="972"/>
      <c r="G24" s="417"/>
      <c r="H24" s="947"/>
      <c r="I24" s="944"/>
      <c r="J24" s="937"/>
      <c r="K24" s="960"/>
      <c r="L24" s="937"/>
      <c r="M24" s="722">
        <f>SUM(M22:M23)</f>
        <v>37754</v>
      </c>
      <c r="N24" s="960"/>
      <c r="O24" s="937"/>
      <c r="P24" s="730">
        <f>SUM(I24:O24)</f>
        <v>37754</v>
      </c>
      <c r="Q24" s="938"/>
    </row>
    <row r="25" spans="1:256" s="939" customFormat="1" x14ac:dyDescent="0.35">
      <c r="A25" s="735">
        <v>16</v>
      </c>
      <c r="B25" s="931"/>
      <c r="C25" s="447"/>
      <c r="D25" s="724" t="s">
        <v>716</v>
      </c>
      <c r="E25" s="416"/>
      <c r="F25" s="972"/>
      <c r="G25" s="417"/>
      <c r="H25" s="947"/>
      <c r="I25" s="944"/>
      <c r="J25" s="937"/>
      <c r="K25" s="960"/>
      <c r="L25" s="937"/>
      <c r="M25" s="960"/>
      <c r="N25" s="960"/>
      <c r="O25" s="937"/>
      <c r="P25" s="930"/>
      <c r="Q25" s="938"/>
    </row>
    <row r="26" spans="1:256" s="939" customFormat="1" x14ac:dyDescent="0.35">
      <c r="A26" s="735">
        <v>17</v>
      </c>
      <c r="B26" s="931"/>
      <c r="C26" s="447"/>
      <c r="D26" s="933" t="s">
        <v>292</v>
      </c>
      <c r="E26" s="416">
        <f>F26+G26+P28</f>
        <v>108404</v>
      </c>
      <c r="F26" s="972"/>
      <c r="G26" s="417">
        <v>25527</v>
      </c>
      <c r="H26" s="947"/>
      <c r="I26" s="944"/>
      <c r="J26" s="937"/>
      <c r="K26" s="960"/>
      <c r="L26" s="937"/>
      <c r="M26" s="960">
        <v>82877</v>
      </c>
      <c r="N26" s="960"/>
      <c r="O26" s="937"/>
      <c r="P26" s="930">
        <f>SUM(I26:O26)</f>
        <v>82877</v>
      </c>
      <c r="Q26" s="938"/>
    </row>
    <row r="27" spans="1:256" s="721" customFormat="1" x14ac:dyDescent="0.35">
      <c r="A27" s="735">
        <v>18</v>
      </c>
      <c r="B27" s="931"/>
      <c r="C27" s="447"/>
      <c r="D27" s="1499" t="s">
        <v>929</v>
      </c>
      <c r="E27" s="416"/>
      <c r="F27" s="972"/>
      <c r="G27" s="417"/>
      <c r="H27" s="947"/>
      <c r="I27" s="944"/>
      <c r="J27" s="937"/>
      <c r="K27" s="960"/>
      <c r="L27" s="937"/>
      <c r="M27" s="960"/>
      <c r="N27" s="960"/>
      <c r="O27" s="937"/>
      <c r="P27" s="1732">
        <f>SUM(I27:O27)</f>
        <v>0</v>
      </c>
      <c r="Q27" s="938"/>
      <c r="R27" s="404"/>
      <c r="S27" s="404"/>
      <c r="T27" s="404"/>
      <c r="U27" s="404"/>
      <c r="V27" s="404"/>
      <c r="W27" s="404"/>
      <c r="X27" s="404"/>
      <c r="Y27" s="404"/>
      <c r="Z27" s="404"/>
      <c r="AA27" s="404"/>
      <c r="AB27" s="404"/>
      <c r="AC27" s="404"/>
      <c r="AD27" s="404"/>
      <c r="AE27" s="404"/>
      <c r="AF27" s="404"/>
      <c r="AG27" s="404"/>
      <c r="AH27" s="404"/>
      <c r="AI27" s="404"/>
      <c r="AJ27" s="404"/>
      <c r="AK27" s="404"/>
      <c r="AL27" s="404"/>
      <c r="AM27" s="404"/>
      <c r="AN27" s="404"/>
      <c r="AO27" s="404"/>
      <c r="AP27" s="404"/>
      <c r="AQ27" s="404"/>
      <c r="AR27" s="404"/>
      <c r="AS27" s="404"/>
      <c r="AT27" s="404"/>
      <c r="AU27" s="404"/>
      <c r="AV27" s="404"/>
      <c r="AW27" s="404"/>
      <c r="AX27" s="404"/>
      <c r="AY27" s="404"/>
      <c r="AZ27" s="404"/>
      <c r="BA27" s="404"/>
      <c r="BB27" s="404"/>
      <c r="BC27" s="404"/>
      <c r="BD27" s="404"/>
      <c r="BE27" s="404"/>
      <c r="BF27" s="404"/>
      <c r="BG27" s="404"/>
      <c r="BH27" s="404"/>
      <c r="BI27" s="404"/>
      <c r="BJ27" s="404"/>
      <c r="BK27" s="404"/>
      <c r="BL27" s="404"/>
      <c r="BM27" s="404"/>
      <c r="BN27" s="404"/>
      <c r="BO27" s="404"/>
      <c r="BP27" s="404"/>
      <c r="BQ27" s="404"/>
      <c r="BR27" s="404"/>
      <c r="BS27" s="404"/>
      <c r="BT27" s="404"/>
      <c r="BU27" s="404"/>
      <c r="BV27" s="404"/>
      <c r="BW27" s="404"/>
      <c r="BX27" s="404"/>
      <c r="BY27" s="404"/>
      <c r="BZ27" s="404"/>
      <c r="CA27" s="404"/>
      <c r="CB27" s="404"/>
      <c r="CC27" s="404"/>
      <c r="CD27" s="404"/>
      <c r="CE27" s="404"/>
      <c r="CF27" s="404"/>
      <c r="CG27" s="404"/>
      <c r="CH27" s="404"/>
      <c r="CI27" s="404"/>
      <c r="CJ27" s="404"/>
      <c r="CK27" s="404"/>
      <c r="CL27" s="404"/>
      <c r="CM27" s="404"/>
      <c r="CN27" s="404"/>
      <c r="CO27" s="404"/>
      <c r="CP27" s="404"/>
      <c r="CQ27" s="404"/>
      <c r="CR27" s="404"/>
      <c r="CS27" s="404"/>
      <c r="CT27" s="404"/>
      <c r="CU27" s="404"/>
      <c r="CV27" s="404"/>
      <c r="CW27" s="404"/>
      <c r="CX27" s="404"/>
      <c r="CY27" s="404"/>
      <c r="CZ27" s="404"/>
      <c r="DA27" s="404"/>
      <c r="DB27" s="404"/>
      <c r="DC27" s="404"/>
      <c r="DD27" s="404"/>
      <c r="DE27" s="404"/>
      <c r="DF27" s="404"/>
      <c r="DG27" s="404"/>
      <c r="DH27" s="404"/>
      <c r="DI27" s="404"/>
      <c r="DJ27" s="404"/>
      <c r="DK27" s="404"/>
      <c r="DL27" s="404"/>
      <c r="DM27" s="404"/>
      <c r="DN27" s="404"/>
      <c r="DO27" s="404"/>
      <c r="DP27" s="404"/>
      <c r="DQ27" s="404"/>
      <c r="DR27" s="404"/>
      <c r="DS27" s="404"/>
      <c r="DT27" s="404"/>
      <c r="DU27" s="404"/>
      <c r="DV27" s="404"/>
      <c r="DW27" s="404"/>
      <c r="DX27" s="404"/>
      <c r="DY27" s="404"/>
      <c r="DZ27" s="404"/>
      <c r="EA27" s="404"/>
      <c r="EB27" s="404"/>
      <c r="EC27" s="404"/>
      <c r="ED27" s="404"/>
      <c r="EE27" s="404"/>
      <c r="EF27" s="404"/>
      <c r="EG27" s="404"/>
      <c r="EH27" s="404"/>
      <c r="EI27" s="404"/>
      <c r="EJ27" s="404"/>
      <c r="EK27" s="404"/>
      <c r="EL27" s="404"/>
      <c r="EM27" s="404"/>
      <c r="EN27" s="404"/>
      <c r="EO27" s="404"/>
      <c r="EP27" s="404"/>
      <c r="EQ27" s="404"/>
      <c r="ER27" s="404"/>
      <c r="ES27" s="404"/>
      <c r="ET27" s="404"/>
      <c r="EU27" s="404"/>
      <c r="EV27" s="404"/>
      <c r="EW27" s="404"/>
      <c r="EX27" s="404"/>
      <c r="EY27" s="404"/>
      <c r="EZ27" s="404"/>
      <c r="FA27" s="404"/>
      <c r="FB27" s="404"/>
      <c r="FC27" s="404"/>
      <c r="FD27" s="404"/>
      <c r="FE27" s="404"/>
      <c r="FF27" s="404"/>
      <c r="FG27" s="404"/>
      <c r="FH27" s="404"/>
      <c r="FI27" s="404"/>
      <c r="FJ27" s="404"/>
      <c r="FK27" s="404"/>
      <c r="FL27" s="404"/>
      <c r="FM27" s="404"/>
      <c r="FN27" s="404"/>
      <c r="FO27" s="404"/>
      <c r="FP27" s="404"/>
      <c r="FQ27" s="404"/>
      <c r="FR27" s="404"/>
      <c r="FS27" s="404"/>
      <c r="FT27" s="404"/>
      <c r="FU27" s="404"/>
      <c r="FV27" s="404"/>
      <c r="FW27" s="404"/>
      <c r="FX27" s="404"/>
      <c r="FY27" s="404"/>
      <c r="FZ27" s="404"/>
      <c r="GA27" s="404"/>
      <c r="GB27" s="404"/>
      <c r="GC27" s="404"/>
      <c r="GD27" s="404"/>
      <c r="GE27" s="404"/>
      <c r="GF27" s="404"/>
      <c r="GG27" s="404"/>
      <c r="GH27" s="404"/>
      <c r="GI27" s="404"/>
      <c r="GJ27" s="404"/>
      <c r="GK27" s="404"/>
      <c r="GL27" s="404"/>
      <c r="GM27" s="404"/>
      <c r="GN27" s="404"/>
      <c r="GO27" s="404"/>
      <c r="GP27" s="404"/>
      <c r="GQ27" s="404"/>
      <c r="GR27" s="404"/>
      <c r="GS27" s="404"/>
      <c r="GT27" s="404"/>
      <c r="GU27" s="404"/>
      <c r="GV27" s="404"/>
      <c r="GW27" s="404"/>
      <c r="GX27" s="404"/>
      <c r="GY27" s="404"/>
      <c r="GZ27" s="404"/>
      <c r="HA27" s="404"/>
      <c r="HB27" s="404"/>
      <c r="HC27" s="404"/>
      <c r="HD27" s="404"/>
      <c r="HE27" s="404"/>
      <c r="HF27" s="404"/>
      <c r="HG27" s="404"/>
      <c r="HH27" s="404"/>
      <c r="HI27" s="404"/>
      <c r="HJ27" s="404"/>
      <c r="HK27" s="404"/>
      <c r="HL27" s="404"/>
      <c r="HM27" s="404"/>
      <c r="HN27" s="404"/>
      <c r="HO27" s="404"/>
      <c r="HP27" s="404"/>
      <c r="HQ27" s="404"/>
      <c r="HR27" s="404"/>
      <c r="HS27" s="404"/>
      <c r="HT27" s="404"/>
      <c r="HU27" s="404"/>
      <c r="HV27" s="404"/>
      <c r="HW27" s="404"/>
      <c r="HX27" s="404"/>
      <c r="HY27" s="404"/>
      <c r="HZ27" s="404"/>
      <c r="IA27" s="404"/>
      <c r="IB27" s="404"/>
      <c r="IC27" s="404"/>
      <c r="ID27" s="404"/>
      <c r="IE27" s="404"/>
      <c r="IF27" s="404"/>
      <c r="IG27" s="404"/>
      <c r="IH27" s="404"/>
      <c r="II27" s="404"/>
      <c r="IJ27" s="404"/>
      <c r="IK27" s="404"/>
      <c r="IL27" s="404"/>
      <c r="IM27" s="404"/>
      <c r="IN27" s="404"/>
      <c r="IO27" s="404"/>
      <c r="IP27" s="404"/>
      <c r="IQ27" s="404"/>
      <c r="IR27" s="404"/>
      <c r="IS27" s="404"/>
      <c r="IT27" s="404"/>
      <c r="IU27" s="404"/>
      <c r="IV27" s="404"/>
    </row>
    <row r="28" spans="1:256" s="939" customFormat="1" x14ac:dyDescent="0.35">
      <c r="A28" s="735">
        <v>19</v>
      </c>
      <c r="B28" s="931"/>
      <c r="C28" s="447"/>
      <c r="D28" s="641" t="s">
        <v>927</v>
      </c>
      <c r="E28" s="416"/>
      <c r="F28" s="972"/>
      <c r="G28" s="417"/>
      <c r="H28" s="947"/>
      <c r="I28" s="944"/>
      <c r="J28" s="937"/>
      <c r="K28" s="960"/>
      <c r="L28" s="937"/>
      <c r="M28" s="722">
        <f>SUM(M26:M27)</f>
        <v>82877</v>
      </c>
      <c r="N28" s="960"/>
      <c r="O28" s="937"/>
      <c r="P28" s="730">
        <f>SUM(I28:O28)</f>
        <v>82877</v>
      </c>
      <c r="Q28" s="938"/>
    </row>
    <row r="29" spans="1:256" s="939" customFormat="1" x14ac:dyDescent="0.35">
      <c r="A29" s="735">
        <v>20</v>
      </c>
      <c r="B29" s="931"/>
      <c r="C29" s="447"/>
      <c r="D29" s="724" t="s">
        <v>899</v>
      </c>
      <c r="E29" s="416"/>
      <c r="F29" s="972"/>
      <c r="G29" s="417"/>
      <c r="H29" s="947"/>
      <c r="I29" s="944"/>
      <c r="J29" s="937"/>
      <c r="K29" s="960"/>
      <c r="L29" s="937"/>
      <c r="M29" s="960"/>
      <c r="N29" s="960"/>
      <c r="O29" s="937"/>
      <c r="P29" s="930"/>
      <c r="Q29" s="938"/>
    </row>
    <row r="30" spans="1:256" s="939" customFormat="1" x14ac:dyDescent="0.35">
      <c r="A30" s="735">
        <v>21</v>
      </c>
      <c r="B30" s="931"/>
      <c r="C30" s="447"/>
      <c r="D30" s="933" t="s">
        <v>292</v>
      </c>
      <c r="E30" s="416">
        <f>F30+G30+P32</f>
        <v>37500</v>
      </c>
      <c r="F30" s="972"/>
      <c r="G30" s="417">
        <v>7620</v>
      </c>
      <c r="H30" s="947"/>
      <c r="I30" s="944"/>
      <c r="J30" s="937"/>
      <c r="K30" s="960"/>
      <c r="L30" s="937"/>
      <c r="M30" s="960">
        <v>29880</v>
      </c>
      <c r="N30" s="960"/>
      <c r="O30" s="937"/>
      <c r="P30" s="930">
        <f>SUM(I30:O30)</f>
        <v>29880</v>
      </c>
      <c r="Q30" s="938"/>
    </row>
    <row r="31" spans="1:256" s="939" customFormat="1" x14ac:dyDescent="0.35">
      <c r="A31" s="735">
        <v>22</v>
      </c>
      <c r="B31" s="931"/>
      <c r="C31" s="447"/>
      <c r="D31" s="1499" t="s">
        <v>929</v>
      </c>
      <c r="E31" s="416"/>
      <c r="F31" s="972"/>
      <c r="G31" s="417"/>
      <c r="H31" s="947"/>
      <c r="I31" s="944"/>
      <c r="J31" s="937"/>
      <c r="K31" s="960"/>
      <c r="L31" s="937"/>
      <c r="M31" s="960"/>
      <c r="N31" s="960"/>
      <c r="O31" s="937"/>
      <c r="P31" s="1732">
        <f>SUM(I31:O31)</f>
        <v>0</v>
      </c>
      <c r="Q31" s="938"/>
    </row>
    <row r="32" spans="1:256" s="721" customFormat="1" x14ac:dyDescent="0.35">
      <c r="A32" s="735">
        <v>23</v>
      </c>
      <c r="B32" s="931"/>
      <c r="C32" s="447"/>
      <c r="D32" s="641" t="s">
        <v>927</v>
      </c>
      <c r="E32" s="416"/>
      <c r="F32" s="972"/>
      <c r="G32" s="417"/>
      <c r="H32" s="947"/>
      <c r="I32" s="944"/>
      <c r="J32" s="937"/>
      <c r="K32" s="960"/>
      <c r="L32" s="937"/>
      <c r="M32" s="722">
        <f>SUM(M30:M31)</f>
        <v>29880</v>
      </c>
      <c r="N32" s="960"/>
      <c r="O32" s="937"/>
      <c r="P32" s="730">
        <f>SUM(I32:O32)</f>
        <v>29880</v>
      </c>
      <c r="Q32" s="938"/>
      <c r="R32" s="404"/>
      <c r="S32" s="404"/>
      <c r="T32" s="404"/>
      <c r="U32" s="404"/>
      <c r="V32" s="404"/>
      <c r="W32" s="404"/>
      <c r="X32" s="404"/>
      <c r="Y32" s="404"/>
      <c r="Z32" s="404"/>
      <c r="AA32" s="404"/>
      <c r="AB32" s="404"/>
      <c r="AC32" s="404"/>
      <c r="AD32" s="404"/>
      <c r="AE32" s="404"/>
      <c r="AF32" s="404"/>
      <c r="AG32" s="404"/>
      <c r="AH32" s="404"/>
      <c r="AI32" s="404"/>
      <c r="AJ32" s="404"/>
      <c r="AK32" s="404"/>
      <c r="AL32" s="404"/>
      <c r="AM32" s="404"/>
      <c r="AN32" s="404"/>
      <c r="AO32" s="404"/>
      <c r="AP32" s="404"/>
      <c r="AQ32" s="404"/>
      <c r="AR32" s="404"/>
      <c r="AS32" s="404"/>
      <c r="AT32" s="404"/>
      <c r="AU32" s="404"/>
      <c r="AV32" s="404"/>
      <c r="AW32" s="404"/>
      <c r="AX32" s="404"/>
      <c r="AY32" s="404"/>
      <c r="AZ32" s="404"/>
      <c r="BA32" s="404"/>
      <c r="BB32" s="404"/>
      <c r="BC32" s="404"/>
      <c r="BD32" s="404"/>
      <c r="BE32" s="404"/>
      <c r="BF32" s="404"/>
      <c r="BG32" s="404"/>
      <c r="BH32" s="404"/>
      <c r="BI32" s="404"/>
      <c r="BJ32" s="404"/>
      <c r="BK32" s="404"/>
      <c r="BL32" s="404"/>
      <c r="BM32" s="404"/>
      <c r="BN32" s="404"/>
      <c r="BO32" s="404"/>
      <c r="BP32" s="404"/>
      <c r="BQ32" s="404"/>
      <c r="BR32" s="404"/>
      <c r="BS32" s="404"/>
      <c r="BT32" s="404"/>
      <c r="BU32" s="404"/>
      <c r="BV32" s="404"/>
      <c r="BW32" s="404"/>
      <c r="BX32" s="404"/>
      <c r="BY32" s="404"/>
      <c r="BZ32" s="404"/>
      <c r="CA32" s="404"/>
      <c r="CB32" s="404"/>
      <c r="CC32" s="404"/>
      <c r="CD32" s="404"/>
      <c r="CE32" s="404"/>
      <c r="CF32" s="404"/>
      <c r="CG32" s="404"/>
      <c r="CH32" s="404"/>
      <c r="CI32" s="404"/>
      <c r="CJ32" s="404"/>
      <c r="CK32" s="404"/>
      <c r="CL32" s="404"/>
      <c r="CM32" s="404"/>
      <c r="CN32" s="404"/>
      <c r="CO32" s="404"/>
      <c r="CP32" s="404"/>
      <c r="CQ32" s="404"/>
      <c r="CR32" s="404"/>
      <c r="CS32" s="404"/>
      <c r="CT32" s="404"/>
      <c r="CU32" s="404"/>
      <c r="CV32" s="404"/>
      <c r="CW32" s="404"/>
      <c r="CX32" s="404"/>
      <c r="CY32" s="404"/>
      <c r="CZ32" s="404"/>
      <c r="DA32" s="404"/>
      <c r="DB32" s="404"/>
      <c r="DC32" s="404"/>
      <c r="DD32" s="404"/>
      <c r="DE32" s="404"/>
      <c r="DF32" s="404"/>
      <c r="DG32" s="404"/>
      <c r="DH32" s="404"/>
      <c r="DI32" s="404"/>
      <c r="DJ32" s="404"/>
      <c r="DK32" s="404"/>
      <c r="DL32" s="404"/>
      <c r="DM32" s="404"/>
      <c r="DN32" s="404"/>
      <c r="DO32" s="404"/>
      <c r="DP32" s="404"/>
      <c r="DQ32" s="404"/>
      <c r="DR32" s="404"/>
      <c r="DS32" s="404"/>
      <c r="DT32" s="404"/>
      <c r="DU32" s="404"/>
      <c r="DV32" s="404"/>
      <c r="DW32" s="404"/>
      <c r="DX32" s="404"/>
      <c r="DY32" s="404"/>
      <c r="DZ32" s="404"/>
      <c r="EA32" s="404"/>
      <c r="EB32" s="404"/>
      <c r="EC32" s="404"/>
      <c r="ED32" s="404"/>
      <c r="EE32" s="404"/>
      <c r="EF32" s="404"/>
      <c r="EG32" s="404"/>
      <c r="EH32" s="404"/>
      <c r="EI32" s="404"/>
      <c r="EJ32" s="404"/>
      <c r="EK32" s="404"/>
      <c r="EL32" s="404"/>
      <c r="EM32" s="404"/>
      <c r="EN32" s="404"/>
      <c r="EO32" s="404"/>
      <c r="EP32" s="404"/>
      <c r="EQ32" s="404"/>
      <c r="ER32" s="404"/>
      <c r="ES32" s="404"/>
      <c r="ET32" s="404"/>
      <c r="EU32" s="404"/>
      <c r="EV32" s="404"/>
      <c r="EW32" s="404"/>
      <c r="EX32" s="404"/>
      <c r="EY32" s="404"/>
      <c r="EZ32" s="404"/>
      <c r="FA32" s="404"/>
      <c r="FB32" s="404"/>
      <c r="FC32" s="404"/>
      <c r="FD32" s="404"/>
      <c r="FE32" s="404"/>
      <c r="FF32" s="404"/>
      <c r="FG32" s="404"/>
      <c r="FH32" s="404"/>
      <c r="FI32" s="404"/>
      <c r="FJ32" s="404"/>
      <c r="FK32" s="404"/>
      <c r="FL32" s="404"/>
      <c r="FM32" s="404"/>
      <c r="FN32" s="404"/>
      <c r="FO32" s="404"/>
      <c r="FP32" s="404"/>
      <c r="FQ32" s="404"/>
      <c r="FR32" s="404"/>
      <c r="FS32" s="404"/>
      <c r="FT32" s="404"/>
      <c r="FU32" s="404"/>
      <c r="FV32" s="404"/>
      <c r="FW32" s="404"/>
      <c r="FX32" s="404"/>
      <c r="FY32" s="404"/>
      <c r="FZ32" s="404"/>
      <c r="GA32" s="404"/>
      <c r="GB32" s="404"/>
      <c r="GC32" s="404"/>
      <c r="GD32" s="404"/>
      <c r="GE32" s="404"/>
      <c r="GF32" s="404"/>
      <c r="GG32" s="404"/>
      <c r="GH32" s="404"/>
      <c r="GI32" s="404"/>
      <c r="GJ32" s="404"/>
      <c r="GK32" s="404"/>
      <c r="GL32" s="404"/>
      <c r="GM32" s="404"/>
      <c r="GN32" s="404"/>
      <c r="GO32" s="404"/>
      <c r="GP32" s="404"/>
      <c r="GQ32" s="404"/>
      <c r="GR32" s="404"/>
      <c r="GS32" s="404"/>
      <c r="GT32" s="404"/>
      <c r="GU32" s="404"/>
      <c r="GV32" s="404"/>
      <c r="GW32" s="404"/>
      <c r="GX32" s="404"/>
      <c r="GY32" s="404"/>
      <c r="GZ32" s="404"/>
      <c r="HA32" s="404"/>
      <c r="HB32" s="404"/>
      <c r="HC32" s="404"/>
      <c r="HD32" s="404"/>
      <c r="HE32" s="404"/>
      <c r="HF32" s="404"/>
      <c r="HG32" s="404"/>
      <c r="HH32" s="404"/>
      <c r="HI32" s="404"/>
      <c r="HJ32" s="404"/>
      <c r="HK32" s="404"/>
      <c r="HL32" s="404"/>
      <c r="HM32" s="404"/>
      <c r="HN32" s="404"/>
      <c r="HO32" s="404"/>
      <c r="HP32" s="404"/>
      <c r="HQ32" s="404"/>
      <c r="HR32" s="404"/>
      <c r="HS32" s="404"/>
      <c r="HT32" s="404"/>
      <c r="HU32" s="404"/>
      <c r="HV32" s="404"/>
      <c r="HW32" s="404"/>
      <c r="HX32" s="404"/>
      <c r="HY32" s="404"/>
      <c r="HZ32" s="404"/>
      <c r="IA32" s="404"/>
      <c r="IB32" s="404"/>
      <c r="IC32" s="404"/>
      <c r="ID32" s="404"/>
      <c r="IE32" s="404"/>
      <c r="IF32" s="404"/>
      <c r="IG32" s="404"/>
      <c r="IH32" s="404"/>
      <c r="II32" s="404"/>
      <c r="IJ32" s="404"/>
      <c r="IK32" s="404"/>
      <c r="IL32" s="404"/>
      <c r="IM32" s="404"/>
      <c r="IN32" s="404"/>
      <c r="IO32" s="404"/>
      <c r="IP32" s="404"/>
      <c r="IQ32" s="404"/>
      <c r="IR32" s="404"/>
      <c r="IS32" s="404"/>
      <c r="IT32" s="404"/>
      <c r="IU32" s="404"/>
      <c r="IV32" s="404"/>
    </row>
    <row r="33" spans="1:256" s="721" customFormat="1" x14ac:dyDescent="0.35">
      <c r="A33" s="735">
        <v>24</v>
      </c>
      <c r="B33" s="729"/>
      <c r="C33" s="447"/>
      <c r="D33" s="724" t="s">
        <v>717</v>
      </c>
      <c r="E33" s="416"/>
      <c r="F33" s="725"/>
      <c r="G33" s="417"/>
      <c r="H33" s="946"/>
      <c r="I33" s="943"/>
      <c r="J33" s="722"/>
      <c r="K33" s="722"/>
      <c r="L33" s="722"/>
      <c r="M33" s="722"/>
      <c r="N33" s="722"/>
      <c r="O33" s="722"/>
      <c r="P33" s="730"/>
      <c r="Q33" s="726"/>
      <c r="R33" s="404"/>
      <c r="S33" s="404"/>
      <c r="T33" s="404"/>
      <c r="U33" s="404"/>
      <c r="V33" s="404"/>
      <c r="W33" s="404"/>
      <c r="X33" s="404"/>
      <c r="Y33" s="404"/>
      <c r="Z33" s="404"/>
      <c r="AA33" s="404"/>
      <c r="AB33" s="404"/>
      <c r="AC33" s="404"/>
      <c r="AD33" s="404"/>
      <c r="AE33" s="404"/>
      <c r="AF33" s="404"/>
      <c r="AG33" s="404"/>
      <c r="AH33" s="404"/>
      <c r="AI33" s="404"/>
      <c r="AJ33" s="404"/>
      <c r="AK33" s="404"/>
      <c r="AL33" s="404"/>
      <c r="AM33" s="404"/>
      <c r="AN33" s="404"/>
      <c r="AO33" s="404"/>
      <c r="AP33" s="404"/>
      <c r="AQ33" s="404"/>
      <c r="AR33" s="404"/>
      <c r="AS33" s="404"/>
      <c r="AT33" s="404"/>
      <c r="AU33" s="404"/>
      <c r="AV33" s="404"/>
      <c r="AW33" s="404"/>
      <c r="AX33" s="404"/>
      <c r="AY33" s="404"/>
      <c r="AZ33" s="404"/>
      <c r="BA33" s="404"/>
      <c r="BB33" s="404"/>
      <c r="BC33" s="404"/>
      <c r="BD33" s="404"/>
      <c r="BE33" s="404"/>
      <c r="BF33" s="404"/>
      <c r="BG33" s="404"/>
      <c r="BH33" s="404"/>
      <c r="BI33" s="404"/>
      <c r="BJ33" s="404"/>
      <c r="BK33" s="404"/>
      <c r="BL33" s="404"/>
      <c r="BM33" s="404"/>
      <c r="BN33" s="404"/>
      <c r="BO33" s="404"/>
      <c r="BP33" s="404"/>
      <c r="BQ33" s="404"/>
      <c r="BR33" s="404"/>
      <c r="BS33" s="404"/>
      <c r="BT33" s="404"/>
      <c r="BU33" s="404"/>
      <c r="BV33" s="404"/>
      <c r="BW33" s="404"/>
      <c r="BX33" s="404"/>
      <c r="BY33" s="404"/>
      <c r="BZ33" s="404"/>
      <c r="CA33" s="404"/>
      <c r="CB33" s="404"/>
      <c r="CC33" s="404"/>
      <c r="CD33" s="404"/>
      <c r="CE33" s="404"/>
      <c r="CF33" s="404"/>
      <c r="CG33" s="404"/>
      <c r="CH33" s="404"/>
      <c r="CI33" s="404"/>
      <c r="CJ33" s="404"/>
      <c r="CK33" s="404"/>
      <c r="CL33" s="404"/>
      <c r="CM33" s="404"/>
      <c r="CN33" s="404"/>
      <c r="CO33" s="404"/>
      <c r="CP33" s="404"/>
      <c r="CQ33" s="404"/>
      <c r="CR33" s="404"/>
      <c r="CS33" s="404"/>
      <c r="CT33" s="404"/>
      <c r="CU33" s="404"/>
      <c r="CV33" s="404"/>
      <c r="CW33" s="404"/>
      <c r="CX33" s="404"/>
      <c r="CY33" s="404"/>
      <c r="CZ33" s="404"/>
      <c r="DA33" s="404"/>
      <c r="DB33" s="404"/>
      <c r="DC33" s="404"/>
      <c r="DD33" s="404"/>
      <c r="DE33" s="404"/>
      <c r="DF33" s="404"/>
      <c r="DG33" s="404"/>
      <c r="DH33" s="404"/>
      <c r="DI33" s="404"/>
      <c r="DJ33" s="404"/>
      <c r="DK33" s="404"/>
      <c r="DL33" s="404"/>
      <c r="DM33" s="404"/>
      <c r="DN33" s="404"/>
      <c r="DO33" s="404"/>
      <c r="DP33" s="404"/>
      <c r="DQ33" s="404"/>
      <c r="DR33" s="404"/>
      <c r="DS33" s="404"/>
      <c r="DT33" s="404"/>
      <c r="DU33" s="404"/>
      <c r="DV33" s="404"/>
      <c r="DW33" s="404"/>
      <c r="DX33" s="404"/>
      <c r="DY33" s="404"/>
      <c r="DZ33" s="404"/>
      <c r="EA33" s="404"/>
      <c r="EB33" s="404"/>
      <c r="EC33" s="404"/>
      <c r="ED33" s="404"/>
      <c r="EE33" s="404"/>
      <c r="EF33" s="404"/>
      <c r="EG33" s="404"/>
      <c r="EH33" s="404"/>
      <c r="EI33" s="404"/>
      <c r="EJ33" s="404"/>
      <c r="EK33" s="404"/>
      <c r="EL33" s="404"/>
      <c r="EM33" s="404"/>
      <c r="EN33" s="404"/>
      <c r="EO33" s="404"/>
      <c r="EP33" s="404"/>
      <c r="EQ33" s="404"/>
      <c r="ER33" s="404"/>
      <c r="ES33" s="404"/>
      <c r="ET33" s="404"/>
      <c r="EU33" s="404"/>
      <c r="EV33" s="404"/>
      <c r="EW33" s="404"/>
      <c r="EX33" s="404"/>
      <c r="EY33" s="404"/>
      <c r="EZ33" s="404"/>
      <c r="FA33" s="404"/>
      <c r="FB33" s="404"/>
      <c r="FC33" s="404"/>
      <c r="FD33" s="404"/>
      <c r="FE33" s="404"/>
      <c r="FF33" s="404"/>
      <c r="FG33" s="404"/>
      <c r="FH33" s="404"/>
      <c r="FI33" s="404"/>
      <c r="FJ33" s="404"/>
      <c r="FK33" s="404"/>
      <c r="FL33" s="404"/>
      <c r="FM33" s="404"/>
      <c r="FN33" s="404"/>
      <c r="FO33" s="404"/>
      <c r="FP33" s="404"/>
      <c r="FQ33" s="404"/>
      <c r="FR33" s="404"/>
      <c r="FS33" s="404"/>
      <c r="FT33" s="404"/>
      <c r="FU33" s="404"/>
      <c r="FV33" s="404"/>
      <c r="FW33" s="404"/>
      <c r="FX33" s="404"/>
      <c r="FY33" s="404"/>
      <c r="FZ33" s="404"/>
      <c r="GA33" s="404"/>
      <c r="GB33" s="404"/>
      <c r="GC33" s="404"/>
      <c r="GD33" s="404"/>
      <c r="GE33" s="404"/>
      <c r="GF33" s="404"/>
      <c r="GG33" s="404"/>
      <c r="GH33" s="404"/>
      <c r="GI33" s="404"/>
      <c r="GJ33" s="404"/>
      <c r="GK33" s="404"/>
      <c r="GL33" s="404"/>
      <c r="GM33" s="404"/>
      <c r="GN33" s="404"/>
      <c r="GO33" s="404"/>
      <c r="GP33" s="404"/>
      <c r="GQ33" s="404"/>
      <c r="GR33" s="404"/>
      <c r="GS33" s="404"/>
      <c r="GT33" s="404"/>
      <c r="GU33" s="404"/>
      <c r="GV33" s="404"/>
      <c r="GW33" s="404"/>
      <c r="GX33" s="404"/>
      <c r="GY33" s="404"/>
      <c r="GZ33" s="404"/>
      <c r="HA33" s="404"/>
      <c r="HB33" s="404"/>
      <c r="HC33" s="404"/>
      <c r="HD33" s="404"/>
      <c r="HE33" s="404"/>
      <c r="HF33" s="404"/>
      <c r="HG33" s="404"/>
      <c r="HH33" s="404"/>
      <c r="HI33" s="404"/>
      <c r="HJ33" s="404"/>
      <c r="HK33" s="404"/>
      <c r="HL33" s="404"/>
      <c r="HM33" s="404"/>
      <c r="HN33" s="404"/>
      <c r="HO33" s="404"/>
      <c r="HP33" s="404"/>
      <c r="HQ33" s="404"/>
      <c r="HR33" s="404"/>
      <c r="HS33" s="404"/>
      <c r="HT33" s="404"/>
      <c r="HU33" s="404"/>
      <c r="HV33" s="404"/>
      <c r="HW33" s="404"/>
      <c r="HX33" s="404"/>
      <c r="HY33" s="404"/>
      <c r="HZ33" s="404"/>
      <c r="IA33" s="404"/>
      <c r="IB33" s="404"/>
      <c r="IC33" s="404"/>
      <c r="ID33" s="404"/>
      <c r="IE33" s="404"/>
      <c r="IF33" s="404"/>
      <c r="IG33" s="404"/>
      <c r="IH33" s="404"/>
      <c r="II33" s="404"/>
      <c r="IJ33" s="404"/>
      <c r="IK33" s="404"/>
      <c r="IL33" s="404"/>
      <c r="IM33" s="404"/>
      <c r="IN33" s="404"/>
      <c r="IO33" s="404"/>
      <c r="IP33" s="404"/>
      <c r="IQ33" s="404"/>
      <c r="IR33" s="404"/>
      <c r="IS33" s="404"/>
      <c r="IT33" s="404"/>
      <c r="IU33" s="404"/>
      <c r="IV33" s="404"/>
    </row>
    <row r="34" spans="1:256" s="721" customFormat="1" x14ac:dyDescent="0.35">
      <c r="A34" s="735">
        <v>25</v>
      </c>
      <c r="B34" s="931"/>
      <c r="C34" s="1003"/>
      <c r="D34" s="1004" t="s">
        <v>292</v>
      </c>
      <c r="E34" s="416">
        <f>F34+G34+P36</f>
        <v>8000</v>
      </c>
      <c r="F34" s="1005"/>
      <c r="G34" s="1014"/>
      <c r="H34" s="1006"/>
      <c r="I34" s="1007"/>
      <c r="J34" s="1008"/>
      <c r="K34" s="1009"/>
      <c r="L34" s="1008"/>
      <c r="M34" s="1009">
        <v>8000</v>
      </c>
      <c r="N34" s="1008"/>
      <c r="O34" s="1008"/>
      <c r="P34" s="1010">
        <f>SUM(I34:O34)</f>
        <v>8000</v>
      </c>
      <c r="Q34" s="1000"/>
      <c r="R34" s="404"/>
      <c r="S34" s="404"/>
      <c r="T34" s="404"/>
      <c r="U34" s="404"/>
      <c r="V34" s="404"/>
      <c r="W34" s="404"/>
      <c r="X34" s="404"/>
      <c r="Y34" s="404"/>
      <c r="Z34" s="404"/>
      <c r="AA34" s="404"/>
      <c r="AB34" s="404"/>
      <c r="AC34" s="404"/>
      <c r="AD34" s="404"/>
      <c r="AE34" s="404"/>
      <c r="AF34" s="404"/>
      <c r="AG34" s="404"/>
      <c r="AH34" s="404"/>
      <c r="AI34" s="404"/>
      <c r="AJ34" s="404"/>
      <c r="AK34" s="404"/>
      <c r="AL34" s="404"/>
      <c r="AM34" s="404"/>
      <c r="AN34" s="404"/>
      <c r="AO34" s="404"/>
      <c r="AP34" s="404"/>
      <c r="AQ34" s="404"/>
      <c r="AR34" s="404"/>
      <c r="AS34" s="404"/>
      <c r="AT34" s="404"/>
      <c r="AU34" s="404"/>
      <c r="AV34" s="404"/>
      <c r="AW34" s="404"/>
      <c r="AX34" s="404"/>
      <c r="AY34" s="404"/>
      <c r="AZ34" s="404"/>
      <c r="BA34" s="404"/>
      <c r="BB34" s="404"/>
      <c r="BC34" s="404"/>
      <c r="BD34" s="404"/>
      <c r="BE34" s="404"/>
      <c r="BF34" s="404"/>
      <c r="BG34" s="404"/>
      <c r="BH34" s="404"/>
      <c r="BI34" s="404"/>
      <c r="BJ34" s="404"/>
      <c r="BK34" s="404"/>
      <c r="BL34" s="404"/>
      <c r="BM34" s="404"/>
      <c r="BN34" s="404"/>
      <c r="BO34" s="404"/>
      <c r="BP34" s="404"/>
      <c r="BQ34" s="404"/>
      <c r="BR34" s="404"/>
      <c r="BS34" s="404"/>
      <c r="BT34" s="404"/>
      <c r="BU34" s="404"/>
      <c r="BV34" s="404"/>
      <c r="BW34" s="404"/>
      <c r="BX34" s="404"/>
      <c r="BY34" s="404"/>
      <c r="BZ34" s="404"/>
      <c r="CA34" s="404"/>
      <c r="CB34" s="404"/>
      <c r="CC34" s="404"/>
      <c r="CD34" s="404"/>
      <c r="CE34" s="404"/>
      <c r="CF34" s="404"/>
      <c r="CG34" s="404"/>
      <c r="CH34" s="404"/>
      <c r="CI34" s="404"/>
      <c r="CJ34" s="404"/>
      <c r="CK34" s="404"/>
      <c r="CL34" s="404"/>
      <c r="CM34" s="404"/>
      <c r="CN34" s="404"/>
      <c r="CO34" s="404"/>
      <c r="CP34" s="404"/>
      <c r="CQ34" s="404"/>
      <c r="CR34" s="404"/>
      <c r="CS34" s="404"/>
      <c r="CT34" s="404"/>
      <c r="CU34" s="404"/>
      <c r="CV34" s="404"/>
      <c r="CW34" s="404"/>
      <c r="CX34" s="404"/>
      <c r="CY34" s="404"/>
      <c r="CZ34" s="404"/>
      <c r="DA34" s="404"/>
      <c r="DB34" s="404"/>
      <c r="DC34" s="404"/>
      <c r="DD34" s="404"/>
      <c r="DE34" s="404"/>
      <c r="DF34" s="404"/>
      <c r="DG34" s="404"/>
      <c r="DH34" s="404"/>
      <c r="DI34" s="404"/>
      <c r="DJ34" s="404"/>
      <c r="DK34" s="404"/>
      <c r="DL34" s="404"/>
      <c r="DM34" s="404"/>
      <c r="DN34" s="404"/>
      <c r="DO34" s="404"/>
      <c r="DP34" s="404"/>
      <c r="DQ34" s="404"/>
      <c r="DR34" s="404"/>
      <c r="DS34" s="404"/>
      <c r="DT34" s="404"/>
      <c r="DU34" s="404"/>
      <c r="DV34" s="404"/>
      <c r="DW34" s="404"/>
      <c r="DX34" s="404"/>
      <c r="DY34" s="404"/>
      <c r="DZ34" s="404"/>
      <c r="EA34" s="404"/>
      <c r="EB34" s="404"/>
      <c r="EC34" s="404"/>
      <c r="ED34" s="404"/>
      <c r="EE34" s="404"/>
      <c r="EF34" s="404"/>
      <c r="EG34" s="404"/>
      <c r="EH34" s="404"/>
      <c r="EI34" s="404"/>
      <c r="EJ34" s="404"/>
      <c r="EK34" s="404"/>
      <c r="EL34" s="404"/>
      <c r="EM34" s="404"/>
      <c r="EN34" s="404"/>
      <c r="EO34" s="404"/>
      <c r="EP34" s="404"/>
      <c r="EQ34" s="404"/>
      <c r="ER34" s="404"/>
      <c r="ES34" s="404"/>
      <c r="ET34" s="404"/>
      <c r="EU34" s="404"/>
      <c r="EV34" s="404"/>
      <c r="EW34" s="404"/>
      <c r="EX34" s="404"/>
      <c r="EY34" s="404"/>
      <c r="EZ34" s="404"/>
      <c r="FA34" s="404"/>
      <c r="FB34" s="404"/>
      <c r="FC34" s="404"/>
      <c r="FD34" s="404"/>
      <c r="FE34" s="404"/>
      <c r="FF34" s="404"/>
      <c r="FG34" s="404"/>
      <c r="FH34" s="404"/>
      <c r="FI34" s="404"/>
      <c r="FJ34" s="404"/>
      <c r="FK34" s="404"/>
      <c r="FL34" s="404"/>
      <c r="FM34" s="404"/>
      <c r="FN34" s="404"/>
      <c r="FO34" s="404"/>
      <c r="FP34" s="404"/>
      <c r="FQ34" s="404"/>
      <c r="FR34" s="404"/>
      <c r="FS34" s="404"/>
      <c r="FT34" s="404"/>
      <c r="FU34" s="404"/>
      <c r="FV34" s="404"/>
      <c r="FW34" s="404"/>
      <c r="FX34" s="404"/>
      <c r="FY34" s="404"/>
      <c r="FZ34" s="404"/>
      <c r="GA34" s="404"/>
      <c r="GB34" s="404"/>
      <c r="GC34" s="404"/>
      <c r="GD34" s="404"/>
      <c r="GE34" s="404"/>
      <c r="GF34" s="404"/>
      <c r="GG34" s="404"/>
      <c r="GH34" s="404"/>
      <c r="GI34" s="404"/>
      <c r="GJ34" s="404"/>
      <c r="GK34" s="404"/>
      <c r="GL34" s="404"/>
      <c r="GM34" s="404"/>
      <c r="GN34" s="404"/>
      <c r="GO34" s="404"/>
      <c r="GP34" s="404"/>
      <c r="GQ34" s="404"/>
      <c r="GR34" s="404"/>
      <c r="GS34" s="404"/>
      <c r="GT34" s="404"/>
      <c r="GU34" s="404"/>
      <c r="GV34" s="404"/>
      <c r="GW34" s="404"/>
      <c r="GX34" s="404"/>
      <c r="GY34" s="404"/>
      <c r="GZ34" s="404"/>
      <c r="HA34" s="404"/>
      <c r="HB34" s="404"/>
      <c r="HC34" s="404"/>
      <c r="HD34" s="404"/>
      <c r="HE34" s="404"/>
      <c r="HF34" s="404"/>
      <c r="HG34" s="404"/>
      <c r="HH34" s="404"/>
      <c r="HI34" s="404"/>
      <c r="HJ34" s="404"/>
      <c r="HK34" s="404"/>
      <c r="HL34" s="404"/>
      <c r="HM34" s="404"/>
      <c r="HN34" s="404"/>
      <c r="HO34" s="404"/>
      <c r="HP34" s="404"/>
      <c r="HQ34" s="404"/>
      <c r="HR34" s="404"/>
      <c r="HS34" s="404"/>
      <c r="HT34" s="404"/>
      <c r="HU34" s="404"/>
      <c r="HV34" s="404"/>
      <c r="HW34" s="404"/>
      <c r="HX34" s="404"/>
      <c r="HY34" s="404"/>
      <c r="HZ34" s="404"/>
      <c r="IA34" s="404"/>
      <c r="IB34" s="404"/>
      <c r="IC34" s="404"/>
      <c r="ID34" s="404"/>
      <c r="IE34" s="404"/>
      <c r="IF34" s="404"/>
      <c r="IG34" s="404"/>
      <c r="IH34" s="404"/>
      <c r="II34" s="404"/>
      <c r="IJ34" s="404"/>
      <c r="IK34" s="404"/>
      <c r="IL34" s="404"/>
      <c r="IM34" s="404"/>
      <c r="IN34" s="404"/>
      <c r="IO34" s="404"/>
      <c r="IP34" s="404"/>
      <c r="IQ34" s="404"/>
      <c r="IR34" s="404"/>
      <c r="IS34" s="404"/>
      <c r="IT34" s="404"/>
      <c r="IU34" s="404"/>
      <c r="IV34" s="404"/>
    </row>
    <row r="35" spans="1:256" s="939" customFormat="1" x14ac:dyDescent="0.35">
      <c r="A35" s="735">
        <v>26</v>
      </c>
      <c r="B35" s="931"/>
      <c r="C35" s="447"/>
      <c r="D35" s="1499" t="s">
        <v>929</v>
      </c>
      <c r="E35" s="416"/>
      <c r="F35" s="972"/>
      <c r="G35" s="417"/>
      <c r="H35" s="947"/>
      <c r="I35" s="944"/>
      <c r="J35" s="944"/>
      <c r="K35" s="964"/>
      <c r="L35" s="944"/>
      <c r="M35" s="964"/>
      <c r="N35" s="944"/>
      <c r="O35" s="944"/>
      <c r="P35" s="1732">
        <f>SUM(I35:O35)</f>
        <v>0</v>
      </c>
      <c r="Q35" s="938"/>
    </row>
    <row r="36" spans="1:256" s="721" customFormat="1" ht="18" thickBot="1" x14ac:dyDescent="0.4">
      <c r="A36" s="735">
        <v>27</v>
      </c>
      <c r="B36" s="931"/>
      <c r="C36" s="1232"/>
      <c r="D36" s="642" t="s">
        <v>927</v>
      </c>
      <c r="E36" s="1791"/>
      <c r="F36" s="1792"/>
      <c r="G36" s="1793"/>
      <c r="H36" s="1794"/>
      <c r="I36" s="1795"/>
      <c r="J36" s="1795"/>
      <c r="K36" s="1796"/>
      <c r="L36" s="1795"/>
      <c r="M36" s="1797">
        <f>SUM(M34:M35)</f>
        <v>8000</v>
      </c>
      <c r="N36" s="1795"/>
      <c r="O36" s="1795"/>
      <c r="P36" s="730">
        <f>SUM(I36:O36)</f>
        <v>8000</v>
      </c>
      <c r="Q36" s="1798"/>
      <c r="R36" s="404"/>
      <c r="S36" s="404"/>
      <c r="T36" s="404"/>
      <c r="U36" s="404"/>
      <c r="V36" s="404"/>
      <c r="W36" s="404"/>
      <c r="X36" s="404"/>
      <c r="Y36" s="404"/>
      <c r="Z36" s="404"/>
      <c r="AA36" s="404"/>
      <c r="AB36" s="404"/>
      <c r="AC36" s="404"/>
      <c r="AD36" s="404"/>
      <c r="AE36" s="404"/>
      <c r="AF36" s="404"/>
      <c r="AG36" s="404"/>
      <c r="AH36" s="404"/>
      <c r="AI36" s="404"/>
      <c r="AJ36" s="404"/>
      <c r="AK36" s="404"/>
      <c r="AL36" s="404"/>
      <c r="AM36" s="404"/>
      <c r="AN36" s="404"/>
      <c r="AO36" s="404"/>
      <c r="AP36" s="404"/>
      <c r="AQ36" s="404"/>
      <c r="AR36" s="404"/>
      <c r="AS36" s="404"/>
      <c r="AT36" s="404"/>
      <c r="AU36" s="404"/>
      <c r="AV36" s="404"/>
      <c r="AW36" s="404"/>
      <c r="AX36" s="404"/>
      <c r="AY36" s="404"/>
      <c r="AZ36" s="404"/>
      <c r="BA36" s="404"/>
      <c r="BB36" s="404"/>
      <c r="BC36" s="404"/>
      <c r="BD36" s="404"/>
      <c r="BE36" s="404"/>
      <c r="BF36" s="404"/>
      <c r="BG36" s="404"/>
      <c r="BH36" s="404"/>
      <c r="BI36" s="404"/>
      <c r="BJ36" s="404"/>
      <c r="BK36" s="404"/>
      <c r="BL36" s="404"/>
      <c r="BM36" s="404"/>
      <c r="BN36" s="404"/>
      <c r="BO36" s="404"/>
      <c r="BP36" s="404"/>
      <c r="BQ36" s="404"/>
      <c r="BR36" s="404"/>
      <c r="BS36" s="404"/>
      <c r="BT36" s="404"/>
      <c r="BU36" s="404"/>
      <c r="BV36" s="404"/>
      <c r="BW36" s="404"/>
      <c r="BX36" s="404"/>
      <c r="BY36" s="404"/>
      <c r="BZ36" s="404"/>
      <c r="CA36" s="404"/>
      <c r="CB36" s="404"/>
      <c r="CC36" s="404"/>
      <c r="CD36" s="404"/>
      <c r="CE36" s="404"/>
      <c r="CF36" s="404"/>
      <c r="CG36" s="404"/>
      <c r="CH36" s="404"/>
      <c r="CI36" s="404"/>
      <c r="CJ36" s="404"/>
      <c r="CK36" s="404"/>
      <c r="CL36" s="404"/>
      <c r="CM36" s="404"/>
      <c r="CN36" s="404"/>
      <c r="CO36" s="404"/>
      <c r="CP36" s="404"/>
      <c r="CQ36" s="404"/>
      <c r="CR36" s="404"/>
      <c r="CS36" s="404"/>
      <c r="CT36" s="404"/>
      <c r="CU36" s="404"/>
      <c r="CV36" s="404"/>
      <c r="CW36" s="404"/>
      <c r="CX36" s="404"/>
      <c r="CY36" s="404"/>
      <c r="CZ36" s="404"/>
      <c r="DA36" s="404"/>
      <c r="DB36" s="404"/>
      <c r="DC36" s="404"/>
      <c r="DD36" s="404"/>
      <c r="DE36" s="404"/>
      <c r="DF36" s="404"/>
      <c r="DG36" s="404"/>
      <c r="DH36" s="404"/>
      <c r="DI36" s="404"/>
      <c r="DJ36" s="404"/>
      <c r="DK36" s="404"/>
      <c r="DL36" s="404"/>
      <c r="DM36" s="404"/>
      <c r="DN36" s="404"/>
      <c r="DO36" s="404"/>
      <c r="DP36" s="404"/>
      <c r="DQ36" s="404"/>
      <c r="DR36" s="404"/>
      <c r="DS36" s="404"/>
      <c r="DT36" s="404"/>
      <c r="DU36" s="404"/>
      <c r="DV36" s="404"/>
      <c r="DW36" s="404"/>
      <c r="DX36" s="404"/>
      <c r="DY36" s="404"/>
      <c r="DZ36" s="404"/>
      <c r="EA36" s="404"/>
      <c r="EB36" s="404"/>
      <c r="EC36" s="404"/>
      <c r="ED36" s="404"/>
      <c r="EE36" s="404"/>
      <c r="EF36" s="404"/>
      <c r="EG36" s="404"/>
      <c r="EH36" s="404"/>
      <c r="EI36" s="404"/>
      <c r="EJ36" s="404"/>
      <c r="EK36" s="404"/>
      <c r="EL36" s="404"/>
      <c r="EM36" s="404"/>
      <c r="EN36" s="404"/>
      <c r="EO36" s="404"/>
      <c r="EP36" s="404"/>
      <c r="EQ36" s="404"/>
      <c r="ER36" s="404"/>
      <c r="ES36" s="404"/>
      <c r="ET36" s="404"/>
      <c r="EU36" s="404"/>
      <c r="EV36" s="404"/>
      <c r="EW36" s="404"/>
      <c r="EX36" s="404"/>
      <c r="EY36" s="404"/>
      <c r="EZ36" s="404"/>
      <c r="FA36" s="404"/>
      <c r="FB36" s="404"/>
      <c r="FC36" s="404"/>
      <c r="FD36" s="404"/>
      <c r="FE36" s="404"/>
      <c r="FF36" s="404"/>
      <c r="FG36" s="404"/>
      <c r="FH36" s="404"/>
      <c r="FI36" s="404"/>
      <c r="FJ36" s="404"/>
      <c r="FK36" s="404"/>
      <c r="FL36" s="404"/>
      <c r="FM36" s="404"/>
      <c r="FN36" s="404"/>
      <c r="FO36" s="404"/>
      <c r="FP36" s="404"/>
      <c r="FQ36" s="404"/>
      <c r="FR36" s="404"/>
      <c r="FS36" s="404"/>
      <c r="FT36" s="404"/>
      <c r="FU36" s="404"/>
      <c r="FV36" s="404"/>
      <c r="FW36" s="404"/>
      <c r="FX36" s="404"/>
      <c r="FY36" s="404"/>
      <c r="FZ36" s="404"/>
      <c r="GA36" s="404"/>
      <c r="GB36" s="404"/>
      <c r="GC36" s="404"/>
      <c r="GD36" s="404"/>
      <c r="GE36" s="404"/>
      <c r="GF36" s="404"/>
      <c r="GG36" s="404"/>
      <c r="GH36" s="404"/>
      <c r="GI36" s="404"/>
      <c r="GJ36" s="404"/>
      <c r="GK36" s="404"/>
      <c r="GL36" s="404"/>
      <c r="GM36" s="404"/>
      <c r="GN36" s="404"/>
      <c r="GO36" s="404"/>
      <c r="GP36" s="404"/>
      <c r="GQ36" s="404"/>
      <c r="GR36" s="404"/>
      <c r="GS36" s="404"/>
      <c r="GT36" s="404"/>
      <c r="GU36" s="404"/>
      <c r="GV36" s="404"/>
      <c r="GW36" s="404"/>
      <c r="GX36" s="404"/>
      <c r="GY36" s="404"/>
      <c r="GZ36" s="404"/>
      <c r="HA36" s="404"/>
      <c r="HB36" s="404"/>
      <c r="HC36" s="404"/>
      <c r="HD36" s="404"/>
      <c r="HE36" s="404"/>
      <c r="HF36" s="404"/>
      <c r="HG36" s="404"/>
      <c r="HH36" s="404"/>
      <c r="HI36" s="404"/>
      <c r="HJ36" s="404"/>
      <c r="HK36" s="404"/>
      <c r="HL36" s="404"/>
      <c r="HM36" s="404"/>
      <c r="HN36" s="404"/>
      <c r="HO36" s="404"/>
      <c r="HP36" s="404"/>
      <c r="HQ36" s="404"/>
      <c r="HR36" s="404"/>
      <c r="HS36" s="404"/>
      <c r="HT36" s="404"/>
      <c r="HU36" s="404"/>
      <c r="HV36" s="404"/>
      <c r="HW36" s="404"/>
      <c r="HX36" s="404"/>
      <c r="HY36" s="404"/>
      <c r="HZ36" s="404"/>
      <c r="IA36" s="404"/>
      <c r="IB36" s="404"/>
      <c r="IC36" s="404"/>
      <c r="ID36" s="404"/>
      <c r="IE36" s="404"/>
      <c r="IF36" s="404"/>
      <c r="IG36" s="404"/>
      <c r="IH36" s="404"/>
      <c r="II36" s="404"/>
      <c r="IJ36" s="404"/>
      <c r="IK36" s="404"/>
      <c r="IL36" s="404"/>
      <c r="IM36" s="404"/>
      <c r="IN36" s="404"/>
      <c r="IO36" s="404"/>
      <c r="IP36" s="404"/>
      <c r="IQ36" s="404"/>
      <c r="IR36" s="404"/>
      <c r="IS36" s="404"/>
      <c r="IT36" s="404"/>
      <c r="IU36" s="404"/>
      <c r="IV36" s="404"/>
    </row>
    <row r="37" spans="1:256" s="721" customFormat="1" ht="18" thickTop="1" x14ac:dyDescent="0.35">
      <c r="A37" s="735">
        <v>28</v>
      </c>
      <c r="B37" s="931"/>
      <c r="C37" s="1799"/>
      <c r="D37" s="1800" t="s">
        <v>585</v>
      </c>
      <c r="E37" s="1801">
        <f>E34+E22+E18+E13+E26+E30</f>
        <v>229886</v>
      </c>
      <c r="F37" s="1801">
        <f>F34+F22+F18+F13+F12</f>
        <v>0</v>
      </c>
      <c r="G37" s="1801">
        <f>G34+G22+G18+G13+G30+G26</f>
        <v>61971</v>
      </c>
      <c r="H37" s="1802"/>
      <c r="I37" s="1803"/>
      <c r="J37" s="1803"/>
      <c r="K37" s="1803"/>
      <c r="L37" s="1803"/>
      <c r="M37" s="1803"/>
      <c r="N37" s="1803"/>
      <c r="O37" s="1803"/>
      <c r="P37" s="1803"/>
      <c r="Q37" s="1804"/>
      <c r="R37" s="404"/>
      <c r="S37" s="404"/>
      <c r="T37" s="404"/>
      <c r="U37" s="404"/>
      <c r="V37" s="404"/>
      <c r="W37" s="404"/>
      <c r="X37" s="404"/>
      <c r="Y37" s="404"/>
      <c r="Z37" s="404"/>
      <c r="AA37" s="404"/>
      <c r="AB37" s="404"/>
      <c r="AC37" s="404"/>
      <c r="AD37" s="404"/>
      <c r="AE37" s="404"/>
      <c r="AF37" s="404"/>
      <c r="AG37" s="404"/>
      <c r="AH37" s="404"/>
      <c r="AI37" s="404"/>
      <c r="AJ37" s="404"/>
      <c r="AK37" s="404"/>
      <c r="AL37" s="404"/>
      <c r="AM37" s="404"/>
      <c r="AN37" s="404"/>
      <c r="AO37" s="404"/>
      <c r="AP37" s="404"/>
      <c r="AQ37" s="404"/>
      <c r="AR37" s="404"/>
      <c r="AS37" s="404"/>
      <c r="AT37" s="404"/>
      <c r="AU37" s="404"/>
      <c r="AV37" s="404"/>
      <c r="AW37" s="404"/>
      <c r="AX37" s="404"/>
      <c r="AY37" s="404"/>
      <c r="AZ37" s="404"/>
      <c r="BA37" s="404"/>
      <c r="BB37" s="404"/>
      <c r="BC37" s="404"/>
      <c r="BD37" s="404"/>
      <c r="BE37" s="404"/>
      <c r="BF37" s="404"/>
      <c r="BG37" s="404"/>
      <c r="BH37" s="404"/>
      <c r="BI37" s="404"/>
      <c r="BJ37" s="404"/>
      <c r="BK37" s="404"/>
      <c r="BL37" s="404"/>
      <c r="BM37" s="404"/>
      <c r="BN37" s="404"/>
      <c r="BO37" s="404"/>
      <c r="BP37" s="404"/>
      <c r="BQ37" s="404"/>
      <c r="BR37" s="404"/>
      <c r="BS37" s="404"/>
      <c r="BT37" s="404"/>
      <c r="BU37" s="404"/>
      <c r="BV37" s="404"/>
      <c r="BW37" s="404"/>
      <c r="BX37" s="404"/>
      <c r="BY37" s="404"/>
      <c r="BZ37" s="404"/>
      <c r="CA37" s="404"/>
      <c r="CB37" s="404"/>
      <c r="CC37" s="404"/>
      <c r="CD37" s="404"/>
      <c r="CE37" s="404"/>
      <c r="CF37" s="404"/>
      <c r="CG37" s="404"/>
      <c r="CH37" s="404"/>
      <c r="CI37" s="404"/>
      <c r="CJ37" s="404"/>
      <c r="CK37" s="404"/>
      <c r="CL37" s="404"/>
      <c r="CM37" s="404"/>
      <c r="CN37" s="404"/>
      <c r="CO37" s="404"/>
      <c r="CP37" s="404"/>
      <c r="CQ37" s="404"/>
      <c r="CR37" s="404"/>
      <c r="CS37" s="404"/>
      <c r="CT37" s="404"/>
      <c r="CU37" s="404"/>
      <c r="CV37" s="404"/>
      <c r="CW37" s="404"/>
      <c r="CX37" s="404"/>
      <c r="CY37" s="404"/>
      <c r="CZ37" s="404"/>
      <c r="DA37" s="404"/>
      <c r="DB37" s="404"/>
      <c r="DC37" s="404"/>
      <c r="DD37" s="404"/>
      <c r="DE37" s="404"/>
      <c r="DF37" s="404"/>
      <c r="DG37" s="404"/>
      <c r="DH37" s="404"/>
      <c r="DI37" s="404"/>
      <c r="DJ37" s="404"/>
      <c r="DK37" s="404"/>
      <c r="DL37" s="404"/>
      <c r="DM37" s="404"/>
      <c r="DN37" s="404"/>
      <c r="DO37" s="404"/>
      <c r="DP37" s="404"/>
      <c r="DQ37" s="404"/>
      <c r="DR37" s="404"/>
      <c r="DS37" s="404"/>
      <c r="DT37" s="404"/>
      <c r="DU37" s="404"/>
      <c r="DV37" s="404"/>
      <c r="DW37" s="404"/>
      <c r="DX37" s="404"/>
      <c r="DY37" s="404"/>
      <c r="DZ37" s="404"/>
      <c r="EA37" s="404"/>
      <c r="EB37" s="404"/>
      <c r="EC37" s="404"/>
      <c r="ED37" s="404"/>
      <c r="EE37" s="404"/>
      <c r="EF37" s="404"/>
      <c r="EG37" s="404"/>
      <c r="EH37" s="404"/>
      <c r="EI37" s="404"/>
      <c r="EJ37" s="404"/>
      <c r="EK37" s="404"/>
      <c r="EL37" s="404"/>
      <c r="EM37" s="404"/>
      <c r="EN37" s="404"/>
      <c r="EO37" s="404"/>
      <c r="EP37" s="404"/>
      <c r="EQ37" s="404"/>
      <c r="ER37" s="404"/>
      <c r="ES37" s="404"/>
      <c r="ET37" s="404"/>
      <c r="EU37" s="404"/>
      <c r="EV37" s="404"/>
      <c r="EW37" s="404"/>
      <c r="EX37" s="404"/>
      <c r="EY37" s="404"/>
      <c r="EZ37" s="404"/>
      <c r="FA37" s="404"/>
      <c r="FB37" s="404"/>
      <c r="FC37" s="404"/>
      <c r="FD37" s="404"/>
      <c r="FE37" s="404"/>
      <c r="FF37" s="404"/>
      <c r="FG37" s="404"/>
      <c r="FH37" s="404"/>
      <c r="FI37" s="404"/>
      <c r="FJ37" s="404"/>
      <c r="FK37" s="404"/>
      <c r="FL37" s="404"/>
      <c r="FM37" s="404"/>
      <c r="FN37" s="404"/>
      <c r="FO37" s="404"/>
      <c r="FP37" s="404"/>
      <c r="FQ37" s="404"/>
      <c r="FR37" s="404"/>
      <c r="FS37" s="404"/>
      <c r="FT37" s="404"/>
      <c r="FU37" s="404"/>
      <c r="FV37" s="404"/>
      <c r="FW37" s="404"/>
      <c r="FX37" s="404"/>
      <c r="FY37" s="404"/>
      <c r="FZ37" s="404"/>
      <c r="GA37" s="404"/>
      <c r="GB37" s="404"/>
      <c r="GC37" s="404"/>
      <c r="GD37" s="404"/>
      <c r="GE37" s="404"/>
      <c r="GF37" s="404"/>
      <c r="GG37" s="404"/>
      <c r="GH37" s="404"/>
      <c r="GI37" s="404"/>
      <c r="GJ37" s="404"/>
      <c r="GK37" s="404"/>
      <c r="GL37" s="404"/>
      <c r="GM37" s="404"/>
      <c r="GN37" s="404"/>
      <c r="GO37" s="404"/>
      <c r="GP37" s="404"/>
      <c r="GQ37" s="404"/>
      <c r="GR37" s="404"/>
      <c r="GS37" s="404"/>
      <c r="GT37" s="404"/>
      <c r="GU37" s="404"/>
      <c r="GV37" s="404"/>
      <c r="GW37" s="404"/>
      <c r="GX37" s="404"/>
      <c r="GY37" s="404"/>
      <c r="GZ37" s="404"/>
      <c r="HA37" s="404"/>
      <c r="HB37" s="404"/>
      <c r="HC37" s="404"/>
      <c r="HD37" s="404"/>
      <c r="HE37" s="404"/>
      <c r="HF37" s="404"/>
      <c r="HG37" s="404"/>
      <c r="HH37" s="404"/>
      <c r="HI37" s="404"/>
      <c r="HJ37" s="404"/>
      <c r="HK37" s="404"/>
      <c r="HL37" s="404"/>
      <c r="HM37" s="404"/>
      <c r="HN37" s="404"/>
      <c r="HO37" s="404"/>
      <c r="HP37" s="404"/>
      <c r="HQ37" s="404"/>
      <c r="HR37" s="404"/>
      <c r="HS37" s="404"/>
      <c r="HT37" s="404"/>
      <c r="HU37" s="404"/>
      <c r="HV37" s="404"/>
      <c r="HW37" s="404"/>
      <c r="HX37" s="404"/>
      <c r="HY37" s="404"/>
      <c r="HZ37" s="404"/>
      <c r="IA37" s="404"/>
      <c r="IB37" s="404"/>
      <c r="IC37" s="404"/>
      <c r="ID37" s="404"/>
      <c r="IE37" s="404"/>
      <c r="IF37" s="404"/>
      <c r="IG37" s="404"/>
      <c r="IH37" s="404"/>
      <c r="II37" s="404"/>
      <c r="IJ37" s="404"/>
      <c r="IK37" s="404"/>
      <c r="IL37" s="404"/>
      <c r="IM37" s="404"/>
      <c r="IN37" s="404"/>
      <c r="IO37" s="404"/>
      <c r="IP37" s="404"/>
      <c r="IQ37" s="404"/>
      <c r="IR37" s="404"/>
      <c r="IS37" s="404"/>
      <c r="IT37" s="404"/>
      <c r="IU37" s="404"/>
      <c r="IV37" s="404"/>
    </row>
    <row r="38" spans="1:256" s="721" customFormat="1" x14ac:dyDescent="0.35">
      <c r="A38" s="735">
        <v>29</v>
      </c>
      <c r="B38" s="931"/>
      <c r="C38" s="447"/>
      <c r="D38" s="1729" t="s">
        <v>292</v>
      </c>
      <c r="E38" s="725"/>
      <c r="F38" s="725"/>
      <c r="G38" s="1805"/>
      <c r="H38" s="1806"/>
      <c r="I38" s="944">
        <f>I34+I30+I26+I22+I18+I13</f>
        <v>300</v>
      </c>
      <c r="J38" s="944">
        <f t="shared" ref="J38:P39" si="0">J34+J30+J26+J22+J18+J13</f>
        <v>42</v>
      </c>
      <c r="K38" s="944">
        <f t="shared" si="0"/>
        <v>1994</v>
      </c>
      <c r="L38" s="944">
        <f t="shared" si="0"/>
        <v>0</v>
      </c>
      <c r="M38" s="944">
        <f t="shared" si="0"/>
        <v>162051</v>
      </c>
      <c r="N38" s="944">
        <f t="shared" si="0"/>
        <v>0</v>
      </c>
      <c r="O38" s="944">
        <f t="shared" si="0"/>
        <v>0</v>
      </c>
      <c r="P38" s="944">
        <f t="shared" si="0"/>
        <v>164387</v>
      </c>
      <c r="Q38" s="938"/>
      <c r="R38" s="404"/>
      <c r="S38" s="404"/>
      <c r="T38" s="404"/>
      <c r="U38" s="404"/>
      <c r="V38" s="404"/>
      <c r="W38" s="404"/>
      <c r="X38" s="404"/>
      <c r="Y38" s="404"/>
      <c r="Z38" s="404"/>
      <c r="AA38" s="404"/>
      <c r="AB38" s="404"/>
      <c r="AC38" s="404"/>
      <c r="AD38" s="404"/>
      <c r="AE38" s="404"/>
      <c r="AF38" s="404"/>
      <c r="AG38" s="404"/>
      <c r="AH38" s="404"/>
      <c r="AI38" s="404"/>
      <c r="AJ38" s="404"/>
      <c r="AK38" s="404"/>
      <c r="AL38" s="404"/>
      <c r="AM38" s="404"/>
      <c r="AN38" s="404"/>
      <c r="AO38" s="404"/>
      <c r="AP38" s="404"/>
      <c r="AQ38" s="404"/>
      <c r="AR38" s="404"/>
      <c r="AS38" s="404"/>
      <c r="AT38" s="404"/>
      <c r="AU38" s="404"/>
      <c r="AV38" s="404"/>
      <c r="AW38" s="404"/>
      <c r="AX38" s="404"/>
      <c r="AY38" s="404"/>
      <c r="AZ38" s="404"/>
      <c r="BA38" s="404"/>
      <c r="BB38" s="404"/>
      <c r="BC38" s="404"/>
      <c r="BD38" s="404"/>
      <c r="BE38" s="404"/>
      <c r="BF38" s="404"/>
      <c r="BG38" s="404"/>
      <c r="BH38" s="404"/>
      <c r="BI38" s="404"/>
      <c r="BJ38" s="404"/>
      <c r="BK38" s="404"/>
      <c r="BL38" s="404"/>
      <c r="BM38" s="404"/>
      <c r="BN38" s="404"/>
      <c r="BO38" s="404"/>
      <c r="BP38" s="404"/>
      <c r="BQ38" s="404"/>
      <c r="BR38" s="404"/>
      <c r="BS38" s="404"/>
      <c r="BT38" s="404"/>
      <c r="BU38" s="404"/>
      <c r="BV38" s="404"/>
      <c r="BW38" s="404"/>
      <c r="BX38" s="404"/>
      <c r="BY38" s="404"/>
      <c r="BZ38" s="404"/>
      <c r="CA38" s="404"/>
      <c r="CB38" s="404"/>
      <c r="CC38" s="404"/>
      <c r="CD38" s="404"/>
      <c r="CE38" s="404"/>
      <c r="CF38" s="404"/>
      <c r="CG38" s="404"/>
      <c r="CH38" s="404"/>
      <c r="CI38" s="404"/>
      <c r="CJ38" s="404"/>
      <c r="CK38" s="404"/>
      <c r="CL38" s="404"/>
      <c r="CM38" s="404"/>
      <c r="CN38" s="404"/>
      <c r="CO38" s="404"/>
      <c r="CP38" s="404"/>
      <c r="CQ38" s="404"/>
      <c r="CR38" s="404"/>
      <c r="CS38" s="404"/>
      <c r="CT38" s="404"/>
      <c r="CU38" s="404"/>
      <c r="CV38" s="404"/>
      <c r="CW38" s="404"/>
      <c r="CX38" s="404"/>
      <c r="CY38" s="404"/>
      <c r="CZ38" s="404"/>
      <c r="DA38" s="404"/>
      <c r="DB38" s="404"/>
      <c r="DC38" s="404"/>
      <c r="DD38" s="404"/>
      <c r="DE38" s="404"/>
      <c r="DF38" s="404"/>
      <c r="DG38" s="404"/>
      <c r="DH38" s="404"/>
      <c r="DI38" s="404"/>
      <c r="DJ38" s="404"/>
      <c r="DK38" s="404"/>
      <c r="DL38" s="404"/>
      <c r="DM38" s="404"/>
      <c r="DN38" s="404"/>
      <c r="DO38" s="404"/>
      <c r="DP38" s="404"/>
      <c r="DQ38" s="404"/>
      <c r="DR38" s="404"/>
      <c r="DS38" s="404"/>
      <c r="DT38" s="404"/>
      <c r="DU38" s="404"/>
      <c r="DV38" s="404"/>
      <c r="DW38" s="404"/>
      <c r="DX38" s="404"/>
      <c r="DY38" s="404"/>
      <c r="DZ38" s="404"/>
      <c r="EA38" s="404"/>
      <c r="EB38" s="404"/>
      <c r="EC38" s="404"/>
      <c r="ED38" s="404"/>
      <c r="EE38" s="404"/>
      <c r="EF38" s="404"/>
      <c r="EG38" s="404"/>
      <c r="EH38" s="404"/>
      <c r="EI38" s="404"/>
      <c r="EJ38" s="404"/>
      <c r="EK38" s="404"/>
      <c r="EL38" s="404"/>
      <c r="EM38" s="404"/>
      <c r="EN38" s="404"/>
      <c r="EO38" s="404"/>
      <c r="EP38" s="404"/>
      <c r="EQ38" s="404"/>
      <c r="ER38" s="404"/>
      <c r="ES38" s="404"/>
      <c r="ET38" s="404"/>
      <c r="EU38" s="404"/>
      <c r="EV38" s="404"/>
      <c r="EW38" s="404"/>
      <c r="EX38" s="404"/>
      <c r="EY38" s="404"/>
      <c r="EZ38" s="404"/>
      <c r="FA38" s="404"/>
      <c r="FB38" s="404"/>
      <c r="FC38" s="404"/>
      <c r="FD38" s="404"/>
      <c r="FE38" s="404"/>
      <c r="FF38" s="404"/>
      <c r="FG38" s="404"/>
      <c r="FH38" s="404"/>
      <c r="FI38" s="404"/>
      <c r="FJ38" s="404"/>
      <c r="FK38" s="404"/>
      <c r="FL38" s="404"/>
      <c r="FM38" s="404"/>
      <c r="FN38" s="404"/>
      <c r="FO38" s="404"/>
      <c r="FP38" s="404"/>
      <c r="FQ38" s="404"/>
      <c r="FR38" s="404"/>
      <c r="FS38" s="404"/>
      <c r="FT38" s="404"/>
      <c r="FU38" s="404"/>
      <c r="FV38" s="404"/>
      <c r="FW38" s="404"/>
      <c r="FX38" s="404"/>
      <c r="FY38" s="404"/>
      <c r="FZ38" s="404"/>
      <c r="GA38" s="404"/>
      <c r="GB38" s="404"/>
      <c r="GC38" s="404"/>
      <c r="GD38" s="404"/>
      <c r="GE38" s="404"/>
      <c r="GF38" s="404"/>
      <c r="GG38" s="404"/>
      <c r="GH38" s="404"/>
      <c r="GI38" s="404"/>
      <c r="GJ38" s="404"/>
      <c r="GK38" s="404"/>
      <c r="GL38" s="404"/>
      <c r="GM38" s="404"/>
      <c r="GN38" s="404"/>
      <c r="GO38" s="404"/>
      <c r="GP38" s="404"/>
      <c r="GQ38" s="404"/>
      <c r="GR38" s="404"/>
      <c r="GS38" s="404"/>
      <c r="GT38" s="404"/>
      <c r="GU38" s="404"/>
      <c r="GV38" s="404"/>
      <c r="GW38" s="404"/>
      <c r="GX38" s="404"/>
      <c r="GY38" s="404"/>
      <c r="GZ38" s="404"/>
      <c r="HA38" s="404"/>
      <c r="HB38" s="404"/>
      <c r="HC38" s="404"/>
      <c r="HD38" s="404"/>
      <c r="HE38" s="404"/>
      <c r="HF38" s="404"/>
      <c r="HG38" s="404"/>
      <c r="HH38" s="404"/>
      <c r="HI38" s="404"/>
      <c r="HJ38" s="404"/>
      <c r="HK38" s="404"/>
      <c r="HL38" s="404"/>
      <c r="HM38" s="404"/>
      <c r="HN38" s="404"/>
      <c r="HO38" s="404"/>
      <c r="HP38" s="404"/>
      <c r="HQ38" s="404"/>
      <c r="HR38" s="404"/>
      <c r="HS38" s="404"/>
      <c r="HT38" s="404"/>
      <c r="HU38" s="404"/>
      <c r="HV38" s="404"/>
      <c r="HW38" s="404"/>
      <c r="HX38" s="404"/>
      <c r="HY38" s="404"/>
      <c r="HZ38" s="404"/>
      <c r="IA38" s="404"/>
      <c r="IB38" s="404"/>
      <c r="IC38" s="404"/>
      <c r="ID38" s="404"/>
      <c r="IE38" s="404"/>
      <c r="IF38" s="404"/>
      <c r="IG38" s="404"/>
      <c r="IH38" s="404"/>
      <c r="II38" s="404"/>
      <c r="IJ38" s="404"/>
      <c r="IK38" s="404"/>
      <c r="IL38" s="404"/>
      <c r="IM38" s="404"/>
      <c r="IN38" s="404"/>
      <c r="IO38" s="404"/>
      <c r="IP38" s="404"/>
      <c r="IQ38" s="404"/>
      <c r="IR38" s="404"/>
      <c r="IS38" s="404"/>
      <c r="IT38" s="404"/>
      <c r="IU38" s="404"/>
      <c r="IV38" s="404"/>
    </row>
    <row r="39" spans="1:256" s="721" customFormat="1" x14ac:dyDescent="0.35">
      <c r="A39" s="735">
        <v>30</v>
      </c>
      <c r="B39" s="931"/>
      <c r="C39" s="447"/>
      <c r="D39" s="1499" t="s">
        <v>929</v>
      </c>
      <c r="E39" s="725"/>
      <c r="F39" s="725"/>
      <c r="G39" s="1805"/>
      <c r="H39" s="1806"/>
      <c r="I39" s="1731">
        <f>I35+I31+I27+I23+I19+I14</f>
        <v>600</v>
      </c>
      <c r="J39" s="1731">
        <f t="shared" si="0"/>
        <v>84</v>
      </c>
      <c r="K39" s="1731">
        <f t="shared" si="0"/>
        <v>-1199</v>
      </c>
      <c r="L39" s="1731">
        <f t="shared" si="0"/>
        <v>0</v>
      </c>
      <c r="M39" s="1731">
        <f t="shared" si="0"/>
        <v>-2040</v>
      </c>
      <c r="N39" s="1731">
        <f t="shared" si="0"/>
        <v>0</v>
      </c>
      <c r="O39" s="1731">
        <f t="shared" si="0"/>
        <v>0</v>
      </c>
      <c r="P39" s="1732">
        <f>SUM(I39:O39)</f>
        <v>-2555</v>
      </c>
      <c r="Q39" s="938"/>
      <c r="R39" s="404"/>
      <c r="S39" s="404"/>
      <c r="T39" s="404"/>
      <c r="U39" s="404"/>
      <c r="V39" s="404"/>
      <c r="W39" s="404"/>
      <c r="X39" s="404"/>
      <c r="Y39" s="404"/>
      <c r="Z39" s="404"/>
      <c r="AA39" s="404"/>
      <c r="AB39" s="404"/>
      <c r="AC39" s="404"/>
      <c r="AD39" s="404"/>
      <c r="AE39" s="404"/>
      <c r="AF39" s="404"/>
      <c r="AG39" s="404"/>
      <c r="AH39" s="404"/>
      <c r="AI39" s="404"/>
      <c r="AJ39" s="404"/>
      <c r="AK39" s="404"/>
      <c r="AL39" s="404"/>
      <c r="AM39" s="404"/>
      <c r="AN39" s="404"/>
      <c r="AO39" s="404"/>
      <c r="AP39" s="404"/>
      <c r="AQ39" s="404"/>
      <c r="AR39" s="404"/>
      <c r="AS39" s="404"/>
      <c r="AT39" s="404"/>
      <c r="AU39" s="404"/>
      <c r="AV39" s="404"/>
      <c r="AW39" s="404"/>
      <c r="AX39" s="404"/>
      <c r="AY39" s="404"/>
      <c r="AZ39" s="404"/>
      <c r="BA39" s="404"/>
      <c r="BB39" s="404"/>
      <c r="BC39" s="404"/>
      <c r="BD39" s="404"/>
      <c r="BE39" s="404"/>
      <c r="BF39" s="404"/>
      <c r="BG39" s="404"/>
      <c r="BH39" s="404"/>
      <c r="BI39" s="404"/>
      <c r="BJ39" s="404"/>
      <c r="BK39" s="404"/>
      <c r="BL39" s="404"/>
      <c r="BM39" s="404"/>
      <c r="BN39" s="404"/>
      <c r="BO39" s="404"/>
      <c r="BP39" s="404"/>
      <c r="BQ39" s="404"/>
      <c r="BR39" s="404"/>
      <c r="BS39" s="404"/>
      <c r="BT39" s="404"/>
      <c r="BU39" s="404"/>
      <c r="BV39" s="404"/>
      <c r="BW39" s="404"/>
      <c r="BX39" s="404"/>
      <c r="BY39" s="404"/>
      <c r="BZ39" s="404"/>
      <c r="CA39" s="404"/>
      <c r="CB39" s="404"/>
      <c r="CC39" s="404"/>
      <c r="CD39" s="404"/>
      <c r="CE39" s="404"/>
      <c r="CF39" s="404"/>
      <c r="CG39" s="404"/>
      <c r="CH39" s="404"/>
      <c r="CI39" s="404"/>
      <c r="CJ39" s="404"/>
      <c r="CK39" s="404"/>
      <c r="CL39" s="404"/>
      <c r="CM39" s="404"/>
      <c r="CN39" s="404"/>
      <c r="CO39" s="404"/>
      <c r="CP39" s="404"/>
      <c r="CQ39" s="404"/>
      <c r="CR39" s="404"/>
      <c r="CS39" s="404"/>
      <c r="CT39" s="404"/>
      <c r="CU39" s="404"/>
      <c r="CV39" s="404"/>
      <c r="CW39" s="404"/>
      <c r="CX39" s="404"/>
      <c r="CY39" s="404"/>
      <c r="CZ39" s="404"/>
      <c r="DA39" s="404"/>
      <c r="DB39" s="404"/>
      <c r="DC39" s="404"/>
      <c r="DD39" s="404"/>
      <c r="DE39" s="404"/>
      <c r="DF39" s="404"/>
      <c r="DG39" s="404"/>
      <c r="DH39" s="404"/>
      <c r="DI39" s="404"/>
      <c r="DJ39" s="404"/>
      <c r="DK39" s="404"/>
      <c r="DL39" s="404"/>
      <c r="DM39" s="404"/>
      <c r="DN39" s="404"/>
      <c r="DO39" s="404"/>
      <c r="DP39" s="404"/>
      <c r="DQ39" s="404"/>
      <c r="DR39" s="404"/>
      <c r="DS39" s="404"/>
      <c r="DT39" s="404"/>
      <c r="DU39" s="404"/>
      <c r="DV39" s="404"/>
      <c r="DW39" s="404"/>
      <c r="DX39" s="404"/>
      <c r="DY39" s="404"/>
      <c r="DZ39" s="404"/>
      <c r="EA39" s="404"/>
      <c r="EB39" s="404"/>
      <c r="EC39" s="404"/>
      <c r="ED39" s="404"/>
      <c r="EE39" s="404"/>
      <c r="EF39" s="404"/>
      <c r="EG39" s="404"/>
      <c r="EH39" s="404"/>
      <c r="EI39" s="404"/>
      <c r="EJ39" s="404"/>
      <c r="EK39" s="404"/>
      <c r="EL39" s="404"/>
      <c r="EM39" s="404"/>
      <c r="EN39" s="404"/>
      <c r="EO39" s="404"/>
      <c r="EP39" s="404"/>
      <c r="EQ39" s="404"/>
      <c r="ER39" s="404"/>
      <c r="ES39" s="404"/>
      <c r="ET39" s="404"/>
      <c r="EU39" s="404"/>
      <c r="EV39" s="404"/>
      <c r="EW39" s="404"/>
      <c r="EX39" s="404"/>
      <c r="EY39" s="404"/>
      <c r="EZ39" s="404"/>
      <c r="FA39" s="404"/>
      <c r="FB39" s="404"/>
      <c r="FC39" s="404"/>
      <c r="FD39" s="404"/>
      <c r="FE39" s="404"/>
      <c r="FF39" s="404"/>
      <c r="FG39" s="404"/>
      <c r="FH39" s="404"/>
      <c r="FI39" s="404"/>
      <c r="FJ39" s="404"/>
      <c r="FK39" s="404"/>
      <c r="FL39" s="404"/>
      <c r="FM39" s="404"/>
      <c r="FN39" s="404"/>
      <c r="FO39" s="404"/>
      <c r="FP39" s="404"/>
      <c r="FQ39" s="404"/>
      <c r="FR39" s="404"/>
      <c r="FS39" s="404"/>
      <c r="FT39" s="404"/>
      <c r="FU39" s="404"/>
      <c r="FV39" s="404"/>
      <c r="FW39" s="404"/>
      <c r="FX39" s="404"/>
      <c r="FY39" s="404"/>
      <c r="FZ39" s="404"/>
      <c r="GA39" s="404"/>
      <c r="GB39" s="404"/>
      <c r="GC39" s="404"/>
      <c r="GD39" s="404"/>
      <c r="GE39" s="404"/>
      <c r="GF39" s="404"/>
      <c r="GG39" s="404"/>
      <c r="GH39" s="404"/>
      <c r="GI39" s="404"/>
      <c r="GJ39" s="404"/>
      <c r="GK39" s="404"/>
      <c r="GL39" s="404"/>
      <c r="GM39" s="404"/>
      <c r="GN39" s="404"/>
      <c r="GO39" s="404"/>
      <c r="GP39" s="404"/>
      <c r="GQ39" s="404"/>
      <c r="GR39" s="404"/>
      <c r="GS39" s="404"/>
      <c r="GT39" s="404"/>
      <c r="GU39" s="404"/>
      <c r="GV39" s="404"/>
      <c r="GW39" s="404"/>
      <c r="GX39" s="404"/>
      <c r="GY39" s="404"/>
      <c r="GZ39" s="404"/>
      <c r="HA39" s="404"/>
      <c r="HB39" s="404"/>
      <c r="HC39" s="404"/>
      <c r="HD39" s="404"/>
      <c r="HE39" s="404"/>
      <c r="HF39" s="404"/>
      <c r="HG39" s="404"/>
      <c r="HH39" s="404"/>
      <c r="HI39" s="404"/>
      <c r="HJ39" s="404"/>
      <c r="HK39" s="404"/>
      <c r="HL39" s="404"/>
      <c r="HM39" s="404"/>
      <c r="HN39" s="404"/>
      <c r="HO39" s="404"/>
      <c r="HP39" s="404"/>
      <c r="HQ39" s="404"/>
      <c r="HR39" s="404"/>
      <c r="HS39" s="404"/>
      <c r="HT39" s="404"/>
      <c r="HU39" s="404"/>
      <c r="HV39" s="404"/>
      <c r="HW39" s="404"/>
      <c r="HX39" s="404"/>
      <c r="HY39" s="404"/>
      <c r="HZ39" s="404"/>
      <c r="IA39" s="404"/>
      <c r="IB39" s="404"/>
      <c r="IC39" s="404"/>
      <c r="ID39" s="404"/>
      <c r="IE39" s="404"/>
      <c r="IF39" s="404"/>
      <c r="IG39" s="404"/>
      <c r="IH39" s="404"/>
      <c r="II39" s="404"/>
      <c r="IJ39" s="404"/>
      <c r="IK39" s="404"/>
      <c r="IL39" s="404"/>
      <c r="IM39" s="404"/>
      <c r="IN39" s="404"/>
      <c r="IO39" s="404"/>
      <c r="IP39" s="404"/>
      <c r="IQ39" s="404"/>
      <c r="IR39" s="404"/>
      <c r="IS39" s="404"/>
      <c r="IT39" s="404"/>
      <c r="IU39" s="404"/>
      <c r="IV39" s="404"/>
    </row>
    <row r="40" spans="1:256" s="721" customFormat="1" ht="18" thickBot="1" x14ac:dyDescent="0.4">
      <c r="A40" s="735">
        <v>31</v>
      </c>
      <c r="B40" s="931"/>
      <c r="C40" s="1807"/>
      <c r="D40" s="1456" t="s">
        <v>927</v>
      </c>
      <c r="E40" s="1808"/>
      <c r="F40" s="1808"/>
      <c r="G40" s="1809"/>
      <c r="H40" s="1810"/>
      <c r="I40" s="1811">
        <f>SUM(I38:I39)</f>
        <v>900</v>
      </c>
      <c r="J40" s="1811">
        <f t="shared" ref="J40:P40" si="1">SUM(J38:J39)</f>
        <v>126</v>
      </c>
      <c r="K40" s="1811">
        <f t="shared" si="1"/>
        <v>795</v>
      </c>
      <c r="L40" s="1811">
        <f t="shared" si="1"/>
        <v>0</v>
      </c>
      <c r="M40" s="1811">
        <f t="shared" si="1"/>
        <v>160011</v>
      </c>
      <c r="N40" s="1811">
        <f t="shared" si="1"/>
        <v>0</v>
      </c>
      <c r="O40" s="1811">
        <f t="shared" si="1"/>
        <v>0</v>
      </c>
      <c r="P40" s="1811">
        <f t="shared" si="1"/>
        <v>161832</v>
      </c>
      <c r="Q40" s="1812"/>
      <c r="R40" s="404"/>
      <c r="S40" s="404"/>
      <c r="T40" s="404"/>
      <c r="U40" s="404"/>
      <c r="V40" s="404"/>
      <c r="W40" s="404"/>
      <c r="X40" s="404"/>
      <c r="Y40" s="404"/>
      <c r="Z40" s="404"/>
      <c r="AA40" s="404"/>
      <c r="AB40" s="404"/>
      <c r="AC40" s="404"/>
      <c r="AD40" s="404"/>
      <c r="AE40" s="404"/>
      <c r="AF40" s="404"/>
      <c r="AG40" s="404"/>
      <c r="AH40" s="404"/>
      <c r="AI40" s="404"/>
      <c r="AJ40" s="404"/>
      <c r="AK40" s="404"/>
      <c r="AL40" s="404"/>
      <c r="AM40" s="404"/>
      <c r="AN40" s="404"/>
      <c r="AO40" s="404"/>
      <c r="AP40" s="404"/>
      <c r="AQ40" s="404"/>
      <c r="AR40" s="404"/>
      <c r="AS40" s="404"/>
      <c r="AT40" s="404"/>
      <c r="AU40" s="404"/>
      <c r="AV40" s="404"/>
      <c r="AW40" s="404"/>
      <c r="AX40" s="404"/>
      <c r="AY40" s="404"/>
      <c r="AZ40" s="404"/>
      <c r="BA40" s="404"/>
      <c r="BB40" s="404"/>
      <c r="BC40" s="404"/>
      <c r="BD40" s="404"/>
      <c r="BE40" s="404"/>
      <c r="BF40" s="404"/>
      <c r="BG40" s="404"/>
      <c r="BH40" s="404"/>
      <c r="BI40" s="404"/>
      <c r="BJ40" s="404"/>
      <c r="BK40" s="404"/>
      <c r="BL40" s="404"/>
      <c r="BM40" s="404"/>
      <c r="BN40" s="404"/>
      <c r="BO40" s="404"/>
      <c r="BP40" s="404"/>
      <c r="BQ40" s="404"/>
      <c r="BR40" s="404"/>
      <c r="BS40" s="404"/>
      <c r="BT40" s="404"/>
      <c r="BU40" s="404"/>
      <c r="BV40" s="404"/>
      <c r="BW40" s="404"/>
      <c r="BX40" s="404"/>
      <c r="BY40" s="404"/>
      <c r="BZ40" s="404"/>
      <c r="CA40" s="404"/>
      <c r="CB40" s="404"/>
      <c r="CC40" s="404"/>
      <c r="CD40" s="404"/>
      <c r="CE40" s="404"/>
      <c r="CF40" s="404"/>
      <c r="CG40" s="404"/>
      <c r="CH40" s="404"/>
      <c r="CI40" s="404"/>
      <c r="CJ40" s="404"/>
      <c r="CK40" s="404"/>
      <c r="CL40" s="404"/>
      <c r="CM40" s="404"/>
      <c r="CN40" s="404"/>
      <c r="CO40" s="404"/>
      <c r="CP40" s="404"/>
      <c r="CQ40" s="404"/>
      <c r="CR40" s="404"/>
      <c r="CS40" s="404"/>
      <c r="CT40" s="404"/>
      <c r="CU40" s="404"/>
      <c r="CV40" s="404"/>
      <c r="CW40" s="404"/>
      <c r="CX40" s="404"/>
      <c r="CY40" s="404"/>
      <c r="CZ40" s="404"/>
      <c r="DA40" s="404"/>
      <c r="DB40" s="404"/>
      <c r="DC40" s="404"/>
      <c r="DD40" s="404"/>
      <c r="DE40" s="404"/>
      <c r="DF40" s="404"/>
      <c r="DG40" s="404"/>
      <c r="DH40" s="404"/>
      <c r="DI40" s="404"/>
      <c r="DJ40" s="404"/>
      <c r="DK40" s="404"/>
      <c r="DL40" s="404"/>
      <c r="DM40" s="404"/>
      <c r="DN40" s="404"/>
      <c r="DO40" s="404"/>
      <c r="DP40" s="404"/>
      <c r="DQ40" s="404"/>
      <c r="DR40" s="404"/>
      <c r="DS40" s="404"/>
      <c r="DT40" s="404"/>
      <c r="DU40" s="404"/>
      <c r="DV40" s="404"/>
      <c r="DW40" s="404"/>
      <c r="DX40" s="404"/>
      <c r="DY40" s="404"/>
      <c r="DZ40" s="404"/>
      <c r="EA40" s="404"/>
      <c r="EB40" s="404"/>
      <c r="EC40" s="404"/>
      <c r="ED40" s="404"/>
      <c r="EE40" s="404"/>
      <c r="EF40" s="404"/>
      <c r="EG40" s="404"/>
      <c r="EH40" s="404"/>
      <c r="EI40" s="404"/>
      <c r="EJ40" s="404"/>
      <c r="EK40" s="404"/>
      <c r="EL40" s="404"/>
      <c r="EM40" s="404"/>
      <c r="EN40" s="404"/>
      <c r="EO40" s="404"/>
      <c r="EP40" s="404"/>
      <c r="EQ40" s="404"/>
      <c r="ER40" s="404"/>
      <c r="ES40" s="404"/>
      <c r="ET40" s="404"/>
      <c r="EU40" s="404"/>
      <c r="EV40" s="404"/>
      <c r="EW40" s="404"/>
      <c r="EX40" s="404"/>
      <c r="EY40" s="404"/>
      <c r="EZ40" s="404"/>
      <c r="FA40" s="404"/>
      <c r="FB40" s="404"/>
      <c r="FC40" s="404"/>
      <c r="FD40" s="404"/>
      <c r="FE40" s="404"/>
      <c r="FF40" s="404"/>
      <c r="FG40" s="404"/>
      <c r="FH40" s="404"/>
      <c r="FI40" s="404"/>
      <c r="FJ40" s="404"/>
      <c r="FK40" s="404"/>
      <c r="FL40" s="404"/>
      <c r="FM40" s="404"/>
      <c r="FN40" s="404"/>
      <c r="FO40" s="404"/>
      <c r="FP40" s="404"/>
      <c r="FQ40" s="404"/>
      <c r="FR40" s="404"/>
      <c r="FS40" s="404"/>
      <c r="FT40" s="404"/>
      <c r="FU40" s="404"/>
      <c r="FV40" s="404"/>
      <c r="FW40" s="404"/>
      <c r="FX40" s="404"/>
      <c r="FY40" s="404"/>
      <c r="FZ40" s="404"/>
      <c r="GA40" s="404"/>
      <c r="GB40" s="404"/>
      <c r="GC40" s="404"/>
      <c r="GD40" s="404"/>
      <c r="GE40" s="404"/>
      <c r="GF40" s="404"/>
      <c r="GG40" s="404"/>
      <c r="GH40" s="404"/>
      <c r="GI40" s="404"/>
      <c r="GJ40" s="404"/>
      <c r="GK40" s="404"/>
      <c r="GL40" s="404"/>
      <c r="GM40" s="404"/>
      <c r="GN40" s="404"/>
      <c r="GO40" s="404"/>
      <c r="GP40" s="404"/>
      <c r="GQ40" s="404"/>
      <c r="GR40" s="404"/>
      <c r="GS40" s="404"/>
      <c r="GT40" s="404"/>
      <c r="GU40" s="404"/>
      <c r="GV40" s="404"/>
      <c r="GW40" s="404"/>
      <c r="GX40" s="404"/>
      <c r="GY40" s="404"/>
      <c r="GZ40" s="404"/>
      <c r="HA40" s="404"/>
      <c r="HB40" s="404"/>
      <c r="HC40" s="404"/>
      <c r="HD40" s="404"/>
      <c r="HE40" s="404"/>
      <c r="HF40" s="404"/>
      <c r="HG40" s="404"/>
      <c r="HH40" s="404"/>
      <c r="HI40" s="404"/>
      <c r="HJ40" s="404"/>
      <c r="HK40" s="404"/>
      <c r="HL40" s="404"/>
      <c r="HM40" s="404"/>
      <c r="HN40" s="404"/>
      <c r="HO40" s="404"/>
      <c r="HP40" s="404"/>
      <c r="HQ40" s="404"/>
      <c r="HR40" s="404"/>
      <c r="HS40" s="404"/>
      <c r="HT40" s="404"/>
      <c r="HU40" s="404"/>
      <c r="HV40" s="404"/>
      <c r="HW40" s="404"/>
      <c r="HX40" s="404"/>
      <c r="HY40" s="404"/>
      <c r="HZ40" s="404"/>
      <c r="IA40" s="404"/>
      <c r="IB40" s="404"/>
      <c r="IC40" s="404"/>
      <c r="ID40" s="404"/>
      <c r="IE40" s="404"/>
      <c r="IF40" s="404"/>
      <c r="IG40" s="404"/>
      <c r="IH40" s="404"/>
      <c r="II40" s="404"/>
      <c r="IJ40" s="404"/>
      <c r="IK40" s="404"/>
      <c r="IL40" s="404"/>
      <c r="IM40" s="404"/>
      <c r="IN40" s="404"/>
      <c r="IO40" s="404"/>
      <c r="IP40" s="404"/>
      <c r="IQ40" s="404"/>
      <c r="IR40" s="404"/>
      <c r="IS40" s="404"/>
      <c r="IT40" s="404"/>
      <c r="IU40" s="404"/>
      <c r="IV40" s="404"/>
    </row>
    <row r="41" spans="1:256" s="721" customFormat="1" ht="18.75" thickTop="1" x14ac:dyDescent="0.35">
      <c r="A41" s="735">
        <v>32</v>
      </c>
      <c r="B41" s="931"/>
      <c r="C41" s="991">
        <v>2</v>
      </c>
      <c r="D41" s="999" t="s">
        <v>718</v>
      </c>
      <c r="E41" s="992"/>
      <c r="F41" s="993"/>
      <c r="G41" s="994"/>
      <c r="H41" s="945" t="s">
        <v>24</v>
      </c>
      <c r="I41" s="995"/>
      <c r="J41" s="996"/>
      <c r="K41" s="997"/>
      <c r="L41" s="996"/>
      <c r="M41" s="996"/>
      <c r="N41" s="996"/>
      <c r="O41" s="996"/>
      <c r="P41" s="998"/>
      <c r="Q41" s="1001"/>
      <c r="R41" s="404"/>
      <c r="S41" s="404"/>
      <c r="T41" s="404"/>
      <c r="U41" s="404"/>
      <c r="V41" s="404"/>
      <c r="W41" s="404"/>
      <c r="X41" s="404"/>
      <c r="Y41" s="404"/>
      <c r="Z41" s="404"/>
      <c r="AA41" s="404"/>
      <c r="AB41" s="404"/>
      <c r="AC41" s="404"/>
      <c r="AD41" s="404"/>
      <c r="AE41" s="404"/>
      <c r="AF41" s="404"/>
      <c r="AG41" s="404"/>
      <c r="AH41" s="404"/>
      <c r="AI41" s="404"/>
      <c r="AJ41" s="404"/>
      <c r="AK41" s="404"/>
      <c r="AL41" s="404"/>
      <c r="AM41" s="404"/>
      <c r="AN41" s="404"/>
      <c r="AO41" s="404"/>
      <c r="AP41" s="404"/>
      <c r="AQ41" s="404"/>
      <c r="AR41" s="404"/>
      <c r="AS41" s="404"/>
      <c r="AT41" s="404"/>
      <c r="AU41" s="404"/>
      <c r="AV41" s="404"/>
      <c r="AW41" s="404"/>
      <c r="AX41" s="404"/>
      <c r="AY41" s="404"/>
      <c r="AZ41" s="404"/>
      <c r="BA41" s="404"/>
      <c r="BB41" s="404"/>
      <c r="BC41" s="404"/>
      <c r="BD41" s="404"/>
      <c r="BE41" s="404"/>
      <c r="BF41" s="404"/>
      <c r="BG41" s="404"/>
      <c r="BH41" s="404"/>
      <c r="BI41" s="404"/>
      <c r="BJ41" s="404"/>
      <c r="BK41" s="404"/>
      <c r="BL41" s="404"/>
      <c r="BM41" s="404"/>
      <c r="BN41" s="404"/>
      <c r="BO41" s="404"/>
      <c r="BP41" s="404"/>
      <c r="BQ41" s="404"/>
      <c r="BR41" s="404"/>
      <c r="BS41" s="404"/>
      <c r="BT41" s="404"/>
      <c r="BU41" s="404"/>
      <c r="BV41" s="404"/>
      <c r="BW41" s="404"/>
      <c r="BX41" s="404"/>
      <c r="BY41" s="404"/>
      <c r="BZ41" s="404"/>
      <c r="CA41" s="404"/>
      <c r="CB41" s="404"/>
      <c r="CC41" s="404"/>
      <c r="CD41" s="404"/>
      <c r="CE41" s="404"/>
      <c r="CF41" s="404"/>
      <c r="CG41" s="404"/>
      <c r="CH41" s="404"/>
      <c r="CI41" s="404"/>
      <c r="CJ41" s="404"/>
      <c r="CK41" s="404"/>
      <c r="CL41" s="404"/>
      <c r="CM41" s="404"/>
      <c r="CN41" s="404"/>
      <c r="CO41" s="404"/>
      <c r="CP41" s="404"/>
      <c r="CQ41" s="404"/>
      <c r="CR41" s="404"/>
      <c r="CS41" s="404"/>
      <c r="CT41" s="404"/>
      <c r="CU41" s="404"/>
      <c r="CV41" s="404"/>
      <c r="CW41" s="404"/>
      <c r="CX41" s="404"/>
      <c r="CY41" s="404"/>
      <c r="CZ41" s="404"/>
      <c r="DA41" s="404"/>
      <c r="DB41" s="404"/>
      <c r="DC41" s="404"/>
      <c r="DD41" s="404"/>
      <c r="DE41" s="404"/>
      <c r="DF41" s="404"/>
      <c r="DG41" s="404"/>
      <c r="DH41" s="404"/>
      <c r="DI41" s="404"/>
      <c r="DJ41" s="404"/>
      <c r="DK41" s="404"/>
      <c r="DL41" s="404"/>
      <c r="DM41" s="404"/>
      <c r="DN41" s="404"/>
      <c r="DO41" s="404"/>
      <c r="DP41" s="404"/>
      <c r="DQ41" s="404"/>
      <c r="DR41" s="404"/>
      <c r="DS41" s="404"/>
      <c r="DT41" s="404"/>
      <c r="DU41" s="404"/>
      <c r="DV41" s="404"/>
      <c r="DW41" s="404"/>
      <c r="DX41" s="404"/>
      <c r="DY41" s="404"/>
      <c r="DZ41" s="404"/>
      <c r="EA41" s="404"/>
      <c r="EB41" s="404"/>
      <c r="EC41" s="404"/>
      <c r="ED41" s="404"/>
      <c r="EE41" s="404"/>
      <c r="EF41" s="404"/>
      <c r="EG41" s="404"/>
      <c r="EH41" s="404"/>
      <c r="EI41" s="404"/>
      <c r="EJ41" s="404"/>
      <c r="EK41" s="404"/>
      <c r="EL41" s="404"/>
      <c r="EM41" s="404"/>
      <c r="EN41" s="404"/>
      <c r="EO41" s="404"/>
      <c r="EP41" s="404"/>
      <c r="EQ41" s="404"/>
      <c r="ER41" s="404"/>
      <c r="ES41" s="404"/>
      <c r="ET41" s="404"/>
      <c r="EU41" s="404"/>
      <c r="EV41" s="404"/>
      <c r="EW41" s="404"/>
      <c r="EX41" s="404"/>
      <c r="EY41" s="404"/>
      <c r="EZ41" s="404"/>
      <c r="FA41" s="404"/>
      <c r="FB41" s="404"/>
      <c r="FC41" s="404"/>
      <c r="FD41" s="404"/>
      <c r="FE41" s="404"/>
      <c r="FF41" s="404"/>
      <c r="FG41" s="404"/>
      <c r="FH41" s="404"/>
      <c r="FI41" s="404"/>
      <c r="FJ41" s="404"/>
      <c r="FK41" s="404"/>
      <c r="FL41" s="404"/>
      <c r="FM41" s="404"/>
      <c r="FN41" s="404"/>
      <c r="FO41" s="404"/>
      <c r="FP41" s="404"/>
      <c r="FQ41" s="404"/>
      <c r="FR41" s="404"/>
      <c r="FS41" s="404"/>
      <c r="FT41" s="404"/>
      <c r="FU41" s="404"/>
      <c r="FV41" s="404"/>
      <c r="FW41" s="404"/>
      <c r="FX41" s="404"/>
      <c r="FY41" s="404"/>
      <c r="FZ41" s="404"/>
      <c r="GA41" s="404"/>
      <c r="GB41" s="404"/>
      <c r="GC41" s="404"/>
      <c r="GD41" s="404"/>
      <c r="GE41" s="404"/>
      <c r="GF41" s="404"/>
      <c r="GG41" s="404"/>
      <c r="GH41" s="404"/>
      <c r="GI41" s="404"/>
      <c r="GJ41" s="404"/>
      <c r="GK41" s="404"/>
      <c r="GL41" s="404"/>
      <c r="GM41" s="404"/>
      <c r="GN41" s="404"/>
      <c r="GO41" s="404"/>
      <c r="GP41" s="404"/>
      <c r="GQ41" s="404"/>
      <c r="GR41" s="404"/>
      <c r="GS41" s="404"/>
      <c r="GT41" s="404"/>
      <c r="GU41" s="404"/>
      <c r="GV41" s="404"/>
      <c r="GW41" s="404"/>
      <c r="GX41" s="404"/>
      <c r="GY41" s="404"/>
      <c r="GZ41" s="404"/>
      <c r="HA41" s="404"/>
      <c r="HB41" s="404"/>
      <c r="HC41" s="404"/>
      <c r="HD41" s="404"/>
      <c r="HE41" s="404"/>
      <c r="HF41" s="404"/>
      <c r="HG41" s="404"/>
      <c r="HH41" s="404"/>
      <c r="HI41" s="404"/>
      <c r="HJ41" s="404"/>
      <c r="HK41" s="404"/>
      <c r="HL41" s="404"/>
      <c r="HM41" s="404"/>
      <c r="HN41" s="404"/>
      <c r="HO41" s="404"/>
      <c r="HP41" s="404"/>
      <c r="HQ41" s="404"/>
      <c r="HR41" s="404"/>
      <c r="HS41" s="404"/>
      <c r="HT41" s="404"/>
      <c r="HU41" s="404"/>
      <c r="HV41" s="404"/>
      <c r="HW41" s="404"/>
      <c r="HX41" s="404"/>
      <c r="HY41" s="404"/>
      <c r="HZ41" s="404"/>
      <c r="IA41" s="404"/>
      <c r="IB41" s="404"/>
      <c r="IC41" s="404"/>
      <c r="ID41" s="404"/>
      <c r="IE41" s="404"/>
      <c r="IF41" s="404"/>
      <c r="IG41" s="404"/>
      <c r="IH41" s="404"/>
      <c r="II41" s="404"/>
      <c r="IJ41" s="404"/>
      <c r="IK41" s="404"/>
      <c r="IL41" s="404"/>
      <c r="IM41" s="404"/>
      <c r="IN41" s="404"/>
      <c r="IO41" s="404"/>
      <c r="IP41" s="404"/>
      <c r="IQ41" s="404"/>
      <c r="IR41" s="404"/>
      <c r="IS41" s="404"/>
      <c r="IT41" s="404"/>
      <c r="IU41" s="404"/>
      <c r="IV41" s="404"/>
    </row>
    <row r="42" spans="1:256" s="721" customFormat="1" x14ac:dyDescent="0.35">
      <c r="A42" s="735">
        <v>33</v>
      </c>
      <c r="B42" s="729"/>
      <c r="C42" s="447"/>
      <c r="D42" s="970" t="s">
        <v>541</v>
      </c>
      <c r="E42" s="416"/>
      <c r="F42" s="725"/>
      <c r="G42" s="417"/>
      <c r="H42" s="946"/>
      <c r="I42" s="943"/>
      <c r="J42" s="722"/>
      <c r="K42" s="722"/>
      <c r="L42" s="722"/>
      <c r="M42" s="722"/>
      <c r="N42" s="722"/>
      <c r="O42" s="722"/>
      <c r="P42" s="730"/>
      <c r="Q42" s="726"/>
      <c r="R42" s="404"/>
      <c r="S42" s="404"/>
      <c r="T42" s="404"/>
      <c r="U42" s="404"/>
      <c r="V42" s="404"/>
      <c r="W42" s="404"/>
      <c r="X42" s="404"/>
      <c r="Y42" s="404"/>
      <c r="Z42" s="404"/>
      <c r="AA42" s="404"/>
      <c r="AB42" s="404"/>
      <c r="AC42" s="404"/>
      <c r="AD42" s="404"/>
      <c r="AE42" s="404"/>
      <c r="AF42" s="404"/>
      <c r="AG42" s="404"/>
      <c r="AH42" s="404"/>
      <c r="AI42" s="404"/>
      <c r="AJ42" s="404"/>
      <c r="AK42" s="404"/>
      <c r="AL42" s="404"/>
      <c r="AM42" s="404"/>
      <c r="AN42" s="404"/>
      <c r="AO42" s="404"/>
      <c r="AP42" s="404"/>
      <c r="AQ42" s="404"/>
      <c r="AR42" s="404"/>
      <c r="AS42" s="404"/>
      <c r="AT42" s="404"/>
      <c r="AU42" s="404"/>
      <c r="AV42" s="404"/>
      <c r="AW42" s="404"/>
      <c r="AX42" s="404"/>
      <c r="AY42" s="404"/>
      <c r="AZ42" s="404"/>
      <c r="BA42" s="404"/>
      <c r="BB42" s="404"/>
      <c r="BC42" s="404"/>
      <c r="BD42" s="404"/>
      <c r="BE42" s="404"/>
      <c r="BF42" s="404"/>
      <c r="BG42" s="404"/>
      <c r="BH42" s="404"/>
      <c r="BI42" s="404"/>
      <c r="BJ42" s="404"/>
      <c r="BK42" s="404"/>
      <c r="BL42" s="404"/>
      <c r="BM42" s="404"/>
      <c r="BN42" s="404"/>
      <c r="BO42" s="404"/>
      <c r="BP42" s="404"/>
      <c r="BQ42" s="404"/>
      <c r="BR42" s="404"/>
      <c r="BS42" s="404"/>
      <c r="BT42" s="404"/>
      <c r="BU42" s="404"/>
      <c r="BV42" s="404"/>
      <c r="BW42" s="404"/>
      <c r="BX42" s="404"/>
      <c r="BY42" s="404"/>
      <c r="BZ42" s="404"/>
      <c r="CA42" s="404"/>
      <c r="CB42" s="404"/>
      <c r="CC42" s="404"/>
      <c r="CD42" s="404"/>
      <c r="CE42" s="404"/>
      <c r="CF42" s="404"/>
      <c r="CG42" s="404"/>
      <c r="CH42" s="404"/>
      <c r="CI42" s="404"/>
      <c r="CJ42" s="404"/>
      <c r="CK42" s="404"/>
      <c r="CL42" s="404"/>
      <c r="CM42" s="404"/>
      <c r="CN42" s="404"/>
      <c r="CO42" s="404"/>
      <c r="CP42" s="404"/>
      <c r="CQ42" s="404"/>
      <c r="CR42" s="404"/>
      <c r="CS42" s="404"/>
      <c r="CT42" s="404"/>
      <c r="CU42" s="404"/>
      <c r="CV42" s="404"/>
      <c r="CW42" s="404"/>
      <c r="CX42" s="404"/>
      <c r="CY42" s="404"/>
      <c r="CZ42" s="404"/>
      <c r="DA42" s="404"/>
      <c r="DB42" s="404"/>
      <c r="DC42" s="404"/>
      <c r="DD42" s="404"/>
      <c r="DE42" s="404"/>
      <c r="DF42" s="404"/>
      <c r="DG42" s="404"/>
      <c r="DH42" s="404"/>
      <c r="DI42" s="404"/>
      <c r="DJ42" s="404"/>
      <c r="DK42" s="404"/>
      <c r="DL42" s="404"/>
      <c r="DM42" s="404"/>
      <c r="DN42" s="404"/>
      <c r="DO42" s="404"/>
      <c r="DP42" s="404"/>
      <c r="DQ42" s="404"/>
      <c r="DR42" s="404"/>
      <c r="DS42" s="404"/>
      <c r="DT42" s="404"/>
      <c r="DU42" s="404"/>
      <c r="DV42" s="404"/>
      <c r="DW42" s="404"/>
      <c r="DX42" s="404"/>
      <c r="DY42" s="404"/>
      <c r="DZ42" s="404"/>
      <c r="EA42" s="404"/>
      <c r="EB42" s="404"/>
      <c r="EC42" s="404"/>
      <c r="ED42" s="404"/>
      <c r="EE42" s="404"/>
      <c r="EF42" s="404"/>
      <c r="EG42" s="404"/>
      <c r="EH42" s="404"/>
      <c r="EI42" s="404"/>
      <c r="EJ42" s="404"/>
      <c r="EK42" s="404"/>
      <c r="EL42" s="404"/>
      <c r="EM42" s="404"/>
      <c r="EN42" s="404"/>
      <c r="EO42" s="404"/>
      <c r="EP42" s="404"/>
      <c r="EQ42" s="404"/>
      <c r="ER42" s="404"/>
      <c r="ES42" s="404"/>
      <c r="ET42" s="404"/>
      <c r="EU42" s="404"/>
      <c r="EV42" s="404"/>
      <c r="EW42" s="404"/>
      <c r="EX42" s="404"/>
      <c r="EY42" s="404"/>
      <c r="EZ42" s="404"/>
      <c r="FA42" s="404"/>
      <c r="FB42" s="404"/>
      <c r="FC42" s="404"/>
      <c r="FD42" s="404"/>
      <c r="FE42" s="404"/>
      <c r="FF42" s="404"/>
      <c r="FG42" s="404"/>
      <c r="FH42" s="404"/>
      <c r="FI42" s="404"/>
      <c r="FJ42" s="404"/>
      <c r="FK42" s="404"/>
      <c r="FL42" s="404"/>
      <c r="FM42" s="404"/>
      <c r="FN42" s="404"/>
      <c r="FO42" s="404"/>
      <c r="FP42" s="404"/>
      <c r="FQ42" s="404"/>
      <c r="FR42" s="404"/>
      <c r="FS42" s="404"/>
      <c r="FT42" s="404"/>
      <c r="FU42" s="404"/>
      <c r="FV42" s="404"/>
      <c r="FW42" s="404"/>
      <c r="FX42" s="404"/>
      <c r="FY42" s="404"/>
      <c r="FZ42" s="404"/>
      <c r="GA42" s="404"/>
      <c r="GB42" s="404"/>
      <c r="GC42" s="404"/>
      <c r="GD42" s="404"/>
      <c r="GE42" s="404"/>
      <c r="GF42" s="404"/>
      <c r="GG42" s="404"/>
      <c r="GH42" s="404"/>
      <c r="GI42" s="404"/>
      <c r="GJ42" s="404"/>
      <c r="GK42" s="404"/>
      <c r="GL42" s="404"/>
      <c r="GM42" s="404"/>
      <c r="GN42" s="404"/>
      <c r="GO42" s="404"/>
      <c r="GP42" s="404"/>
      <c r="GQ42" s="404"/>
      <c r="GR42" s="404"/>
      <c r="GS42" s="404"/>
      <c r="GT42" s="404"/>
      <c r="GU42" s="404"/>
      <c r="GV42" s="404"/>
      <c r="GW42" s="404"/>
      <c r="GX42" s="404"/>
      <c r="GY42" s="404"/>
      <c r="GZ42" s="404"/>
      <c r="HA42" s="404"/>
      <c r="HB42" s="404"/>
      <c r="HC42" s="404"/>
      <c r="HD42" s="404"/>
      <c r="HE42" s="404"/>
      <c r="HF42" s="404"/>
      <c r="HG42" s="404"/>
      <c r="HH42" s="404"/>
      <c r="HI42" s="404"/>
      <c r="HJ42" s="404"/>
      <c r="HK42" s="404"/>
      <c r="HL42" s="404"/>
      <c r="HM42" s="404"/>
      <c r="HN42" s="404"/>
      <c r="HO42" s="404"/>
      <c r="HP42" s="404"/>
      <c r="HQ42" s="404"/>
      <c r="HR42" s="404"/>
      <c r="HS42" s="404"/>
      <c r="HT42" s="404"/>
      <c r="HU42" s="404"/>
      <c r="HV42" s="404"/>
      <c r="HW42" s="404"/>
      <c r="HX42" s="404"/>
      <c r="HY42" s="404"/>
      <c r="HZ42" s="404"/>
      <c r="IA42" s="404"/>
      <c r="IB42" s="404"/>
      <c r="IC42" s="404"/>
      <c r="ID42" s="404"/>
      <c r="IE42" s="404"/>
      <c r="IF42" s="404"/>
      <c r="IG42" s="404"/>
      <c r="IH42" s="404"/>
      <c r="II42" s="404"/>
      <c r="IJ42" s="404"/>
      <c r="IK42" s="404"/>
      <c r="IL42" s="404"/>
      <c r="IM42" s="404"/>
      <c r="IN42" s="404"/>
      <c r="IO42" s="404"/>
      <c r="IP42" s="404"/>
      <c r="IQ42" s="404"/>
      <c r="IR42" s="404"/>
      <c r="IS42" s="404"/>
      <c r="IT42" s="404"/>
      <c r="IU42" s="404"/>
      <c r="IV42" s="404"/>
    </row>
    <row r="43" spans="1:256" s="721" customFormat="1" x14ac:dyDescent="0.35">
      <c r="A43" s="735">
        <v>34</v>
      </c>
      <c r="B43" s="931"/>
      <c r="C43" s="447"/>
      <c r="D43" s="933" t="s">
        <v>292</v>
      </c>
      <c r="E43" s="416">
        <f>F43+G43+P45+2271</f>
        <v>123825</v>
      </c>
      <c r="F43" s="935"/>
      <c r="G43" s="417">
        <f>52632+26713</f>
        <v>79345</v>
      </c>
      <c r="H43" s="947"/>
      <c r="I43" s="964">
        <v>2426</v>
      </c>
      <c r="J43" s="960">
        <v>344</v>
      </c>
      <c r="K43" s="960">
        <v>39439</v>
      </c>
      <c r="L43" s="960"/>
      <c r="M43" s="937"/>
      <c r="N43" s="937"/>
      <c r="O43" s="937"/>
      <c r="P43" s="930">
        <f>SUM(I43:O43)</f>
        <v>42209</v>
      </c>
      <c r="Q43" s="938"/>
      <c r="R43" s="404"/>
      <c r="S43" s="404"/>
      <c r="T43" s="404"/>
      <c r="U43" s="404"/>
      <c r="V43" s="404"/>
      <c r="W43" s="404"/>
      <c r="X43" s="404"/>
      <c r="Y43" s="404"/>
      <c r="Z43" s="404"/>
      <c r="AA43" s="404"/>
      <c r="AB43" s="404"/>
      <c r="AC43" s="404"/>
      <c r="AD43" s="404"/>
      <c r="AE43" s="404"/>
      <c r="AF43" s="404"/>
      <c r="AG43" s="404"/>
      <c r="AH43" s="404"/>
      <c r="AI43" s="404"/>
      <c r="AJ43" s="404"/>
      <c r="AK43" s="404"/>
      <c r="AL43" s="404"/>
      <c r="AM43" s="404"/>
      <c r="AN43" s="404"/>
      <c r="AO43" s="404"/>
      <c r="AP43" s="404"/>
      <c r="AQ43" s="404"/>
      <c r="AR43" s="404"/>
      <c r="AS43" s="404"/>
      <c r="AT43" s="404"/>
      <c r="AU43" s="404"/>
      <c r="AV43" s="404"/>
      <c r="AW43" s="404"/>
      <c r="AX43" s="404"/>
      <c r="AY43" s="404"/>
      <c r="AZ43" s="404"/>
      <c r="BA43" s="404"/>
      <c r="BB43" s="404"/>
      <c r="BC43" s="404"/>
      <c r="BD43" s="404"/>
      <c r="BE43" s="404"/>
      <c r="BF43" s="404"/>
      <c r="BG43" s="404"/>
      <c r="BH43" s="404"/>
      <c r="BI43" s="404"/>
      <c r="BJ43" s="404"/>
      <c r="BK43" s="404"/>
      <c r="BL43" s="404"/>
      <c r="BM43" s="404"/>
      <c r="BN43" s="404"/>
      <c r="BO43" s="404"/>
      <c r="BP43" s="404"/>
      <c r="BQ43" s="404"/>
      <c r="BR43" s="404"/>
      <c r="BS43" s="404"/>
      <c r="BT43" s="404"/>
      <c r="BU43" s="404"/>
      <c r="BV43" s="404"/>
      <c r="BW43" s="404"/>
      <c r="BX43" s="404"/>
      <c r="BY43" s="404"/>
      <c r="BZ43" s="404"/>
      <c r="CA43" s="404"/>
      <c r="CB43" s="404"/>
      <c r="CC43" s="404"/>
      <c r="CD43" s="404"/>
      <c r="CE43" s="404"/>
      <c r="CF43" s="404"/>
      <c r="CG43" s="404"/>
      <c r="CH43" s="404"/>
      <c r="CI43" s="404"/>
      <c r="CJ43" s="404"/>
      <c r="CK43" s="404"/>
      <c r="CL43" s="404"/>
      <c r="CM43" s="404"/>
      <c r="CN43" s="404"/>
      <c r="CO43" s="404"/>
      <c r="CP43" s="404"/>
      <c r="CQ43" s="404"/>
      <c r="CR43" s="404"/>
      <c r="CS43" s="404"/>
      <c r="CT43" s="404"/>
      <c r="CU43" s="404"/>
      <c r="CV43" s="404"/>
      <c r="CW43" s="404"/>
      <c r="CX43" s="404"/>
      <c r="CY43" s="404"/>
      <c r="CZ43" s="404"/>
      <c r="DA43" s="404"/>
      <c r="DB43" s="404"/>
      <c r="DC43" s="404"/>
      <c r="DD43" s="404"/>
      <c r="DE43" s="404"/>
      <c r="DF43" s="404"/>
      <c r="DG43" s="404"/>
      <c r="DH43" s="404"/>
      <c r="DI43" s="404"/>
      <c r="DJ43" s="404"/>
      <c r="DK43" s="404"/>
      <c r="DL43" s="404"/>
      <c r="DM43" s="404"/>
      <c r="DN43" s="404"/>
      <c r="DO43" s="404"/>
      <c r="DP43" s="404"/>
      <c r="DQ43" s="404"/>
      <c r="DR43" s="404"/>
      <c r="DS43" s="404"/>
      <c r="DT43" s="404"/>
      <c r="DU43" s="404"/>
      <c r="DV43" s="404"/>
      <c r="DW43" s="404"/>
      <c r="DX43" s="404"/>
      <c r="DY43" s="404"/>
      <c r="DZ43" s="404"/>
      <c r="EA43" s="404"/>
      <c r="EB43" s="404"/>
      <c r="EC43" s="404"/>
      <c r="ED43" s="404"/>
      <c r="EE43" s="404"/>
      <c r="EF43" s="404"/>
      <c r="EG43" s="404"/>
      <c r="EH43" s="404"/>
      <c r="EI43" s="404"/>
      <c r="EJ43" s="404"/>
      <c r="EK43" s="404"/>
      <c r="EL43" s="404"/>
      <c r="EM43" s="404"/>
      <c r="EN43" s="404"/>
      <c r="EO43" s="404"/>
      <c r="EP43" s="404"/>
      <c r="EQ43" s="404"/>
      <c r="ER43" s="404"/>
      <c r="ES43" s="404"/>
      <c r="ET43" s="404"/>
      <c r="EU43" s="404"/>
      <c r="EV43" s="404"/>
      <c r="EW43" s="404"/>
      <c r="EX43" s="404"/>
      <c r="EY43" s="404"/>
      <c r="EZ43" s="404"/>
      <c r="FA43" s="404"/>
      <c r="FB43" s="404"/>
      <c r="FC43" s="404"/>
      <c r="FD43" s="404"/>
      <c r="FE43" s="404"/>
      <c r="FF43" s="404"/>
      <c r="FG43" s="404"/>
      <c r="FH43" s="404"/>
      <c r="FI43" s="404"/>
      <c r="FJ43" s="404"/>
      <c r="FK43" s="404"/>
      <c r="FL43" s="404"/>
      <c r="FM43" s="404"/>
      <c r="FN43" s="404"/>
      <c r="FO43" s="404"/>
      <c r="FP43" s="404"/>
      <c r="FQ43" s="404"/>
      <c r="FR43" s="404"/>
      <c r="FS43" s="404"/>
      <c r="FT43" s="404"/>
      <c r="FU43" s="404"/>
      <c r="FV43" s="404"/>
      <c r="FW43" s="404"/>
      <c r="FX43" s="404"/>
      <c r="FY43" s="404"/>
      <c r="FZ43" s="404"/>
      <c r="GA43" s="404"/>
      <c r="GB43" s="404"/>
      <c r="GC43" s="404"/>
      <c r="GD43" s="404"/>
      <c r="GE43" s="404"/>
      <c r="GF43" s="404"/>
      <c r="GG43" s="404"/>
      <c r="GH43" s="404"/>
      <c r="GI43" s="404"/>
      <c r="GJ43" s="404"/>
      <c r="GK43" s="404"/>
      <c r="GL43" s="404"/>
      <c r="GM43" s="404"/>
      <c r="GN43" s="404"/>
      <c r="GO43" s="404"/>
      <c r="GP43" s="404"/>
      <c r="GQ43" s="404"/>
      <c r="GR43" s="404"/>
      <c r="GS43" s="404"/>
      <c r="GT43" s="404"/>
      <c r="GU43" s="404"/>
      <c r="GV43" s="404"/>
      <c r="GW43" s="404"/>
      <c r="GX43" s="404"/>
      <c r="GY43" s="404"/>
      <c r="GZ43" s="404"/>
      <c r="HA43" s="404"/>
      <c r="HB43" s="404"/>
      <c r="HC43" s="404"/>
      <c r="HD43" s="404"/>
      <c r="HE43" s="404"/>
      <c r="HF43" s="404"/>
      <c r="HG43" s="404"/>
      <c r="HH43" s="404"/>
      <c r="HI43" s="404"/>
      <c r="HJ43" s="404"/>
      <c r="HK43" s="404"/>
      <c r="HL43" s="404"/>
      <c r="HM43" s="404"/>
      <c r="HN43" s="404"/>
      <c r="HO43" s="404"/>
      <c r="HP43" s="404"/>
      <c r="HQ43" s="404"/>
      <c r="HR43" s="404"/>
      <c r="HS43" s="404"/>
      <c r="HT43" s="404"/>
      <c r="HU43" s="404"/>
      <c r="HV43" s="404"/>
      <c r="HW43" s="404"/>
      <c r="HX43" s="404"/>
      <c r="HY43" s="404"/>
      <c r="HZ43" s="404"/>
      <c r="IA43" s="404"/>
      <c r="IB43" s="404"/>
      <c r="IC43" s="404"/>
      <c r="ID43" s="404"/>
      <c r="IE43" s="404"/>
      <c r="IF43" s="404"/>
      <c r="IG43" s="404"/>
      <c r="IH43" s="404"/>
      <c r="II43" s="404"/>
      <c r="IJ43" s="404"/>
      <c r="IK43" s="404"/>
      <c r="IL43" s="404"/>
      <c r="IM43" s="404"/>
      <c r="IN43" s="404"/>
      <c r="IO43" s="404"/>
      <c r="IP43" s="404"/>
      <c r="IQ43" s="404"/>
      <c r="IR43" s="404"/>
      <c r="IS43" s="404"/>
      <c r="IT43" s="404"/>
      <c r="IU43" s="404"/>
      <c r="IV43" s="404"/>
    </row>
    <row r="44" spans="1:256" x14ac:dyDescent="0.35">
      <c r="A44" s="735">
        <v>35</v>
      </c>
      <c r="B44" s="931"/>
      <c r="C44" s="447"/>
      <c r="D44" s="1499" t="s">
        <v>929</v>
      </c>
      <c r="E44" s="416"/>
      <c r="F44" s="935"/>
      <c r="G44" s="417"/>
      <c r="H44" s="947"/>
      <c r="I44" s="964"/>
      <c r="J44" s="960"/>
      <c r="K44" s="960"/>
      <c r="L44" s="960"/>
      <c r="M44" s="937"/>
      <c r="N44" s="937"/>
      <c r="O44" s="937"/>
      <c r="P44" s="1732">
        <f>SUM(I44:O44)</f>
        <v>0</v>
      </c>
      <c r="Q44" s="938"/>
    </row>
    <row r="45" spans="1:256" x14ac:dyDescent="0.35">
      <c r="A45" s="735">
        <v>36</v>
      </c>
      <c r="B45" s="931"/>
      <c r="C45" s="447"/>
      <c r="D45" s="641" t="s">
        <v>927</v>
      </c>
      <c r="E45" s="416"/>
      <c r="F45" s="935"/>
      <c r="G45" s="417"/>
      <c r="H45" s="947"/>
      <c r="I45" s="943">
        <f>SUM(I43:I44)</f>
        <v>2426</v>
      </c>
      <c r="J45" s="943">
        <f t="shared" ref="J45:K45" si="2">SUM(J43:J44)</f>
        <v>344</v>
      </c>
      <c r="K45" s="943">
        <f t="shared" si="2"/>
        <v>39439</v>
      </c>
      <c r="L45" s="960"/>
      <c r="M45" s="937"/>
      <c r="N45" s="937"/>
      <c r="O45" s="937"/>
      <c r="P45" s="730">
        <f>SUM(I45:O45)</f>
        <v>42209</v>
      </c>
      <c r="Q45" s="938"/>
    </row>
    <row r="46" spans="1:256" s="721" customFormat="1" x14ac:dyDescent="0.35">
      <c r="A46" s="735">
        <v>37</v>
      </c>
      <c r="B46" s="931"/>
      <c r="C46" s="447"/>
      <c r="D46" s="724" t="s">
        <v>719</v>
      </c>
      <c r="E46" s="934"/>
      <c r="F46" s="935"/>
      <c r="G46" s="936"/>
      <c r="H46" s="947"/>
      <c r="I46" s="944"/>
      <c r="J46" s="937"/>
      <c r="K46" s="960"/>
      <c r="L46" s="960"/>
      <c r="M46" s="937"/>
      <c r="N46" s="937"/>
      <c r="O46" s="937"/>
      <c r="P46" s="930"/>
      <c r="Q46" s="938"/>
      <c r="R46" s="404"/>
      <c r="S46" s="404"/>
      <c r="T46" s="404"/>
      <c r="U46" s="404"/>
      <c r="V46" s="404"/>
      <c r="W46" s="404"/>
      <c r="X46" s="404"/>
      <c r="Y46" s="404"/>
      <c r="Z46" s="404"/>
      <c r="AA46" s="404"/>
      <c r="AB46" s="404"/>
      <c r="AC46" s="404"/>
      <c r="AD46" s="404"/>
      <c r="AE46" s="404"/>
      <c r="AF46" s="404"/>
      <c r="AG46" s="404"/>
      <c r="AH46" s="404"/>
      <c r="AI46" s="404"/>
      <c r="AJ46" s="404"/>
      <c r="AK46" s="404"/>
      <c r="AL46" s="404"/>
      <c r="AM46" s="404"/>
      <c r="AN46" s="404"/>
      <c r="AO46" s="404"/>
      <c r="AP46" s="404"/>
      <c r="AQ46" s="404"/>
      <c r="AR46" s="404"/>
      <c r="AS46" s="404"/>
      <c r="AT46" s="404"/>
      <c r="AU46" s="404"/>
      <c r="AV46" s="404"/>
      <c r="AW46" s="404"/>
      <c r="AX46" s="404"/>
      <c r="AY46" s="404"/>
      <c r="AZ46" s="404"/>
      <c r="BA46" s="404"/>
      <c r="BB46" s="404"/>
      <c r="BC46" s="404"/>
      <c r="BD46" s="404"/>
      <c r="BE46" s="404"/>
      <c r="BF46" s="404"/>
      <c r="BG46" s="404"/>
      <c r="BH46" s="404"/>
      <c r="BI46" s="404"/>
      <c r="BJ46" s="404"/>
      <c r="BK46" s="404"/>
      <c r="BL46" s="404"/>
      <c r="BM46" s="404"/>
      <c r="BN46" s="404"/>
      <c r="BO46" s="404"/>
      <c r="BP46" s="404"/>
      <c r="BQ46" s="404"/>
      <c r="BR46" s="404"/>
      <c r="BS46" s="404"/>
      <c r="BT46" s="404"/>
      <c r="BU46" s="404"/>
      <c r="BV46" s="404"/>
      <c r="BW46" s="404"/>
      <c r="BX46" s="404"/>
      <c r="BY46" s="404"/>
      <c r="BZ46" s="404"/>
      <c r="CA46" s="404"/>
      <c r="CB46" s="404"/>
      <c r="CC46" s="404"/>
      <c r="CD46" s="404"/>
      <c r="CE46" s="404"/>
      <c r="CF46" s="404"/>
      <c r="CG46" s="404"/>
      <c r="CH46" s="404"/>
      <c r="CI46" s="404"/>
      <c r="CJ46" s="404"/>
      <c r="CK46" s="404"/>
      <c r="CL46" s="404"/>
      <c r="CM46" s="404"/>
      <c r="CN46" s="404"/>
      <c r="CO46" s="404"/>
      <c r="CP46" s="404"/>
      <c r="CQ46" s="404"/>
      <c r="CR46" s="404"/>
      <c r="CS46" s="404"/>
      <c r="CT46" s="404"/>
      <c r="CU46" s="404"/>
      <c r="CV46" s="404"/>
      <c r="CW46" s="404"/>
      <c r="CX46" s="404"/>
      <c r="CY46" s="404"/>
      <c r="CZ46" s="404"/>
      <c r="DA46" s="404"/>
      <c r="DB46" s="404"/>
      <c r="DC46" s="404"/>
      <c r="DD46" s="404"/>
      <c r="DE46" s="404"/>
      <c r="DF46" s="404"/>
      <c r="DG46" s="404"/>
      <c r="DH46" s="404"/>
      <c r="DI46" s="404"/>
      <c r="DJ46" s="404"/>
      <c r="DK46" s="404"/>
      <c r="DL46" s="404"/>
      <c r="DM46" s="404"/>
      <c r="DN46" s="404"/>
      <c r="DO46" s="404"/>
      <c r="DP46" s="404"/>
      <c r="DQ46" s="404"/>
      <c r="DR46" s="404"/>
      <c r="DS46" s="404"/>
      <c r="DT46" s="404"/>
      <c r="DU46" s="404"/>
      <c r="DV46" s="404"/>
      <c r="DW46" s="404"/>
      <c r="DX46" s="404"/>
      <c r="DY46" s="404"/>
      <c r="DZ46" s="404"/>
      <c r="EA46" s="404"/>
      <c r="EB46" s="404"/>
      <c r="EC46" s="404"/>
      <c r="ED46" s="404"/>
      <c r="EE46" s="404"/>
      <c r="EF46" s="404"/>
      <c r="EG46" s="404"/>
      <c r="EH46" s="404"/>
      <c r="EI46" s="404"/>
      <c r="EJ46" s="404"/>
      <c r="EK46" s="404"/>
      <c r="EL46" s="404"/>
      <c r="EM46" s="404"/>
      <c r="EN46" s="404"/>
      <c r="EO46" s="404"/>
      <c r="EP46" s="404"/>
      <c r="EQ46" s="404"/>
      <c r="ER46" s="404"/>
      <c r="ES46" s="404"/>
      <c r="ET46" s="404"/>
      <c r="EU46" s="404"/>
      <c r="EV46" s="404"/>
      <c r="EW46" s="404"/>
      <c r="EX46" s="404"/>
      <c r="EY46" s="404"/>
      <c r="EZ46" s="404"/>
      <c r="FA46" s="404"/>
      <c r="FB46" s="404"/>
      <c r="FC46" s="404"/>
      <c r="FD46" s="404"/>
      <c r="FE46" s="404"/>
      <c r="FF46" s="404"/>
      <c r="FG46" s="404"/>
      <c r="FH46" s="404"/>
      <c r="FI46" s="404"/>
      <c r="FJ46" s="404"/>
      <c r="FK46" s="404"/>
      <c r="FL46" s="404"/>
      <c r="FM46" s="404"/>
      <c r="FN46" s="404"/>
      <c r="FO46" s="404"/>
      <c r="FP46" s="404"/>
      <c r="FQ46" s="404"/>
      <c r="FR46" s="404"/>
      <c r="FS46" s="404"/>
      <c r="FT46" s="404"/>
      <c r="FU46" s="404"/>
      <c r="FV46" s="404"/>
      <c r="FW46" s="404"/>
      <c r="FX46" s="404"/>
      <c r="FY46" s="404"/>
      <c r="FZ46" s="404"/>
      <c r="GA46" s="404"/>
      <c r="GB46" s="404"/>
      <c r="GC46" s="404"/>
      <c r="GD46" s="404"/>
      <c r="GE46" s="404"/>
      <c r="GF46" s="404"/>
      <c r="GG46" s="404"/>
      <c r="GH46" s="404"/>
      <c r="GI46" s="404"/>
      <c r="GJ46" s="404"/>
      <c r="GK46" s="404"/>
      <c r="GL46" s="404"/>
      <c r="GM46" s="404"/>
      <c r="GN46" s="404"/>
      <c r="GO46" s="404"/>
      <c r="GP46" s="404"/>
      <c r="GQ46" s="404"/>
      <c r="GR46" s="404"/>
      <c r="GS46" s="404"/>
      <c r="GT46" s="404"/>
      <c r="GU46" s="404"/>
      <c r="GV46" s="404"/>
      <c r="GW46" s="404"/>
      <c r="GX46" s="404"/>
      <c r="GY46" s="404"/>
      <c r="GZ46" s="404"/>
      <c r="HA46" s="404"/>
      <c r="HB46" s="404"/>
      <c r="HC46" s="404"/>
      <c r="HD46" s="404"/>
      <c r="HE46" s="404"/>
      <c r="HF46" s="404"/>
      <c r="HG46" s="404"/>
      <c r="HH46" s="404"/>
      <c r="HI46" s="404"/>
      <c r="HJ46" s="404"/>
      <c r="HK46" s="404"/>
      <c r="HL46" s="404"/>
      <c r="HM46" s="404"/>
      <c r="HN46" s="404"/>
      <c r="HO46" s="404"/>
      <c r="HP46" s="404"/>
      <c r="HQ46" s="404"/>
      <c r="HR46" s="404"/>
      <c r="HS46" s="404"/>
      <c r="HT46" s="404"/>
      <c r="HU46" s="404"/>
      <c r="HV46" s="404"/>
      <c r="HW46" s="404"/>
      <c r="HX46" s="404"/>
      <c r="HY46" s="404"/>
      <c r="HZ46" s="404"/>
      <c r="IA46" s="404"/>
      <c r="IB46" s="404"/>
      <c r="IC46" s="404"/>
      <c r="ID46" s="404"/>
      <c r="IE46" s="404"/>
      <c r="IF46" s="404"/>
      <c r="IG46" s="404"/>
      <c r="IH46" s="404"/>
      <c r="II46" s="404"/>
      <c r="IJ46" s="404"/>
      <c r="IK46" s="404"/>
      <c r="IL46" s="404"/>
      <c r="IM46" s="404"/>
      <c r="IN46" s="404"/>
      <c r="IO46" s="404"/>
      <c r="IP46" s="404"/>
      <c r="IQ46" s="404"/>
      <c r="IR46" s="404"/>
      <c r="IS46" s="404"/>
      <c r="IT46" s="404"/>
      <c r="IU46" s="404"/>
      <c r="IV46" s="404"/>
    </row>
    <row r="47" spans="1:256" x14ac:dyDescent="0.35">
      <c r="A47" s="735">
        <v>38</v>
      </c>
      <c r="B47" s="931"/>
      <c r="C47" s="1003"/>
      <c r="D47" s="1004" t="s">
        <v>292</v>
      </c>
      <c r="E47" s="1012">
        <f>F47+G47+P49</f>
        <v>2500</v>
      </c>
      <c r="F47" s="1190"/>
      <c r="G47" s="1191"/>
      <c r="H47" s="1006"/>
      <c r="I47" s="1007"/>
      <c r="J47" s="1008"/>
      <c r="K47" s="1009"/>
      <c r="L47" s="1009"/>
      <c r="M47" s="1008"/>
      <c r="N47" s="1009">
        <v>2500</v>
      </c>
      <c r="O47" s="1008"/>
      <c r="P47" s="1010">
        <f>SUM(I47:O47)</f>
        <v>2500</v>
      </c>
      <c r="Q47" s="1000"/>
    </row>
    <row r="48" spans="1:256" x14ac:dyDescent="0.35">
      <c r="A48" s="735">
        <v>39</v>
      </c>
      <c r="B48" s="931"/>
      <c r="C48" s="447"/>
      <c r="D48" s="1499" t="s">
        <v>929</v>
      </c>
      <c r="E48" s="416"/>
      <c r="F48" s="935"/>
      <c r="G48" s="936"/>
      <c r="H48" s="947"/>
      <c r="I48" s="944"/>
      <c r="J48" s="944"/>
      <c r="K48" s="964"/>
      <c r="L48" s="964"/>
      <c r="M48" s="944"/>
      <c r="N48" s="964"/>
      <c r="O48" s="944"/>
      <c r="P48" s="1732">
        <f>SUM(I48:O48)</f>
        <v>0</v>
      </c>
      <c r="Q48" s="938"/>
    </row>
    <row r="49" spans="1:17" ht="18" thickBot="1" x14ac:dyDescent="0.4">
      <c r="A49" s="735">
        <v>40</v>
      </c>
      <c r="B49" s="931"/>
      <c r="C49" s="1232"/>
      <c r="D49" s="641" t="s">
        <v>927</v>
      </c>
      <c r="E49" s="1791"/>
      <c r="F49" s="1813"/>
      <c r="G49" s="1814"/>
      <c r="H49" s="1794"/>
      <c r="I49" s="1795"/>
      <c r="J49" s="1795"/>
      <c r="K49" s="1796"/>
      <c r="L49" s="1796"/>
      <c r="M49" s="1795"/>
      <c r="N49" s="1797">
        <f>SUM(N47:N48)</f>
        <v>2500</v>
      </c>
      <c r="O49" s="1795"/>
      <c r="P49" s="730">
        <f>SUM(I49:O49)</f>
        <v>2500</v>
      </c>
      <c r="Q49" s="1798"/>
    </row>
    <row r="50" spans="1:17" s="409" customFormat="1" ht="18" thickTop="1" x14ac:dyDescent="0.35">
      <c r="A50" s="735">
        <v>41</v>
      </c>
      <c r="B50" s="931"/>
      <c r="C50" s="1799"/>
      <c r="D50" s="1800" t="s">
        <v>720</v>
      </c>
      <c r="E50" s="1815">
        <f>E47+E43</f>
        <v>126325</v>
      </c>
      <c r="F50" s="1815">
        <f>F47+F43</f>
        <v>0</v>
      </c>
      <c r="G50" s="1815">
        <f>G47+G43</f>
        <v>79345</v>
      </c>
      <c r="H50" s="1816"/>
      <c r="I50" s="1803"/>
      <c r="J50" s="1803"/>
      <c r="K50" s="1803"/>
      <c r="L50" s="1803"/>
      <c r="M50" s="1803"/>
      <c r="N50" s="1803"/>
      <c r="O50" s="1803"/>
      <c r="P50" s="1803"/>
      <c r="Q50" s="1804"/>
    </row>
    <row r="51" spans="1:17" x14ac:dyDescent="0.35">
      <c r="A51" s="735">
        <v>42</v>
      </c>
      <c r="B51" s="931"/>
      <c r="C51" s="447"/>
      <c r="D51" s="1004" t="s">
        <v>292</v>
      </c>
      <c r="E51" s="1236"/>
      <c r="F51" s="1236"/>
      <c r="G51" s="1817"/>
      <c r="H51" s="947"/>
      <c r="I51" s="944">
        <f>I47+I43</f>
        <v>2426</v>
      </c>
      <c r="J51" s="944">
        <f t="shared" ref="J51:P52" si="3">J47+J43</f>
        <v>344</v>
      </c>
      <c r="K51" s="944">
        <f t="shared" si="3"/>
        <v>39439</v>
      </c>
      <c r="L51" s="944">
        <f t="shared" si="3"/>
        <v>0</v>
      </c>
      <c r="M51" s="944">
        <f t="shared" si="3"/>
        <v>0</v>
      </c>
      <c r="N51" s="944">
        <f t="shared" si="3"/>
        <v>2500</v>
      </c>
      <c r="O51" s="944">
        <f t="shared" si="3"/>
        <v>0</v>
      </c>
      <c r="P51" s="944">
        <f t="shared" si="3"/>
        <v>44709</v>
      </c>
      <c r="Q51" s="938"/>
    </row>
    <row r="52" spans="1:17" x14ac:dyDescent="0.35">
      <c r="A52" s="735">
        <v>43</v>
      </c>
      <c r="B52" s="931"/>
      <c r="C52" s="447"/>
      <c r="D52" s="1499" t="s">
        <v>929</v>
      </c>
      <c r="E52" s="1236"/>
      <c r="F52" s="1236"/>
      <c r="G52" s="1817"/>
      <c r="H52" s="947"/>
      <c r="I52" s="1730">
        <f>I48+I44</f>
        <v>0</v>
      </c>
      <c r="J52" s="1730">
        <f t="shared" si="3"/>
        <v>0</v>
      </c>
      <c r="K52" s="1730">
        <f t="shared" si="3"/>
        <v>0</v>
      </c>
      <c r="L52" s="1730">
        <f t="shared" si="3"/>
        <v>0</v>
      </c>
      <c r="M52" s="1730">
        <f t="shared" si="3"/>
        <v>0</v>
      </c>
      <c r="N52" s="1730">
        <f t="shared" si="3"/>
        <v>0</v>
      </c>
      <c r="O52" s="1730">
        <f t="shared" si="3"/>
        <v>0</v>
      </c>
      <c r="P52" s="1732">
        <f>SUM(I52:O52)</f>
        <v>0</v>
      </c>
      <c r="Q52" s="938"/>
    </row>
    <row r="53" spans="1:17" ht="18" thickBot="1" x14ac:dyDescent="0.4">
      <c r="A53" s="735">
        <v>44</v>
      </c>
      <c r="B53" s="931"/>
      <c r="C53" s="1818"/>
      <c r="D53" s="1456" t="s">
        <v>927</v>
      </c>
      <c r="E53" s="1819"/>
      <c r="F53" s="1819"/>
      <c r="G53" s="1820"/>
      <c r="H53" s="1821"/>
      <c r="I53" s="1822">
        <f>SUM(I51:I52)</f>
        <v>2426</v>
      </c>
      <c r="J53" s="1822">
        <f t="shared" ref="J53:O53" si="4">SUM(J51:J52)</f>
        <v>344</v>
      </c>
      <c r="K53" s="1822">
        <f t="shared" si="4"/>
        <v>39439</v>
      </c>
      <c r="L53" s="1822">
        <f t="shared" si="4"/>
        <v>0</v>
      </c>
      <c r="M53" s="1822">
        <f t="shared" si="4"/>
        <v>0</v>
      </c>
      <c r="N53" s="1822">
        <f t="shared" si="4"/>
        <v>2500</v>
      </c>
      <c r="O53" s="1822">
        <f t="shared" si="4"/>
        <v>0</v>
      </c>
      <c r="P53" s="1823">
        <f>SUM(I53:O53)</f>
        <v>44709</v>
      </c>
      <c r="Q53" s="1824"/>
    </row>
    <row r="54" spans="1:17" ht="18.75" thickTop="1" x14ac:dyDescent="0.35">
      <c r="A54" s="735">
        <v>45</v>
      </c>
      <c r="B54" s="729"/>
      <c r="C54" s="991">
        <v>3</v>
      </c>
      <c r="D54" s="999" t="s">
        <v>721</v>
      </c>
      <c r="E54" s="413"/>
      <c r="F54" s="411"/>
      <c r="G54" s="412"/>
      <c r="H54" s="945" t="s">
        <v>24</v>
      </c>
      <c r="I54" s="1192"/>
      <c r="J54" s="1193"/>
      <c r="K54" s="1193"/>
      <c r="L54" s="1193"/>
      <c r="M54" s="1193"/>
      <c r="N54" s="1193"/>
      <c r="O54" s="1193"/>
      <c r="P54" s="1194"/>
      <c r="Q54" s="723"/>
    </row>
    <row r="55" spans="1:17" ht="33.75" x14ac:dyDescent="0.35">
      <c r="A55" s="735">
        <v>46</v>
      </c>
      <c r="B55" s="729"/>
      <c r="C55" s="447"/>
      <c r="D55" s="407" t="s">
        <v>722</v>
      </c>
      <c r="E55" s="416"/>
      <c r="F55" s="725"/>
      <c r="G55" s="417"/>
      <c r="H55" s="946"/>
      <c r="I55" s="943"/>
      <c r="J55" s="722"/>
      <c r="K55" s="722"/>
      <c r="L55" s="722"/>
      <c r="M55" s="722"/>
      <c r="N55" s="722"/>
      <c r="O55" s="722"/>
      <c r="P55" s="730"/>
      <c r="Q55" s="726"/>
    </row>
    <row r="56" spans="1:17" x14ac:dyDescent="0.35">
      <c r="A56" s="735">
        <v>47</v>
      </c>
      <c r="B56" s="729"/>
      <c r="C56" s="406"/>
      <c r="D56" s="933" t="s">
        <v>292</v>
      </c>
      <c r="E56" s="416">
        <f>F56+G56+P58</f>
        <v>2414207</v>
      </c>
      <c r="F56" s="725"/>
      <c r="G56" s="417"/>
      <c r="H56" s="946"/>
      <c r="I56" s="943"/>
      <c r="J56" s="722"/>
      <c r="K56" s="722"/>
      <c r="L56" s="722"/>
      <c r="M56" s="960">
        <v>2414207</v>
      </c>
      <c r="N56" s="722"/>
      <c r="O56" s="722"/>
      <c r="P56" s="930">
        <f>SUM(I56:O56)</f>
        <v>2414207</v>
      </c>
      <c r="Q56" s="726"/>
    </row>
    <row r="57" spans="1:17" x14ac:dyDescent="0.35">
      <c r="A57" s="735">
        <v>48</v>
      </c>
      <c r="B57" s="729"/>
      <c r="C57" s="406"/>
      <c r="D57" s="1499" t="s">
        <v>929</v>
      </c>
      <c r="E57" s="416"/>
      <c r="F57" s="725"/>
      <c r="G57" s="417"/>
      <c r="H57" s="946"/>
      <c r="I57" s="943"/>
      <c r="J57" s="722"/>
      <c r="K57" s="722"/>
      <c r="L57" s="722"/>
      <c r="M57" s="960"/>
      <c r="N57" s="722"/>
      <c r="O57" s="722"/>
      <c r="P57" s="1732">
        <f>SUM(I57:O57)</f>
        <v>0</v>
      </c>
      <c r="Q57" s="726"/>
    </row>
    <row r="58" spans="1:17" x14ac:dyDescent="0.35">
      <c r="A58" s="735">
        <v>49</v>
      </c>
      <c r="B58" s="729"/>
      <c r="C58" s="406"/>
      <c r="D58" s="641" t="s">
        <v>927</v>
      </c>
      <c r="E58" s="416"/>
      <c r="F58" s="725"/>
      <c r="G58" s="417"/>
      <c r="H58" s="946"/>
      <c r="I58" s="943"/>
      <c r="J58" s="722"/>
      <c r="K58" s="722"/>
      <c r="L58" s="722"/>
      <c r="M58" s="722">
        <f>SUM(M56:M57)</f>
        <v>2414207</v>
      </c>
      <c r="N58" s="722"/>
      <c r="O58" s="722"/>
      <c r="P58" s="730">
        <f>SUM(I58:O58)</f>
        <v>2414207</v>
      </c>
      <c r="Q58" s="726"/>
    </row>
    <row r="59" spans="1:17" ht="33.75" x14ac:dyDescent="0.35">
      <c r="A59" s="735">
        <v>50</v>
      </c>
      <c r="B59" s="931"/>
      <c r="C59" s="447"/>
      <c r="D59" s="407" t="s">
        <v>723</v>
      </c>
      <c r="E59" s="934"/>
      <c r="F59" s="935"/>
      <c r="G59" s="936"/>
      <c r="H59" s="947"/>
      <c r="I59" s="944"/>
      <c r="J59" s="937"/>
      <c r="K59" s="937"/>
      <c r="L59" s="937"/>
      <c r="M59" s="960"/>
      <c r="N59" s="937"/>
      <c r="O59" s="937"/>
      <c r="P59" s="930"/>
      <c r="Q59" s="938"/>
    </row>
    <row r="60" spans="1:17" x14ac:dyDescent="0.35">
      <c r="A60" s="735">
        <v>51</v>
      </c>
      <c r="B60" s="729"/>
      <c r="C60" s="1003"/>
      <c r="D60" s="1004" t="s">
        <v>292</v>
      </c>
      <c r="E60" s="1012">
        <f>F60+G60+P62</f>
        <v>887793</v>
      </c>
      <c r="F60" s="1012"/>
      <c r="G60" s="1014"/>
      <c r="H60" s="1015"/>
      <c r="I60" s="1195"/>
      <c r="J60" s="1012"/>
      <c r="K60" s="1012"/>
      <c r="L60" s="1012"/>
      <c r="M60" s="1009">
        <v>889445</v>
      </c>
      <c r="N60" s="1012"/>
      <c r="O60" s="1012"/>
      <c r="P60" s="1010">
        <f>SUM(I60:O60)</f>
        <v>889445</v>
      </c>
      <c r="Q60" s="1002"/>
    </row>
    <row r="61" spans="1:17" x14ac:dyDescent="0.35">
      <c r="A61" s="735">
        <v>52</v>
      </c>
      <c r="B61" s="1235"/>
      <c r="C61" s="447"/>
      <c r="D61" s="1499" t="s">
        <v>949</v>
      </c>
      <c r="E61" s="416"/>
      <c r="F61" s="416"/>
      <c r="G61" s="417"/>
      <c r="H61" s="946"/>
      <c r="I61" s="1825"/>
      <c r="J61" s="416"/>
      <c r="K61" s="416"/>
      <c r="L61" s="416"/>
      <c r="M61" s="1731">
        <v>-1652</v>
      </c>
      <c r="N61" s="416"/>
      <c r="O61" s="416"/>
      <c r="P61" s="1732">
        <f>SUM(I61:O61)</f>
        <v>-1652</v>
      </c>
      <c r="Q61" s="726"/>
    </row>
    <row r="62" spans="1:17" ht="18" thickBot="1" x14ac:dyDescent="0.4">
      <c r="A62" s="735">
        <v>53</v>
      </c>
      <c r="B62" s="1235"/>
      <c r="C62" s="1232"/>
      <c r="D62" s="641" t="s">
        <v>927</v>
      </c>
      <c r="E62" s="1791"/>
      <c r="F62" s="1791"/>
      <c r="G62" s="1793"/>
      <c r="H62" s="1744"/>
      <c r="I62" s="1826"/>
      <c r="J62" s="1791"/>
      <c r="K62" s="1791"/>
      <c r="L62" s="1791"/>
      <c r="M62" s="1827">
        <f>SUM(M60:M61)</f>
        <v>887793</v>
      </c>
      <c r="N62" s="1791"/>
      <c r="O62" s="1791"/>
      <c r="P62" s="730">
        <f>SUM(I62:O62)</f>
        <v>887793</v>
      </c>
      <c r="Q62" s="1747"/>
    </row>
    <row r="63" spans="1:17" ht="18" thickTop="1" x14ac:dyDescent="0.35">
      <c r="A63" s="735">
        <v>54</v>
      </c>
      <c r="B63" s="1235"/>
      <c r="C63" s="1799"/>
      <c r="D63" s="1800" t="s">
        <v>724</v>
      </c>
      <c r="E63" s="1815">
        <f>E60+E56</f>
        <v>3302000</v>
      </c>
      <c r="F63" s="1815">
        <f>F60+F56</f>
        <v>0</v>
      </c>
      <c r="G63" s="1828">
        <f>G60+G56</f>
        <v>0</v>
      </c>
      <c r="H63" s="1829"/>
      <c r="I63" s="1815"/>
      <c r="J63" s="1815"/>
      <c r="K63" s="1815"/>
      <c r="L63" s="1815"/>
      <c r="M63" s="1815"/>
      <c r="N63" s="1815"/>
      <c r="O63" s="1815"/>
      <c r="P63" s="1815"/>
      <c r="Q63" s="1830"/>
    </row>
    <row r="64" spans="1:17" x14ac:dyDescent="0.35">
      <c r="A64" s="735">
        <v>55</v>
      </c>
      <c r="B64" s="1235"/>
      <c r="C64" s="447"/>
      <c r="D64" s="1004" t="s">
        <v>292</v>
      </c>
      <c r="E64" s="1236"/>
      <c r="F64" s="1236"/>
      <c r="G64" s="1817"/>
      <c r="H64" s="1831"/>
      <c r="I64" s="934">
        <f>I60+I56</f>
        <v>0</v>
      </c>
      <c r="J64" s="934">
        <f t="shared" ref="J64:P65" si="5">J60+J56</f>
        <v>0</v>
      </c>
      <c r="K64" s="934">
        <f t="shared" si="5"/>
        <v>0</v>
      </c>
      <c r="L64" s="934">
        <f t="shared" si="5"/>
        <v>0</v>
      </c>
      <c r="M64" s="934">
        <f t="shared" si="5"/>
        <v>3303652</v>
      </c>
      <c r="N64" s="934">
        <f t="shared" si="5"/>
        <v>0</v>
      </c>
      <c r="O64" s="934">
        <f t="shared" si="5"/>
        <v>0</v>
      </c>
      <c r="P64" s="934">
        <f t="shared" si="5"/>
        <v>3303652</v>
      </c>
      <c r="Q64" s="726"/>
    </row>
    <row r="65" spans="1:17" x14ac:dyDescent="0.35">
      <c r="A65" s="735">
        <v>56</v>
      </c>
      <c r="B65" s="1235"/>
      <c r="C65" s="447"/>
      <c r="D65" s="1499" t="s">
        <v>929</v>
      </c>
      <c r="E65" s="1236"/>
      <c r="F65" s="1236"/>
      <c r="G65" s="1817"/>
      <c r="H65" s="1831"/>
      <c r="I65" s="1736">
        <f>I61+I57</f>
        <v>0</v>
      </c>
      <c r="J65" s="1736">
        <f t="shared" si="5"/>
        <v>0</v>
      </c>
      <c r="K65" s="1736">
        <f t="shared" si="5"/>
        <v>0</v>
      </c>
      <c r="L65" s="1736">
        <f t="shared" si="5"/>
        <v>0</v>
      </c>
      <c r="M65" s="1736">
        <f t="shared" si="5"/>
        <v>-1652</v>
      </c>
      <c r="N65" s="1736">
        <f t="shared" si="5"/>
        <v>0</v>
      </c>
      <c r="O65" s="1736">
        <f t="shared" si="5"/>
        <v>0</v>
      </c>
      <c r="P65" s="1732">
        <f>SUM(I65:O65)</f>
        <v>-1652</v>
      </c>
      <c r="Q65" s="726"/>
    </row>
    <row r="66" spans="1:17" ht="18" thickBot="1" x14ac:dyDescent="0.4">
      <c r="A66" s="735">
        <v>57</v>
      </c>
      <c r="B66" s="1235"/>
      <c r="C66" s="1818"/>
      <c r="D66" s="1456" t="s">
        <v>927</v>
      </c>
      <c r="E66" s="1819"/>
      <c r="F66" s="1819"/>
      <c r="G66" s="1820"/>
      <c r="H66" s="1832"/>
      <c r="I66" s="1819">
        <f>SUM(I64:I65)</f>
        <v>0</v>
      </c>
      <c r="J66" s="1819">
        <f t="shared" ref="J66:O66" si="6">SUM(J64:J65)</f>
        <v>0</v>
      </c>
      <c r="K66" s="1819">
        <f t="shared" si="6"/>
        <v>0</v>
      </c>
      <c r="L66" s="1819">
        <f t="shared" si="6"/>
        <v>0</v>
      </c>
      <c r="M66" s="1819">
        <f t="shared" si="6"/>
        <v>3302000</v>
      </c>
      <c r="N66" s="1819">
        <f t="shared" si="6"/>
        <v>0</v>
      </c>
      <c r="O66" s="1819">
        <f t="shared" si="6"/>
        <v>0</v>
      </c>
      <c r="P66" s="1823">
        <f>SUM(I66:O66)</f>
        <v>3302000</v>
      </c>
      <c r="Q66" s="1833"/>
    </row>
    <row r="67" spans="1:17" ht="18.75" thickTop="1" x14ac:dyDescent="0.35">
      <c r="A67" s="735">
        <v>58</v>
      </c>
      <c r="B67" s="602"/>
      <c r="C67" s="991">
        <v>4</v>
      </c>
      <c r="D67" s="999" t="s">
        <v>766</v>
      </c>
      <c r="E67" s="413"/>
      <c r="F67" s="413"/>
      <c r="G67" s="1243"/>
      <c r="H67" s="1244" t="s">
        <v>24</v>
      </c>
      <c r="I67" s="413"/>
      <c r="J67" s="413"/>
      <c r="K67" s="413"/>
      <c r="L67" s="413"/>
      <c r="M67" s="413"/>
      <c r="N67" s="413"/>
      <c r="O67" s="413"/>
      <c r="P67" s="1197"/>
      <c r="Q67" s="1245"/>
    </row>
    <row r="68" spans="1:17" x14ac:dyDescent="0.35">
      <c r="A68" s="735">
        <v>59</v>
      </c>
      <c r="B68" s="602"/>
      <c r="C68" s="991"/>
      <c r="D68" s="970" t="s">
        <v>541</v>
      </c>
      <c r="E68" s="413"/>
      <c r="F68" s="413"/>
      <c r="G68" s="412"/>
      <c r="H68" s="945"/>
      <c r="I68" s="1196"/>
      <c r="J68" s="413"/>
      <c r="K68" s="413"/>
      <c r="L68" s="413"/>
      <c r="M68" s="413"/>
      <c r="N68" s="413"/>
      <c r="O68" s="413"/>
      <c r="P68" s="1197"/>
      <c r="Q68" s="723"/>
    </row>
    <row r="69" spans="1:17" x14ac:dyDescent="0.35">
      <c r="A69" s="735">
        <v>60</v>
      </c>
      <c r="B69" s="729"/>
      <c r="C69" s="1003"/>
      <c r="D69" s="1011" t="s">
        <v>292</v>
      </c>
      <c r="E69" s="1012">
        <f>F69+G69+P71+34903</f>
        <v>318162</v>
      </c>
      <c r="F69" s="1013"/>
      <c r="G69" s="1014"/>
      <c r="H69" s="1015"/>
      <c r="I69" s="1016"/>
      <c r="J69" s="1017"/>
      <c r="K69" s="1009">
        <f>259700-78400</f>
        <v>181300</v>
      </c>
      <c r="L69" s="1009">
        <v>78400</v>
      </c>
      <c r="M69" s="1009"/>
      <c r="N69" s="1017"/>
      <c r="O69" s="1017"/>
      <c r="P69" s="1010">
        <f>SUM(I69:O69)</f>
        <v>259700</v>
      </c>
      <c r="Q69" s="1002"/>
    </row>
    <row r="70" spans="1:17" x14ac:dyDescent="0.35">
      <c r="A70" s="735">
        <v>61</v>
      </c>
      <c r="B70" s="729"/>
      <c r="C70" s="447"/>
      <c r="D70" s="1499" t="s">
        <v>949</v>
      </c>
      <c r="E70" s="416"/>
      <c r="F70" s="725"/>
      <c r="G70" s="417"/>
      <c r="H70" s="946"/>
      <c r="I70" s="1730">
        <v>3385</v>
      </c>
      <c r="J70" s="1730">
        <v>524</v>
      </c>
      <c r="K70" s="1730">
        <f>23050+600-600</f>
        <v>23050</v>
      </c>
      <c r="L70" s="1730">
        <f>-4000+600</f>
        <v>-3400</v>
      </c>
      <c r="M70" s="964"/>
      <c r="N70" s="943"/>
      <c r="O70" s="943"/>
      <c r="P70" s="1732">
        <f>SUM(I70:O70)</f>
        <v>23559</v>
      </c>
      <c r="Q70" s="726"/>
    </row>
    <row r="71" spans="1:17" ht="18" thickBot="1" x14ac:dyDescent="0.4">
      <c r="A71" s="735">
        <v>62</v>
      </c>
      <c r="B71" s="729"/>
      <c r="C71" s="1232"/>
      <c r="D71" s="641" t="s">
        <v>927</v>
      </c>
      <c r="E71" s="1791"/>
      <c r="F71" s="1834"/>
      <c r="G71" s="1793"/>
      <c r="H71" s="1744"/>
      <c r="I71" s="1797">
        <f>SUM(I70)</f>
        <v>3385</v>
      </c>
      <c r="J71" s="1797">
        <f>SUM(J70)</f>
        <v>524</v>
      </c>
      <c r="K71" s="1797">
        <f>SUM(K69:K70)</f>
        <v>204350</v>
      </c>
      <c r="L71" s="1797">
        <f>SUM(L69:L70)</f>
        <v>75000</v>
      </c>
      <c r="M71" s="1796"/>
      <c r="N71" s="1797"/>
      <c r="O71" s="1797"/>
      <c r="P71" s="730">
        <f>SUM(I71:O71)</f>
        <v>283259</v>
      </c>
      <c r="Q71" s="1747"/>
    </row>
    <row r="72" spans="1:17" ht="18" thickTop="1" x14ac:dyDescent="0.35">
      <c r="A72" s="735">
        <v>63</v>
      </c>
      <c r="B72" s="602"/>
      <c r="C72" s="1799"/>
      <c r="D72" s="1800" t="s">
        <v>725</v>
      </c>
      <c r="E72" s="1815">
        <f>E69</f>
        <v>318162</v>
      </c>
      <c r="F72" s="1815">
        <f t="shared" ref="F72:G72" si="7">F69</f>
        <v>0</v>
      </c>
      <c r="G72" s="1815">
        <f t="shared" si="7"/>
        <v>0</v>
      </c>
      <c r="H72" s="1802"/>
      <c r="I72" s="1803"/>
      <c r="J72" s="1803"/>
      <c r="K72" s="1803"/>
      <c r="L72" s="1803"/>
      <c r="M72" s="1803"/>
      <c r="N72" s="1803"/>
      <c r="O72" s="1803"/>
      <c r="P72" s="1803"/>
      <c r="Q72" s="1835"/>
    </row>
    <row r="73" spans="1:17" x14ac:dyDescent="0.35">
      <c r="A73" s="735">
        <v>64</v>
      </c>
      <c r="B73" s="602"/>
      <c r="C73" s="447"/>
      <c r="D73" s="1011" t="s">
        <v>292</v>
      </c>
      <c r="E73" s="1236"/>
      <c r="F73" s="1236"/>
      <c r="G73" s="1817"/>
      <c r="H73" s="1806"/>
      <c r="I73" s="944">
        <f>I69</f>
        <v>0</v>
      </c>
      <c r="J73" s="944">
        <f t="shared" ref="J73:P74" si="8">J69</f>
        <v>0</v>
      </c>
      <c r="K73" s="944">
        <f t="shared" si="8"/>
        <v>181300</v>
      </c>
      <c r="L73" s="944">
        <f t="shared" si="8"/>
        <v>78400</v>
      </c>
      <c r="M73" s="944">
        <f t="shared" si="8"/>
        <v>0</v>
      </c>
      <c r="N73" s="944">
        <f t="shared" si="8"/>
        <v>0</v>
      </c>
      <c r="O73" s="944">
        <f t="shared" si="8"/>
        <v>0</v>
      </c>
      <c r="P73" s="944">
        <f t="shared" si="8"/>
        <v>259700</v>
      </c>
      <c r="Q73" s="1836"/>
    </row>
    <row r="74" spans="1:17" x14ac:dyDescent="0.35">
      <c r="A74" s="735">
        <v>65</v>
      </c>
      <c r="B74" s="602"/>
      <c r="C74" s="447"/>
      <c r="D74" s="1499" t="s">
        <v>929</v>
      </c>
      <c r="E74" s="1236"/>
      <c r="F74" s="1236"/>
      <c r="G74" s="1817"/>
      <c r="H74" s="1806"/>
      <c r="I74" s="1730">
        <f>I70</f>
        <v>3385</v>
      </c>
      <c r="J74" s="1730">
        <f t="shared" si="8"/>
        <v>524</v>
      </c>
      <c r="K74" s="1730">
        <f t="shared" si="8"/>
        <v>23050</v>
      </c>
      <c r="L74" s="1730">
        <f t="shared" si="8"/>
        <v>-3400</v>
      </c>
      <c r="M74" s="1730">
        <f t="shared" si="8"/>
        <v>0</v>
      </c>
      <c r="N74" s="1730">
        <f t="shared" si="8"/>
        <v>0</v>
      </c>
      <c r="O74" s="1730">
        <f t="shared" si="8"/>
        <v>0</v>
      </c>
      <c r="P74" s="1732">
        <f>SUM(I74:O74)</f>
        <v>23559</v>
      </c>
      <c r="Q74" s="1836"/>
    </row>
    <row r="75" spans="1:17" ht="18" thickBot="1" x14ac:dyDescent="0.4">
      <c r="A75" s="735">
        <v>66</v>
      </c>
      <c r="B75" s="602"/>
      <c r="C75" s="1807"/>
      <c r="D75" s="1456" t="s">
        <v>927</v>
      </c>
      <c r="E75" s="1837"/>
      <c r="F75" s="1837"/>
      <c r="G75" s="1838"/>
      <c r="H75" s="1810"/>
      <c r="I75" s="1811">
        <f>SUM(I73:I74)</f>
        <v>3385</v>
      </c>
      <c r="J75" s="1811">
        <f t="shared" ref="J75:O75" si="9">SUM(J73:J74)</f>
        <v>524</v>
      </c>
      <c r="K75" s="1811">
        <f t="shared" si="9"/>
        <v>204350</v>
      </c>
      <c r="L75" s="1811">
        <f t="shared" si="9"/>
        <v>75000</v>
      </c>
      <c r="M75" s="1811">
        <f t="shared" si="9"/>
        <v>0</v>
      </c>
      <c r="N75" s="1811">
        <f t="shared" si="9"/>
        <v>0</v>
      </c>
      <c r="O75" s="1811">
        <f t="shared" si="9"/>
        <v>0</v>
      </c>
      <c r="P75" s="1839">
        <f>SUM(P73:P74)</f>
        <v>283259</v>
      </c>
      <c r="Q75" s="1840"/>
    </row>
    <row r="76" spans="1:17" ht="18.75" thickTop="1" x14ac:dyDescent="0.35">
      <c r="A76" s="735">
        <v>67</v>
      </c>
      <c r="B76" s="729"/>
      <c r="C76" s="991">
        <v>5</v>
      </c>
      <c r="D76" s="999" t="s">
        <v>767</v>
      </c>
      <c r="E76" s="1246"/>
      <c r="F76" s="1246"/>
      <c r="G76" s="1197"/>
      <c r="H76" s="1306" t="s">
        <v>24</v>
      </c>
      <c r="I76" s="1246"/>
      <c r="J76" s="1246"/>
      <c r="K76" s="1246"/>
      <c r="L76" s="1246"/>
      <c r="M76" s="1246"/>
      <c r="N76" s="1246"/>
      <c r="O76" s="1246"/>
      <c r="P76" s="1197"/>
      <c r="Q76" s="1245"/>
    </row>
    <row r="77" spans="1:17" ht="33.75" x14ac:dyDescent="0.35">
      <c r="A77" s="735">
        <v>68</v>
      </c>
      <c r="B77" s="729"/>
      <c r="C77" s="447"/>
      <c r="D77" s="407" t="s">
        <v>770</v>
      </c>
      <c r="E77" s="1236"/>
      <c r="F77" s="1236"/>
      <c r="G77" s="734"/>
      <c r="H77" s="1238"/>
      <c r="I77" s="1236"/>
      <c r="J77" s="1236"/>
      <c r="K77" s="1236"/>
      <c r="L77" s="1236"/>
      <c r="M77" s="1236"/>
      <c r="N77" s="1236"/>
      <c r="O77" s="1236"/>
      <c r="P77" s="734"/>
      <c r="Q77" s="1237"/>
    </row>
    <row r="78" spans="1:17" x14ac:dyDescent="0.35">
      <c r="A78" s="735">
        <v>69</v>
      </c>
      <c r="B78" s="729"/>
      <c r="C78" s="1003"/>
      <c r="D78" s="933" t="s">
        <v>292</v>
      </c>
      <c r="E78" s="1012">
        <f>F78+G78+P80</f>
        <v>458855</v>
      </c>
      <c r="F78" s="1239"/>
      <c r="G78" s="1240"/>
      <c r="H78" s="1241"/>
      <c r="I78" s="1239"/>
      <c r="J78" s="1239"/>
      <c r="K78" s="1239"/>
      <c r="L78" s="1239"/>
      <c r="M78" s="960">
        <v>363855</v>
      </c>
      <c r="N78" s="1239"/>
      <c r="O78" s="1239"/>
      <c r="P78" s="930">
        <f>SUM(I78:O78)</f>
        <v>363855</v>
      </c>
      <c r="Q78" s="1242"/>
    </row>
    <row r="79" spans="1:17" x14ac:dyDescent="0.35">
      <c r="A79" s="735">
        <v>70</v>
      </c>
      <c r="B79" s="729"/>
      <c r="C79" s="1003"/>
      <c r="D79" s="1499" t="s">
        <v>949</v>
      </c>
      <c r="E79" s="1012"/>
      <c r="F79" s="1239"/>
      <c r="G79" s="1240"/>
      <c r="H79" s="1241"/>
      <c r="I79" s="1239"/>
      <c r="J79" s="1239"/>
      <c r="K79" s="1239"/>
      <c r="L79" s="1239"/>
      <c r="M79" s="1731">
        <v>95000</v>
      </c>
      <c r="N79" s="1239"/>
      <c r="O79" s="1239"/>
      <c r="P79" s="1732">
        <f>SUM(I79:O79)</f>
        <v>95000</v>
      </c>
      <c r="Q79" s="1242"/>
    </row>
    <row r="80" spans="1:17" x14ac:dyDescent="0.35">
      <c r="A80" s="735">
        <v>71</v>
      </c>
      <c r="B80" s="729"/>
      <c r="C80" s="1003"/>
      <c r="D80" s="641" t="s">
        <v>927</v>
      </c>
      <c r="E80" s="1012"/>
      <c r="F80" s="1239"/>
      <c r="G80" s="1240"/>
      <c r="H80" s="1241"/>
      <c r="I80" s="1239"/>
      <c r="J80" s="1239"/>
      <c r="K80" s="1239"/>
      <c r="L80" s="1239"/>
      <c r="M80" s="722">
        <f>SUM(M78:M79)</f>
        <v>458855</v>
      </c>
      <c r="N80" s="1239"/>
      <c r="O80" s="1239"/>
      <c r="P80" s="730">
        <f>SUM(I80:O80)</f>
        <v>458855</v>
      </c>
      <c r="Q80" s="1242"/>
    </row>
    <row r="81" spans="1:17" ht="33.75" x14ac:dyDescent="0.35">
      <c r="A81" s="735">
        <v>72</v>
      </c>
      <c r="B81" s="729"/>
      <c r="C81" s="447"/>
      <c r="D81" s="407" t="s">
        <v>769</v>
      </c>
      <c r="E81" s="416"/>
      <c r="F81" s="1236"/>
      <c r="G81" s="734"/>
      <c r="H81" s="1238"/>
      <c r="I81" s="1236"/>
      <c r="J81" s="1236"/>
      <c r="K81" s="1236"/>
      <c r="L81" s="1236"/>
      <c r="M81" s="1236"/>
      <c r="N81" s="1236"/>
      <c r="O81" s="1236"/>
      <c r="P81" s="734"/>
      <c r="Q81" s="1237"/>
    </row>
    <row r="82" spans="1:17" x14ac:dyDescent="0.35">
      <c r="A82" s="735">
        <v>73</v>
      </c>
      <c r="B82" s="729"/>
      <c r="C82" s="1232"/>
      <c r="D82" s="1004" t="s">
        <v>292</v>
      </c>
      <c r="E82" s="1012">
        <f>F82+G82+P84</f>
        <v>661170</v>
      </c>
      <c r="F82" s="1233"/>
      <c r="G82" s="1247"/>
      <c r="H82" s="1234"/>
      <c r="I82" s="1233"/>
      <c r="J82" s="1233"/>
      <c r="K82" s="1233"/>
      <c r="L82" s="1233"/>
      <c r="M82" s="1009">
        <v>661170</v>
      </c>
      <c r="N82" s="1233"/>
      <c r="O82" s="1233"/>
      <c r="P82" s="1010">
        <f>SUM(I82:O82)</f>
        <v>661170</v>
      </c>
      <c r="Q82" s="1248"/>
    </row>
    <row r="83" spans="1:17" x14ac:dyDescent="0.35">
      <c r="A83" s="735">
        <v>74</v>
      </c>
      <c r="B83" s="729"/>
      <c r="C83" s="447"/>
      <c r="D83" s="1499" t="s">
        <v>929</v>
      </c>
      <c r="E83" s="416"/>
      <c r="F83" s="1236"/>
      <c r="G83" s="734"/>
      <c r="H83" s="1238"/>
      <c r="I83" s="1236"/>
      <c r="J83" s="1236"/>
      <c r="K83" s="1236"/>
      <c r="L83" s="1236"/>
      <c r="M83" s="960"/>
      <c r="N83" s="1236"/>
      <c r="O83" s="1236"/>
      <c r="P83" s="1732">
        <f>SUM(I83:O83)</f>
        <v>0</v>
      </c>
      <c r="Q83" s="1237"/>
    </row>
    <row r="84" spans="1:17" x14ac:dyDescent="0.35">
      <c r="A84" s="735">
        <v>75</v>
      </c>
      <c r="B84" s="729"/>
      <c r="C84" s="447"/>
      <c r="D84" s="641" t="s">
        <v>927</v>
      </c>
      <c r="E84" s="416"/>
      <c r="F84" s="1236"/>
      <c r="G84" s="734"/>
      <c r="H84" s="1238"/>
      <c r="I84" s="1236"/>
      <c r="J84" s="1236"/>
      <c r="K84" s="1236"/>
      <c r="L84" s="1236"/>
      <c r="M84" s="722">
        <f>SUM(M82:M83)</f>
        <v>661170</v>
      </c>
      <c r="N84" s="1236"/>
      <c r="O84" s="1236"/>
      <c r="P84" s="730">
        <f>SUM(I84:O84)</f>
        <v>661170</v>
      </c>
      <c r="Q84" s="1237"/>
    </row>
    <row r="85" spans="1:17" x14ac:dyDescent="0.35">
      <c r="A85" s="735">
        <v>76</v>
      </c>
      <c r="B85" s="729"/>
      <c r="C85" s="447"/>
      <c r="D85" s="407" t="s">
        <v>1087</v>
      </c>
      <c r="E85" s="1012">
        <f>F85+G85+P87</f>
        <v>149576</v>
      </c>
      <c r="F85" s="1236"/>
      <c r="G85" s="734"/>
      <c r="H85" s="1238"/>
      <c r="I85" s="1236"/>
      <c r="J85" s="1236"/>
      <c r="K85" s="1236"/>
      <c r="L85" s="1236"/>
      <c r="M85" s="722"/>
      <c r="N85" s="1236"/>
      <c r="O85" s="1236"/>
      <c r="P85" s="730"/>
      <c r="Q85" s="1237"/>
    </row>
    <row r="86" spans="1:17" x14ac:dyDescent="0.35">
      <c r="A86" s="735">
        <v>77</v>
      </c>
      <c r="B86" s="729"/>
      <c r="C86" s="447"/>
      <c r="D86" s="1499" t="s">
        <v>1088</v>
      </c>
      <c r="E86" s="416"/>
      <c r="F86" s="1236"/>
      <c r="G86" s="734"/>
      <c r="H86" s="1238"/>
      <c r="I86" s="1236"/>
      <c r="J86" s="1236"/>
      <c r="K86" s="1236"/>
      <c r="L86" s="1236"/>
      <c r="M86" s="1731">
        <v>149576</v>
      </c>
      <c r="N86" s="1236"/>
      <c r="O86" s="1236"/>
      <c r="P86" s="1732">
        <f>SUM(I86:O86)</f>
        <v>149576</v>
      </c>
      <c r="Q86" s="1237"/>
    </row>
    <row r="87" spans="1:17" x14ac:dyDescent="0.35">
      <c r="A87" s="735">
        <v>78</v>
      </c>
      <c r="B87" s="729"/>
      <c r="C87" s="447"/>
      <c r="D87" s="641" t="s">
        <v>927</v>
      </c>
      <c r="E87" s="416"/>
      <c r="F87" s="1236"/>
      <c r="G87" s="734"/>
      <c r="H87" s="1238"/>
      <c r="I87" s="1236"/>
      <c r="J87" s="1236"/>
      <c r="K87" s="1236"/>
      <c r="L87" s="1236"/>
      <c r="M87" s="722">
        <f>SUM(M86)</f>
        <v>149576</v>
      </c>
      <c r="N87" s="1236"/>
      <c r="O87" s="1236"/>
      <c r="P87" s="730">
        <f>SUM(I87:O87)</f>
        <v>149576</v>
      </c>
      <c r="Q87" s="1237"/>
    </row>
    <row r="88" spans="1:17" ht="33.75" x14ac:dyDescent="0.35">
      <c r="A88" s="735">
        <v>79</v>
      </c>
      <c r="B88" s="729"/>
      <c r="C88" s="447"/>
      <c r="D88" s="407" t="s">
        <v>1089</v>
      </c>
      <c r="E88" s="416">
        <f>F88+G88+P90</f>
        <v>69400</v>
      </c>
      <c r="F88" s="1236"/>
      <c r="G88" s="734"/>
      <c r="H88" s="1238"/>
      <c r="I88" s="1236"/>
      <c r="J88" s="1236"/>
      <c r="K88" s="1236"/>
      <c r="L88" s="1236"/>
      <c r="M88" s="960"/>
      <c r="N88" s="1236"/>
      <c r="O88" s="1236"/>
      <c r="P88" s="930"/>
      <c r="Q88" s="1237"/>
    </row>
    <row r="89" spans="1:17" x14ac:dyDescent="0.35">
      <c r="A89" s="735">
        <v>80</v>
      </c>
      <c r="B89" s="729"/>
      <c r="C89" s="447"/>
      <c r="D89" s="1499" t="s">
        <v>1088</v>
      </c>
      <c r="E89" s="1236"/>
      <c r="F89" s="1236"/>
      <c r="G89" s="734"/>
      <c r="H89" s="1238"/>
      <c r="I89" s="1236"/>
      <c r="J89" s="1236"/>
      <c r="K89" s="1236"/>
      <c r="L89" s="1236"/>
      <c r="M89" s="1731">
        <v>69400</v>
      </c>
      <c r="N89" s="1236"/>
      <c r="O89" s="1236"/>
      <c r="P89" s="1732">
        <f>SUM(I89:O89)</f>
        <v>69400</v>
      </c>
      <c r="Q89" s="1237"/>
    </row>
    <row r="90" spans="1:17" ht="18" thickBot="1" x14ac:dyDescent="0.4">
      <c r="A90" s="735">
        <v>81</v>
      </c>
      <c r="B90" s="729"/>
      <c r="C90" s="1232"/>
      <c r="D90" s="641" t="s">
        <v>927</v>
      </c>
      <c r="E90" s="1233"/>
      <c r="F90" s="1233"/>
      <c r="G90" s="1247"/>
      <c r="H90" s="1234"/>
      <c r="I90" s="1233"/>
      <c r="J90" s="1233"/>
      <c r="K90" s="1233"/>
      <c r="L90" s="1233"/>
      <c r="M90" s="1827">
        <f>SUM(M89)</f>
        <v>69400</v>
      </c>
      <c r="N90" s="1233"/>
      <c r="O90" s="1233"/>
      <c r="P90" s="730">
        <f>SUM(I90:O90)</f>
        <v>69400</v>
      </c>
      <c r="Q90" s="1248"/>
    </row>
    <row r="91" spans="1:17" ht="18" thickTop="1" x14ac:dyDescent="0.35">
      <c r="A91" s="735">
        <v>82</v>
      </c>
      <c r="B91" s="729"/>
      <c r="C91" s="1799"/>
      <c r="D91" s="1800" t="s">
        <v>768</v>
      </c>
      <c r="E91" s="1815">
        <f>E88+E82+E78+E85</f>
        <v>1339001</v>
      </c>
      <c r="F91" s="1815">
        <f t="shared" ref="F91:G91" si="10">F88+F82+F78</f>
        <v>0</v>
      </c>
      <c r="G91" s="1841">
        <f t="shared" si="10"/>
        <v>0</v>
      </c>
      <c r="H91" s="1842"/>
      <c r="I91" s="1815"/>
      <c r="J91" s="1815"/>
      <c r="K91" s="1815"/>
      <c r="L91" s="1815"/>
      <c r="M91" s="1815"/>
      <c r="N91" s="1815"/>
      <c r="O91" s="1815"/>
      <c r="P91" s="1843"/>
      <c r="Q91" s="1844"/>
    </row>
    <row r="92" spans="1:17" x14ac:dyDescent="0.35">
      <c r="A92" s="735">
        <v>83</v>
      </c>
      <c r="B92" s="729"/>
      <c r="C92" s="447"/>
      <c r="D92" s="1004" t="s">
        <v>292</v>
      </c>
      <c r="E92" s="1236"/>
      <c r="F92" s="1236"/>
      <c r="G92" s="734"/>
      <c r="H92" s="1238"/>
      <c r="I92" s="934">
        <f>I82+I78</f>
        <v>0</v>
      </c>
      <c r="J92" s="934">
        <f t="shared" ref="J92:O92" si="11">J82+J78</f>
        <v>0</v>
      </c>
      <c r="K92" s="934">
        <f t="shared" si="11"/>
        <v>0</v>
      </c>
      <c r="L92" s="934">
        <f t="shared" si="11"/>
        <v>0</v>
      </c>
      <c r="M92" s="934">
        <f t="shared" si="11"/>
        <v>1025025</v>
      </c>
      <c r="N92" s="934">
        <f t="shared" si="11"/>
        <v>0</v>
      </c>
      <c r="O92" s="934">
        <f t="shared" si="11"/>
        <v>0</v>
      </c>
      <c r="P92" s="966">
        <f>P82+P78</f>
        <v>1025025</v>
      </c>
      <c r="Q92" s="1237"/>
    </row>
    <row r="93" spans="1:17" x14ac:dyDescent="0.35">
      <c r="A93" s="735">
        <v>84</v>
      </c>
      <c r="B93" s="729"/>
      <c r="C93" s="447"/>
      <c r="D93" s="1499" t="s">
        <v>929</v>
      </c>
      <c r="E93" s="1236"/>
      <c r="F93" s="1236"/>
      <c r="G93" s="734"/>
      <c r="H93" s="1238"/>
      <c r="I93" s="1736">
        <f>I89+I83+I79+I86</f>
        <v>0</v>
      </c>
      <c r="J93" s="1736">
        <f t="shared" ref="J93:P93" si="12">J89+J83+J79+J86</f>
        <v>0</v>
      </c>
      <c r="K93" s="1736">
        <f t="shared" si="12"/>
        <v>0</v>
      </c>
      <c r="L93" s="1736">
        <f t="shared" si="12"/>
        <v>0</v>
      </c>
      <c r="M93" s="1736">
        <f t="shared" si="12"/>
        <v>313976</v>
      </c>
      <c r="N93" s="1736">
        <f t="shared" si="12"/>
        <v>0</v>
      </c>
      <c r="O93" s="1736">
        <f t="shared" si="12"/>
        <v>0</v>
      </c>
      <c r="P93" s="1845">
        <f t="shared" si="12"/>
        <v>313976</v>
      </c>
      <c r="Q93" s="1237"/>
    </row>
    <row r="94" spans="1:17" ht="18" thickBot="1" x14ac:dyDescent="0.4">
      <c r="A94" s="735">
        <v>85</v>
      </c>
      <c r="B94" s="729"/>
      <c r="C94" s="1818"/>
      <c r="D94" s="1456" t="s">
        <v>927</v>
      </c>
      <c r="E94" s="1819"/>
      <c r="F94" s="1819"/>
      <c r="G94" s="1839"/>
      <c r="H94" s="1846"/>
      <c r="I94" s="1819">
        <f>SUM(I92:I93)</f>
        <v>0</v>
      </c>
      <c r="J94" s="1819">
        <f t="shared" ref="J94:O94" si="13">SUM(J92:J93)</f>
        <v>0</v>
      </c>
      <c r="K94" s="1819">
        <f t="shared" si="13"/>
        <v>0</v>
      </c>
      <c r="L94" s="1819">
        <f t="shared" si="13"/>
        <v>0</v>
      </c>
      <c r="M94" s="1819">
        <f t="shared" si="13"/>
        <v>1339001</v>
      </c>
      <c r="N94" s="1819">
        <f t="shared" si="13"/>
        <v>0</v>
      </c>
      <c r="O94" s="1819">
        <f t="shared" si="13"/>
        <v>0</v>
      </c>
      <c r="P94" s="1839">
        <f>SUM(P92:P93)</f>
        <v>1339001</v>
      </c>
      <c r="Q94" s="1847"/>
    </row>
    <row r="95" spans="1:17" ht="36.75" thickTop="1" x14ac:dyDescent="0.35">
      <c r="A95" s="735">
        <v>86</v>
      </c>
      <c r="B95" s="602"/>
      <c r="C95" s="406">
        <v>6</v>
      </c>
      <c r="D95" s="1848" t="s">
        <v>726</v>
      </c>
      <c r="E95" s="416">
        <f>F95+G95+P98</f>
        <v>4290</v>
      </c>
      <c r="F95" s="725"/>
      <c r="G95" s="417">
        <v>3</v>
      </c>
      <c r="H95" s="946"/>
      <c r="I95" s="943"/>
      <c r="J95" s="722"/>
      <c r="K95" s="722"/>
      <c r="L95" s="722"/>
      <c r="M95" s="960"/>
      <c r="N95" s="722"/>
      <c r="O95" s="722"/>
      <c r="P95" s="730"/>
      <c r="Q95" s="726"/>
    </row>
    <row r="96" spans="1:17" x14ac:dyDescent="0.35">
      <c r="A96" s="735">
        <v>87</v>
      </c>
      <c r="B96" s="602"/>
      <c r="C96" s="447"/>
      <c r="D96" s="940" t="s">
        <v>292</v>
      </c>
      <c r="E96" s="416"/>
      <c r="F96" s="725"/>
      <c r="G96" s="417"/>
      <c r="H96" s="946"/>
      <c r="I96" s="943"/>
      <c r="J96" s="722"/>
      <c r="K96" s="722"/>
      <c r="L96" s="722"/>
      <c r="M96" s="960">
        <v>2635</v>
      </c>
      <c r="N96" s="722"/>
      <c r="O96" s="722"/>
      <c r="P96" s="930">
        <f>SUM(I96:O96)</f>
        <v>2635</v>
      </c>
      <c r="Q96" s="726"/>
    </row>
    <row r="97" spans="1:17" x14ac:dyDescent="0.35">
      <c r="A97" s="735">
        <v>88</v>
      </c>
      <c r="B97" s="1849"/>
      <c r="C97" s="447"/>
      <c r="D97" s="1499" t="s">
        <v>949</v>
      </c>
      <c r="E97" s="416"/>
      <c r="F97" s="725"/>
      <c r="G97" s="1738"/>
      <c r="H97" s="946"/>
      <c r="I97" s="943"/>
      <c r="J97" s="943"/>
      <c r="K97" s="1730">
        <v>1652</v>
      </c>
      <c r="L97" s="943"/>
      <c r="M97" s="964"/>
      <c r="N97" s="943"/>
      <c r="O97" s="943"/>
      <c r="P97" s="1732">
        <f>SUM(I97:O97)</f>
        <v>1652</v>
      </c>
      <c r="Q97" s="726"/>
    </row>
    <row r="98" spans="1:17" ht="18" thickBot="1" x14ac:dyDescent="0.4">
      <c r="A98" s="735">
        <v>89</v>
      </c>
      <c r="B98" s="1849"/>
      <c r="C98" s="1818"/>
      <c r="D98" s="1456" t="s">
        <v>927</v>
      </c>
      <c r="E98" s="1850"/>
      <c r="F98" s="1851"/>
      <c r="G98" s="1852"/>
      <c r="H98" s="1853"/>
      <c r="I98" s="1854"/>
      <c r="J98" s="1854"/>
      <c r="K98" s="1854">
        <f>SUM(K97)</f>
        <v>1652</v>
      </c>
      <c r="L98" s="1854"/>
      <c r="M98" s="1854">
        <f>SUM(M96:M97)</f>
        <v>2635</v>
      </c>
      <c r="N98" s="1854"/>
      <c r="O98" s="1854"/>
      <c r="P98" s="1855">
        <f>SUM(P96:P97)</f>
        <v>4287</v>
      </c>
      <c r="Q98" s="1833"/>
    </row>
    <row r="99" spans="1:17" ht="18" thickTop="1" x14ac:dyDescent="0.35">
      <c r="A99" s="735">
        <v>90</v>
      </c>
      <c r="B99" s="1849"/>
      <c r="C99" s="991"/>
      <c r="D99" s="1856" t="s">
        <v>1090</v>
      </c>
      <c r="E99" s="1246">
        <f>E95</f>
        <v>4290</v>
      </c>
      <c r="F99" s="1246">
        <f t="shared" ref="F99:G99" si="14">F95</f>
        <v>0</v>
      </c>
      <c r="G99" s="1246">
        <f t="shared" si="14"/>
        <v>3</v>
      </c>
      <c r="H99" s="945"/>
      <c r="I99" s="1192"/>
      <c r="J99" s="1192"/>
      <c r="K99" s="1192"/>
      <c r="L99" s="1192"/>
      <c r="M99" s="1857"/>
      <c r="N99" s="1192"/>
      <c r="O99" s="1192"/>
      <c r="P99" s="1858"/>
      <c r="Q99" s="723"/>
    </row>
    <row r="100" spans="1:17" x14ac:dyDescent="0.35">
      <c r="A100" s="735">
        <v>91</v>
      </c>
      <c r="B100" s="1849"/>
      <c r="C100" s="447"/>
      <c r="D100" s="1004" t="s">
        <v>292</v>
      </c>
      <c r="E100" s="416"/>
      <c r="F100" s="725"/>
      <c r="G100" s="1738"/>
      <c r="H100" s="946"/>
      <c r="I100" s="944">
        <f>I96</f>
        <v>0</v>
      </c>
      <c r="J100" s="944">
        <f t="shared" ref="J100:P101" si="15">J96</f>
        <v>0</v>
      </c>
      <c r="K100" s="944">
        <f t="shared" si="15"/>
        <v>0</v>
      </c>
      <c r="L100" s="944">
        <f t="shared" si="15"/>
        <v>0</v>
      </c>
      <c r="M100" s="944">
        <f t="shared" si="15"/>
        <v>2635</v>
      </c>
      <c r="N100" s="944">
        <f t="shared" si="15"/>
        <v>0</v>
      </c>
      <c r="O100" s="944">
        <f t="shared" si="15"/>
        <v>0</v>
      </c>
      <c r="P100" s="944">
        <f t="shared" si="15"/>
        <v>2635</v>
      </c>
      <c r="Q100" s="726"/>
    </row>
    <row r="101" spans="1:17" x14ac:dyDescent="0.35">
      <c r="A101" s="735">
        <v>92</v>
      </c>
      <c r="B101" s="1849"/>
      <c r="C101" s="447"/>
      <c r="D101" s="1499" t="s">
        <v>949</v>
      </c>
      <c r="E101" s="416"/>
      <c r="F101" s="725"/>
      <c r="G101" s="1738"/>
      <c r="H101" s="946"/>
      <c r="I101" s="1730">
        <f>I97</f>
        <v>0</v>
      </c>
      <c r="J101" s="1730">
        <f t="shared" si="15"/>
        <v>0</v>
      </c>
      <c r="K101" s="1730">
        <f t="shared" si="15"/>
        <v>1652</v>
      </c>
      <c r="L101" s="1730">
        <f t="shared" si="15"/>
        <v>0</v>
      </c>
      <c r="M101" s="1730">
        <f t="shared" si="15"/>
        <v>0</v>
      </c>
      <c r="N101" s="1730">
        <f t="shared" si="15"/>
        <v>0</v>
      </c>
      <c r="O101" s="1730">
        <f t="shared" si="15"/>
        <v>0</v>
      </c>
      <c r="P101" s="1740">
        <f>SUM(I101:O101)</f>
        <v>1652</v>
      </c>
      <c r="Q101" s="726"/>
    </row>
    <row r="102" spans="1:17" ht="18" thickBot="1" x14ac:dyDescent="0.4">
      <c r="A102" s="735">
        <v>93</v>
      </c>
      <c r="B102" s="1849"/>
      <c r="C102" s="1818"/>
      <c r="D102" s="1456" t="s">
        <v>927</v>
      </c>
      <c r="E102" s="1850"/>
      <c r="F102" s="1851"/>
      <c r="G102" s="1852"/>
      <c r="H102" s="1853"/>
      <c r="I102" s="1822">
        <f>SUM(I100:I101)</f>
        <v>0</v>
      </c>
      <c r="J102" s="1822">
        <f t="shared" ref="J102:O102" si="16">SUM(J100:J101)</f>
        <v>0</v>
      </c>
      <c r="K102" s="1822">
        <f t="shared" si="16"/>
        <v>1652</v>
      </c>
      <c r="L102" s="1822">
        <f t="shared" si="16"/>
        <v>0</v>
      </c>
      <c r="M102" s="1822">
        <f t="shared" si="16"/>
        <v>2635</v>
      </c>
      <c r="N102" s="1822">
        <f t="shared" si="16"/>
        <v>0</v>
      </c>
      <c r="O102" s="1822">
        <f t="shared" si="16"/>
        <v>0</v>
      </c>
      <c r="P102" s="1859">
        <f>SUM(P100:P101)</f>
        <v>4287</v>
      </c>
      <c r="Q102" s="1833"/>
    </row>
    <row r="103" spans="1:17" ht="18.75" thickTop="1" x14ac:dyDescent="0.35">
      <c r="A103" s="735">
        <v>94</v>
      </c>
      <c r="B103" s="1849"/>
      <c r="C103" s="991">
        <v>7</v>
      </c>
      <c r="D103" s="999" t="s">
        <v>1091</v>
      </c>
      <c r="E103" s="413"/>
      <c r="F103" s="411"/>
      <c r="G103" s="1860"/>
      <c r="H103" s="945"/>
      <c r="I103" s="1192"/>
      <c r="J103" s="1192"/>
      <c r="K103" s="1192"/>
      <c r="L103" s="1192"/>
      <c r="M103" s="1857"/>
      <c r="N103" s="1192"/>
      <c r="O103" s="1192"/>
      <c r="P103" s="1858"/>
      <c r="Q103" s="723"/>
    </row>
    <row r="104" spans="1:17" x14ac:dyDescent="0.35">
      <c r="A104" s="735">
        <v>95</v>
      </c>
      <c r="B104" s="1861"/>
      <c r="C104" s="447"/>
      <c r="D104" s="970" t="s">
        <v>541</v>
      </c>
      <c r="E104" s="416">
        <f>F104+G104+P106+18664</f>
        <v>205991</v>
      </c>
      <c r="F104" s="725"/>
      <c r="G104" s="1738"/>
      <c r="H104" s="946"/>
      <c r="I104" s="943"/>
      <c r="J104" s="943"/>
      <c r="K104" s="943"/>
      <c r="L104" s="943"/>
      <c r="M104" s="964"/>
      <c r="N104" s="943"/>
      <c r="O104" s="943"/>
      <c r="P104" s="1862"/>
      <c r="Q104" s="726"/>
    </row>
    <row r="105" spans="1:17" x14ac:dyDescent="0.35">
      <c r="A105" s="735">
        <v>96</v>
      </c>
      <c r="B105" s="1861"/>
      <c r="C105" s="447"/>
      <c r="D105" s="1499" t="s">
        <v>1088</v>
      </c>
      <c r="E105" s="416"/>
      <c r="F105" s="725"/>
      <c r="G105" s="1738"/>
      <c r="H105" s="946"/>
      <c r="I105" s="943"/>
      <c r="J105" s="943"/>
      <c r="K105" s="1730">
        <f>80774+106553</f>
        <v>187327</v>
      </c>
      <c r="L105" s="943"/>
      <c r="M105" s="964"/>
      <c r="N105" s="943"/>
      <c r="O105" s="943"/>
      <c r="P105" s="1732">
        <f>SUM(I105:O105)</f>
        <v>187327</v>
      </c>
      <c r="Q105" s="726"/>
    </row>
    <row r="106" spans="1:17" x14ac:dyDescent="0.35">
      <c r="A106" s="735">
        <v>97</v>
      </c>
      <c r="B106" s="1861"/>
      <c r="C106" s="447"/>
      <c r="D106" s="641" t="s">
        <v>927</v>
      </c>
      <c r="E106" s="416"/>
      <c r="F106" s="725"/>
      <c r="G106" s="1738"/>
      <c r="H106" s="946"/>
      <c r="I106" s="943"/>
      <c r="J106" s="943"/>
      <c r="K106" s="943">
        <f t="shared" ref="K106" si="17">SUM(K105)</f>
        <v>187327</v>
      </c>
      <c r="L106" s="943"/>
      <c r="M106" s="943"/>
      <c r="N106" s="943"/>
      <c r="O106" s="943"/>
      <c r="P106" s="730">
        <f>SUM(I106:O106)</f>
        <v>187327</v>
      </c>
      <c r="Q106" s="726"/>
    </row>
    <row r="107" spans="1:17" x14ac:dyDescent="0.35">
      <c r="A107" s="735">
        <v>98</v>
      </c>
      <c r="B107" s="1861"/>
      <c r="C107" s="447"/>
      <c r="D107" s="407" t="s">
        <v>1092</v>
      </c>
      <c r="E107" s="416">
        <f>F107+G107+P109</f>
        <v>74930</v>
      </c>
      <c r="F107" s="725"/>
      <c r="G107" s="1738"/>
      <c r="H107" s="946"/>
      <c r="I107" s="943"/>
      <c r="J107" s="943"/>
      <c r="K107" s="943"/>
      <c r="L107" s="943"/>
      <c r="M107" s="943"/>
      <c r="N107" s="943"/>
      <c r="O107" s="943"/>
      <c r="P107" s="1739"/>
      <c r="Q107" s="726"/>
    </row>
    <row r="108" spans="1:17" x14ac:dyDescent="0.35">
      <c r="A108" s="735">
        <v>99</v>
      </c>
      <c r="B108" s="1861"/>
      <c r="C108" s="447"/>
      <c r="D108" s="1499" t="s">
        <v>1088</v>
      </c>
      <c r="E108" s="416"/>
      <c r="F108" s="725"/>
      <c r="G108" s="1738"/>
      <c r="H108" s="946"/>
      <c r="I108" s="943"/>
      <c r="J108" s="943"/>
      <c r="K108" s="943"/>
      <c r="L108" s="943"/>
      <c r="M108" s="1730">
        <v>74930</v>
      </c>
      <c r="N108" s="943"/>
      <c r="O108" s="943"/>
      <c r="P108" s="1732">
        <f>SUM(I108:O108)</f>
        <v>74930</v>
      </c>
      <c r="Q108" s="726"/>
    </row>
    <row r="109" spans="1:17" x14ac:dyDescent="0.35">
      <c r="A109" s="735">
        <v>100</v>
      </c>
      <c r="B109" s="1861"/>
      <c r="C109" s="447"/>
      <c r="D109" s="641" t="s">
        <v>927</v>
      </c>
      <c r="E109" s="416"/>
      <c r="F109" s="725"/>
      <c r="G109" s="1738"/>
      <c r="H109" s="946"/>
      <c r="I109" s="943"/>
      <c r="J109" s="943"/>
      <c r="K109" s="943"/>
      <c r="L109" s="943"/>
      <c r="M109" s="943">
        <f>SUM(M108)</f>
        <v>74930</v>
      </c>
      <c r="N109" s="943"/>
      <c r="O109" s="943"/>
      <c r="P109" s="730">
        <f>SUM(I109:O109)</f>
        <v>74930</v>
      </c>
      <c r="Q109" s="726"/>
    </row>
    <row r="110" spans="1:17" x14ac:dyDescent="0.35">
      <c r="A110" s="735">
        <v>101</v>
      </c>
      <c r="B110" s="1861"/>
      <c r="C110" s="447"/>
      <c r="D110" s="407" t="s">
        <v>1093</v>
      </c>
      <c r="E110" s="416">
        <f>F110+G110+P112</f>
        <v>44450</v>
      </c>
      <c r="F110" s="725"/>
      <c r="G110" s="1738"/>
      <c r="H110" s="946"/>
      <c r="I110" s="943"/>
      <c r="J110" s="943"/>
      <c r="K110" s="943"/>
      <c r="L110" s="943"/>
      <c r="M110" s="943"/>
      <c r="N110" s="943"/>
      <c r="O110" s="943"/>
      <c r="P110" s="1739"/>
      <c r="Q110" s="726"/>
    </row>
    <row r="111" spans="1:17" x14ac:dyDescent="0.35">
      <c r="A111" s="735">
        <v>102</v>
      </c>
      <c r="B111" s="1861"/>
      <c r="C111" s="447"/>
      <c r="D111" s="1499" t="s">
        <v>1088</v>
      </c>
      <c r="E111" s="416"/>
      <c r="F111" s="725"/>
      <c r="G111" s="1738"/>
      <c r="H111" s="946"/>
      <c r="I111" s="943"/>
      <c r="J111" s="943"/>
      <c r="K111" s="943"/>
      <c r="L111" s="943"/>
      <c r="M111" s="1730">
        <v>44450</v>
      </c>
      <c r="N111" s="943"/>
      <c r="O111" s="943"/>
      <c r="P111" s="1732">
        <f>SUM(I111:O111)</f>
        <v>44450</v>
      </c>
      <c r="Q111" s="726"/>
    </row>
    <row r="112" spans="1:17" x14ac:dyDescent="0.35">
      <c r="A112" s="735">
        <v>103</v>
      </c>
      <c r="B112" s="1861"/>
      <c r="C112" s="447"/>
      <c r="D112" s="641" t="s">
        <v>927</v>
      </c>
      <c r="E112" s="416"/>
      <c r="F112" s="725"/>
      <c r="G112" s="1738"/>
      <c r="H112" s="946"/>
      <c r="I112" s="943"/>
      <c r="J112" s="943"/>
      <c r="K112" s="943"/>
      <c r="L112" s="943"/>
      <c r="M112" s="943">
        <f>SUM(M111)</f>
        <v>44450</v>
      </c>
      <c r="N112" s="943"/>
      <c r="O112" s="943"/>
      <c r="P112" s="730">
        <f>SUM(I112:O112)</f>
        <v>44450</v>
      </c>
      <c r="Q112" s="726"/>
    </row>
    <row r="113" spans="1:17" x14ac:dyDescent="0.35">
      <c r="A113" s="735">
        <v>104</v>
      </c>
      <c r="B113" s="1861"/>
      <c r="C113" s="447"/>
      <c r="D113" s="407" t="s">
        <v>1094</v>
      </c>
      <c r="E113" s="416">
        <f>F113+G113+P115</f>
        <v>30480</v>
      </c>
      <c r="F113" s="725"/>
      <c r="G113" s="1738"/>
      <c r="H113" s="946"/>
      <c r="I113" s="943"/>
      <c r="J113" s="943"/>
      <c r="K113" s="943"/>
      <c r="L113" s="943"/>
      <c r="M113" s="943"/>
      <c r="N113" s="943"/>
      <c r="O113" s="943"/>
      <c r="P113" s="1739"/>
      <c r="Q113" s="726"/>
    </row>
    <row r="114" spans="1:17" x14ac:dyDescent="0.35">
      <c r="A114" s="735">
        <v>105</v>
      </c>
      <c r="B114" s="1861"/>
      <c r="C114" s="447"/>
      <c r="D114" s="1499" t="s">
        <v>1088</v>
      </c>
      <c r="E114" s="416"/>
      <c r="F114" s="725"/>
      <c r="G114" s="1738"/>
      <c r="H114" s="946"/>
      <c r="I114" s="943"/>
      <c r="J114" s="943"/>
      <c r="K114" s="943"/>
      <c r="L114" s="943"/>
      <c r="M114" s="1730">
        <v>30480</v>
      </c>
      <c r="N114" s="943"/>
      <c r="O114" s="943"/>
      <c r="P114" s="1732">
        <f>SUM(I114:O114)</f>
        <v>30480</v>
      </c>
      <c r="Q114" s="726"/>
    </row>
    <row r="115" spans="1:17" x14ac:dyDescent="0.35">
      <c r="A115" s="735">
        <v>106</v>
      </c>
      <c r="B115" s="1861"/>
      <c r="C115" s="447"/>
      <c r="D115" s="641" t="s">
        <v>927</v>
      </c>
      <c r="E115" s="416"/>
      <c r="F115" s="725"/>
      <c r="G115" s="1738"/>
      <c r="H115" s="946"/>
      <c r="I115" s="943"/>
      <c r="J115" s="943"/>
      <c r="K115" s="943"/>
      <c r="L115" s="943"/>
      <c r="M115" s="943">
        <f>SUM(M114)</f>
        <v>30480</v>
      </c>
      <c r="N115" s="943"/>
      <c r="O115" s="943"/>
      <c r="P115" s="730">
        <f>SUM(I115:O115)</f>
        <v>30480</v>
      </c>
      <c r="Q115" s="726"/>
    </row>
    <row r="116" spans="1:17" x14ac:dyDescent="0.35">
      <c r="A116" s="735">
        <v>107</v>
      </c>
      <c r="B116" s="1861"/>
      <c r="C116" s="1003"/>
      <c r="D116" s="407" t="s">
        <v>1095</v>
      </c>
      <c r="E116" s="416">
        <f>F116+G116+P118</f>
        <v>38100</v>
      </c>
      <c r="F116" s="1013"/>
      <c r="G116" s="1779"/>
      <c r="H116" s="946"/>
      <c r="I116" s="943"/>
      <c r="J116" s="943"/>
      <c r="K116" s="943"/>
      <c r="L116" s="943"/>
      <c r="M116" s="964"/>
      <c r="N116" s="943"/>
      <c r="O116" s="943"/>
      <c r="P116" s="1739"/>
      <c r="Q116" s="726"/>
    </row>
    <row r="117" spans="1:17" x14ac:dyDescent="0.35">
      <c r="A117" s="735">
        <v>108</v>
      </c>
      <c r="B117" s="1861"/>
      <c r="C117" s="1003"/>
      <c r="D117" s="1499" t="s">
        <v>1088</v>
      </c>
      <c r="E117" s="1012"/>
      <c r="F117" s="1013"/>
      <c r="G117" s="1779"/>
      <c r="H117" s="946"/>
      <c r="I117" s="943"/>
      <c r="J117" s="943"/>
      <c r="K117" s="943"/>
      <c r="L117" s="943"/>
      <c r="M117" s="1730">
        <v>38100</v>
      </c>
      <c r="N117" s="943"/>
      <c r="O117" s="943"/>
      <c r="P117" s="1732">
        <f>SUM(I117:O117)</f>
        <v>38100</v>
      </c>
      <c r="Q117" s="726"/>
    </row>
    <row r="118" spans="1:17" ht="18" thickBot="1" x14ac:dyDescent="0.4">
      <c r="A118" s="735">
        <v>109</v>
      </c>
      <c r="B118" s="1861"/>
      <c r="C118" s="1003"/>
      <c r="D118" s="641" t="s">
        <v>927</v>
      </c>
      <c r="E118" s="1012"/>
      <c r="F118" s="1013"/>
      <c r="G118" s="1779"/>
      <c r="H118" s="946"/>
      <c r="I118" s="943"/>
      <c r="J118" s="943"/>
      <c r="K118" s="943"/>
      <c r="L118" s="943"/>
      <c r="M118" s="943">
        <f>SUM(M117)</f>
        <v>38100</v>
      </c>
      <c r="N118" s="943"/>
      <c r="O118" s="943"/>
      <c r="P118" s="730">
        <f>SUM(I118:O118)</f>
        <v>38100</v>
      </c>
      <c r="Q118" s="726"/>
    </row>
    <row r="119" spans="1:17" ht="18" thickTop="1" x14ac:dyDescent="0.35">
      <c r="A119" s="735">
        <v>110</v>
      </c>
      <c r="B119" s="602"/>
      <c r="C119" s="1863"/>
      <c r="D119" s="1800" t="s">
        <v>1096</v>
      </c>
      <c r="E119" s="1864">
        <f>SUM(E104:E118)</f>
        <v>393951</v>
      </c>
      <c r="F119" s="1865">
        <f>SUM(F104:F118)</f>
        <v>0</v>
      </c>
      <c r="G119" s="1865">
        <f>SUM(G104:G118)</f>
        <v>0</v>
      </c>
      <c r="H119" s="1866"/>
      <c r="I119" s="1867"/>
      <c r="J119" s="1867"/>
      <c r="K119" s="1867"/>
      <c r="L119" s="1867"/>
      <c r="M119" s="1867"/>
      <c r="N119" s="1867"/>
      <c r="O119" s="1867"/>
      <c r="P119" s="1868"/>
      <c r="Q119" s="1869"/>
    </row>
    <row r="120" spans="1:17" x14ac:dyDescent="0.35">
      <c r="A120" s="735">
        <v>111</v>
      </c>
      <c r="B120" s="602"/>
      <c r="C120" s="447"/>
      <c r="D120" s="1499" t="s">
        <v>929</v>
      </c>
      <c r="E120" s="416"/>
      <c r="F120" s="725"/>
      <c r="G120" s="417"/>
      <c r="H120" s="946"/>
      <c r="I120" s="1731">
        <f>I105+I108+I111+I114+I117</f>
        <v>0</v>
      </c>
      <c r="J120" s="1731">
        <f t="shared" ref="J120:O120" si="18">J105+J108+J111+J114+J117</f>
        <v>0</v>
      </c>
      <c r="K120" s="1731">
        <f t="shared" si="18"/>
        <v>187327</v>
      </c>
      <c r="L120" s="1731">
        <f t="shared" si="18"/>
        <v>0</v>
      </c>
      <c r="M120" s="1731">
        <f t="shared" si="18"/>
        <v>187960</v>
      </c>
      <c r="N120" s="1731">
        <f t="shared" si="18"/>
        <v>0</v>
      </c>
      <c r="O120" s="1731">
        <f t="shared" si="18"/>
        <v>0</v>
      </c>
      <c r="P120" s="1732">
        <f>SUM(I120:O120)</f>
        <v>375287</v>
      </c>
      <c r="Q120" s="726"/>
    </row>
    <row r="121" spans="1:17" ht="18" thickBot="1" x14ac:dyDescent="0.4">
      <c r="A121" s="735">
        <v>112</v>
      </c>
      <c r="B121" s="1870"/>
      <c r="C121" s="1871"/>
      <c r="D121" s="1480" t="s">
        <v>927</v>
      </c>
      <c r="E121" s="1872"/>
      <c r="F121" s="1873"/>
      <c r="G121" s="1874"/>
      <c r="H121" s="1744"/>
      <c r="I121" s="1875">
        <f>SUM(I120)</f>
        <v>0</v>
      </c>
      <c r="J121" s="1875">
        <f t="shared" ref="J121:O121" si="19">SUM(J120)</f>
        <v>0</v>
      </c>
      <c r="K121" s="1875">
        <f t="shared" si="19"/>
        <v>187327</v>
      </c>
      <c r="L121" s="1875">
        <f t="shared" si="19"/>
        <v>0</v>
      </c>
      <c r="M121" s="1875">
        <f t="shared" si="19"/>
        <v>187960</v>
      </c>
      <c r="N121" s="1875">
        <f t="shared" si="19"/>
        <v>0</v>
      </c>
      <c r="O121" s="1875">
        <f t="shared" si="19"/>
        <v>0</v>
      </c>
      <c r="P121" s="1781">
        <f>SUM(I121:O121)</f>
        <v>375287</v>
      </c>
      <c r="Q121" s="1747"/>
    </row>
    <row r="122" spans="1:17" x14ac:dyDescent="0.3">
      <c r="A122" s="735">
        <v>113</v>
      </c>
      <c r="B122" s="2152" t="s">
        <v>13</v>
      </c>
      <c r="C122" s="2153"/>
      <c r="D122" s="2153"/>
      <c r="E122" s="2153"/>
      <c r="F122" s="2153"/>
      <c r="G122" s="2154"/>
      <c r="H122" s="1748"/>
      <c r="I122" s="1749"/>
      <c r="J122" s="1749"/>
      <c r="K122" s="1749"/>
      <c r="L122" s="1749"/>
      <c r="M122" s="1749"/>
      <c r="N122" s="1749"/>
      <c r="O122" s="1749"/>
      <c r="P122" s="1749"/>
      <c r="Q122" s="1750"/>
    </row>
    <row r="123" spans="1:17" x14ac:dyDescent="0.3">
      <c r="A123" s="735">
        <v>114</v>
      </c>
      <c r="B123" s="1751"/>
      <c r="C123" s="1752"/>
      <c r="D123" s="2161" t="s">
        <v>292</v>
      </c>
      <c r="E123" s="2162"/>
      <c r="F123" s="2162"/>
      <c r="G123" s="2163"/>
      <c r="H123" s="1753"/>
      <c r="I123" s="1784">
        <f t="shared" ref="I123:P123" si="20">I100+I92+I73+I64+I51+I38</f>
        <v>2726</v>
      </c>
      <c r="J123" s="1754">
        <f t="shared" si="20"/>
        <v>386</v>
      </c>
      <c r="K123" s="1754">
        <f t="shared" si="20"/>
        <v>222733</v>
      </c>
      <c r="L123" s="1754">
        <f t="shared" si="20"/>
        <v>78400</v>
      </c>
      <c r="M123" s="1754">
        <f t="shared" si="20"/>
        <v>4493363</v>
      </c>
      <c r="N123" s="1754">
        <f t="shared" si="20"/>
        <v>2500</v>
      </c>
      <c r="O123" s="1754">
        <f t="shared" si="20"/>
        <v>0</v>
      </c>
      <c r="P123" s="1754">
        <f t="shared" si="20"/>
        <v>4800108</v>
      </c>
      <c r="Q123" s="1785"/>
    </row>
    <row r="124" spans="1:17" x14ac:dyDescent="0.3">
      <c r="A124" s="735">
        <v>115</v>
      </c>
      <c r="B124" s="1757"/>
      <c r="C124" s="1758"/>
      <c r="D124" s="2058" t="s">
        <v>929</v>
      </c>
      <c r="E124" s="2059"/>
      <c r="F124" s="2059"/>
      <c r="G124" s="2060"/>
      <c r="H124" s="1759"/>
      <c r="I124" s="1760">
        <f t="shared" ref="I124:P124" si="21">I101+I93+I74+I65+I52+I39+I120</f>
        <v>3985</v>
      </c>
      <c r="J124" s="1760">
        <f t="shared" si="21"/>
        <v>608</v>
      </c>
      <c r="K124" s="1760">
        <f t="shared" si="21"/>
        <v>210830</v>
      </c>
      <c r="L124" s="1760">
        <f t="shared" si="21"/>
        <v>-3400</v>
      </c>
      <c r="M124" s="1760">
        <f t="shared" si="21"/>
        <v>498244</v>
      </c>
      <c r="N124" s="1760">
        <f t="shared" si="21"/>
        <v>0</v>
      </c>
      <c r="O124" s="1760">
        <f t="shared" si="21"/>
        <v>0</v>
      </c>
      <c r="P124" s="1760">
        <f t="shared" si="21"/>
        <v>710267</v>
      </c>
      <c r="Q124" s="1787"/>
    </row>
    <row r="125" spans="1:17" ht="18" thickBot="1" x14ac:dyDescent="0.4">
      <c r="A125" s="735">
        <v>116</v>
      </c>
      <c r="B125" s="1763"/>
      <c r="C125" s="1764"/>
      <c r="D125" s="2067" t="s">
        <v>927</v>
      </c>
      <c r="E125" s="2068"/>
      <c r="F125" s="2068"/>
      <c r="G125" s="2069"/>
      <c r="H125" s="1765"/>
      <c r="I125" s="1766">
        <f>SUM(I123:I124)</f>
        <v>6711</v>
      </c>
      <c r="J125" s="1766">
        <f t="shared" ref="J125:O125" si="22">SUM(J123:J124)</f>
        <v>994</v>
      </c>
      <c r="K125" s="1766">
        <f t="shared" si="22"/>
        <v>433563</v>
      </c>
      <c r="L125" s="1766">
        <f t="shared" si="22"/>
        <v>75000</v>
      </c>
      <c r="M125" s="1766">
        <f t="shared" si="22"/>
        <v>4991607</v>
      </c>
      <c r="N125" s="1766">
        <f t="shared" si="22"/>
        <v>2500</v>
      </c>
      <c r="O125" s="1766">
        <f t="shared" si="22"/>
        <v>0</v>
      </c>
      <c r="P125" s="1789">
        <f>SUM(P123:P124)</f>
        <v>5510375</v>
      </c>
      <c r="Q125" s="1790"/>
    </row>
    <row r="126" spans="1:17" x14ac:dyDescent="0.35">
      <c r="B126" s="727" t="s">
        <v>27</v>
      </c>
      <c r="C126" s="728"/>
      <c r="D126" s="727"/>
      <c r="E126" s="418"/>
      <c r="F126" s="419"/>
      <c r="G126" s="418"/>
      <c r="H126" s="714"/>
      <c r="I126" s="418"/>
      <c r="J126" s="418"/>
      <c r="K126" s="418"/>
      <c r="L126" s="418"/>
      <c r="M126" s="418"/>
      <c r="N126" s="418"/>
      <c r="O126" s="418"/>
      <c r="P126" s="737"/>
      <c r="Q126" s="1373"/>
    </row>
    <row r="127" spans="1:17" x14ac:dyDescent="0.35">
      <c r="B127" s="727" t="s">
        <v>28</v>
      </c>
      <c r="C127" s="728"/>
      <c r="D127" s="727"/>
      <c r="E127" s="608"/>
      <c r="F127" s="419"/>
      <c r="G127" s="418"/>
      <c r="H127" s="714"/>
      <c r="I127" s="418"/>
      <c r="J127" s="418"/>
      <c r="K127" s="418"/>
      <c r="L127" s="418"/>
      <c r="M127" s="418"/>
      <c r="N127" s="418"/>
      <c r="O127" s="418"/>
      <c r="P127" s="737"/>
      <c r="Q127" s="1373"/>
    </row>
    <row r="128" spans="1:17" x14ac:dyDescent="0.35">
      <c r="B128" s="727" t="s">
        <v>29</v>
      </c>
      <c r="C128" s="728"/>
      <c r="D128" s="727"/>
      <c r="E128" s="608"/>
      <c r="F128" s="419"/>
      <c r="G128" s="418"/>
      <c r="H128" s="714"/>
      <c r="I128" s="418"/>
      <c r="J128" s="418"/>
      <c r="K128" s="418"/>
      <c r="L128" s="418"/>
      <c r="M128" s="418"/>
      <c r="N128" s="418"/>
      <c r="O128" s="418"/>
      <c r="P128" s="737"/>
      <c r="Q128" s="1373"/>
    </row>
    <row r="129" spans="2:17" x14ac:dyDescent="0.35">
      <c r="B129" s="415" t="s">
        <v>633</v>
      </c>
      <c r="C129" s="415"/>
      <c r="E129" s="1373"/>
      <c r="F129" s="1373"/>
      <c r="G129" s="1373"/>
      <c r="I129" s="1373"/>
      <c r="J129" s="1373"/>
      <c r="K129" s="1373"/>
      <c r="L129" s="1373"/>
      <c r="M129" s="1373"/>
      <c r="N129" s="1373"/>
      <c r="O129" s="1373"/>
      <c r="Q129" s="1373"/>
    </row>
  </sheetData>
  <mergeCells count="21">
    <mergeCell ref="B122:G122"/>
    <mergeCell ref="D123:G123"/>
    <mergeCell ref="D124:G124"/>
    <mergeCell ref="D125:G125"/>
    <mergeCell ref="R7:S7"/>
    <mergeCell ref="I8:L8"/>
    <mergeCell ref="M8:O8"/>
    <mergeCell ref="P8:P9"/>
    <mergeCell ref="I7:P7"/>
    <mergeCell ref="Q7:Q9"/>
    <mergeCell ref="C7:C9"/>
    <mergeCell ref="D7:D9"/>
    <mergeCell ref="E7:E9"/>
    <mergeCell ref="F7:F9"/>
    <mergeCell ref="G7:G9"/>
    <mergeCell ref="H7:H9"/>
    <mergeCell ref="I1:Q1"/>
    <mergeCell ref="A3:Q3"/>
    <mergeCell ref="A4:Q4"/>
    <mergeCell ref="B7:B9"/>
    <mergeCell ref="B2:F2"/>
  </mergeCells>
  <printOptions horizontalCentered="1"/>
  <pageMargins left="0.19685039370078741" right="0.19685039370078741" top="0.59055118110236227" bottom="0.59055118110236227" header="0.51181102362204722" footer="0.51181102362204722"/>
  <pageSetup paperSize="9" scale="58" fitToHeight="0" orientation="landscape" r:id="rId1"/>
  <headerFooter>
    <oddFooter>&amp;C-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0"/>
  <sheetViews>
    <sheetView view="pageBreakPreview" zoomScaleNormal="75" zoomScaleSheetLayoutView="100" workbookViewId="0">
      <selection activeCell="B2" sqref="B2:F2"/>
    </sheetView>
  </sheetViews>
  <sheetFormatPr defaultColWidth="9.140625" defaultRowHeight="16.5" x14ac:dyDescent="0.3"/>
  <cols>
    <col min="1" max="1" width="5.7109375" style="140" customWidth="1"/>
    <col min="2" max="2" width="4.7109375" style="420" customWidth="1"/>
    <col min="3" max="3" width="63.7109375" style="142" customWidth="1"/>
    <col min="4" max="4" width="21.7109375" style="2" customWidth="1"/>
    <col min="5" max="5" width="23.28515625" style="420" customWidth="1"/>
    <col min="6" max="6" width="2.7109375" style="142" bestFit="1" customWidth="1"/>
    <col min="7" max="7" width="60.140625" style="2" bestFit="1" customWidth="1"/>
    <col min="8" max="8" width="17.7109375" style="142" customWidth="1"/>
    <col min="9" max="9" width="22.28515625" style="142" customWidth="1"/>
    <col min="10" max="16384" width="9.140625" style="142"/>
  </cols>
  <sheetData>
    <row r="1" spans="1:10" s="1" customFormat="1" ht="18" customHeight="1" x14ac:dyDescent="0.2">
      <c r="A1" s="224"/>
      <c r="B1" s="2164" t="s">
        <v>915</v>
      </c>
      <c r="C1" s="2164"/>
      <c r="D1" s="453"/>
      <c r="E1" s="454"/>
      <c r="G1" s="453"/>
    </row>
    <row r="2" spans="1:10" s="141" customFormat="1" x14ac:dyDescent="0.3">
      <c r="A2" s="126"/>
      <c r="B2" s="1896"/>
      <c r="C2" s="1896"/>
      <c r="D2" s="1896"/>
      <c r="E2" s="1896"/>
      <c r="F2" s="1896"/>
      <c r="G2" s="118"/>
      <c r="H2" s="118"/>
      <c r="I2" s="118"/>
      <c r="J2" s="282"/>
    </row>
    <row r="3" spans="1:10" s="1" customFormat="1" ht="24.75" customHeight="1" x14ac:dyDescent="0.2">
      <c r="A3" s="224"/>
      <c r="B3" s="1898" t="s">
        <v>206</v>
      </c>
      <c r="C3" s="1898"/>
      <c r="D3" s="1898"/>
      <c r="E3" s="1898"/>
      <c r="F3" s="1898"/>
      <c r="G3" s="1898"/>
    </row>
    <row r="4" spans="1:10" s="1" customFormat="1" ht="24.75" customHeight="1" x14ac:dyDescent="0.2">
      <c r="A4" s="224"/>
      <c r="B4" s="1898" t="s">
        <v>649</v>
      </c>
      <c r="C4" s="1898"/>
      <c r="D4" s="1898"/>
      <c r="E4" s="1898"/>
      <c r="F4" s="1898"/>
      <c r="G4" s="1898"/>
    </row>
    <row r="5" spans="1:10" s="951" customFormat="1" ht="18" customHeight="1" x14ac:dyDescent="0.2">
      <c r="A5" s="949"/>
      <c r="B5" s="950"/>
      <c r="C5" s="950"/>
      <c r="D5" s="950"/>
      <c r="E5" s="950"/>
      <c r="F5" s="950"/>
      <c r="G5" s="149"/>
      <c r="I5" s="149" t="s">
        <v>0</v>
      </c>
    </row>
    <row r="6" spans="1:10" s="948" customFormat="1" ht="18" customHeight="1" thickBot="1" x14ac:dyDescent="0.25">
      <c r="B6" s="948" t="s">
        <v>1</v>
      </c>
      <c r="C6" s="948" t="s">
        <v>365</v>
      </c>
      <c r="D6" s="948" t="s">
        <v>2</v>
      </c>
      <c r="E6" s="948" t="s">
        <v>4</v>
      </c>
      <c r="F6" s="948" t="s">
        <v>5</v>
      </c>
      <c r="G6" s="948" t="s">
        <v>15</v>
      </c>
      <c r="H6" s="124" t="s">
        <v>16</v>
      </c>
      <c r="I6" s="948" t="s">
        <v>17</v>
      </c>
    </row>
    <row r="7" spans="1:10" ht="34.5" x14ac:dyDescent="0.35">
      <c r="A7" s="140">
        <v>1</v>
      </c>
      <c r="B7" s="455"/>
      <c r="C7" s="456" t="s">
        <v>207</v>
      </c>
      <c r="D7" s="457" t="s">
        <v>923</v>
      </c>
      <c r="E7" s="1877" t="s">
        <v>924</v>
      </c>
      <c r="F7" s="458"/>
      <c r="G7" s="459" t="s">
        <v>208</v>
      </c>
      <c r="H7" s="457" t="s">
        <v>923</v>
      </c>
      <c r="I7" s="460" t="s">
        <v>924</v>
      </c>
    </row>
    <row r="8" spans="1:10" ht="15" customHeight="1" x14ac:dyDescent="0.3">
      <c r="A8" s="140">
        <v>2</v>
      </c>
      <c r="B8" s="119" t="s">
        <v>121</v>
      </c>
      <c r="C8" s="142" t="s">
        <v>209</v>
      </c>
      <c r="D8" s="461">
        <v>6746424</v>
      </c>
      <c r="E8" s="461">
        <v>6509529</v>
      </c>
      <c r="F8" s="462" t="s">
        <v>121</v>
      </c>
      <c r="G8" s="142" t="s">
        <v>38</v>
      </c>
      <c r="H8" s="473">
        <v>5236018</v>
      </c>
      <c r="I8" s="475">
        <v>5516194</v>
      </c>
    </row>
    <row r="9" spans="1:10" ht="15" customHeight="1" x14ac:dyDescent="0.3">
      <c r="A9" s="140">
        <v>3</v>
      </c>
      <c r="B9" s="119" t="s">
        <v>128</v>
      </c>
      <c r="C9" s="142" t="s">
        <v>169</v>
      </c>
      <c r="D9" s="461">
        <v>6242200</v>
      </c>
      <c r="E9" s="1878">
        <v>6242200</v>
      </c>
      <c r="F9" s="462" t="s">
        <v>128</v>
      </c>
      <c r="G9" s="142" t="s">
        <v>210</v>
      </c>
      <c r="H9" s="473">
        <v>883986</v>
      </c>
      <c r="I9" s="475">
        <v>957254</v>
      </c>
    </row>
    <row r="10" spans="1:10" x14ac:dyDescent="0.3">
      <c r="A10" s="140">
        <v>4</v>
      </c>
      <c r="B10" s="119" t="s">
        <v>129</v>
      </c>
      <c r="C10" s="463" t="s">
        <v>137</v>
      </c>
      <c r="D10" s="461">
        <v>1809266</v>
      </c>
      <c r="E10" s="1878">
        <v>1729394</v>
      </c>
      <c r="F10" s="462" t="s">
        <v>129</v>
      </c>
      <c r="G10" s="142" t="s">
        <v>40</v>
      </c>
      <c r="H10" s="473">
        <v>5143386</v>
      </c>
      <c r="I10" s="475">
        <v>5900984</v>
      </c>
    </row>
    <row r="11" spans="1:10" x14ac:dyDescent="0.3">
      <c r="A11" s="140">
        <v>5</v>
      </c>
      <c r="B11" s="119" t="s">
        <v>130</v>
      </c>
      <c r="C11" s="142" t="s">
        <v>174</v>
      </c>
      <c r="D11" s="461">
        <v>4569</v>
      </c>
      <c r="E11" s="1878">
        <v>528722</v>
      </c>
      <c r="F11" s="464" t="s">
        <v>130</v>
      </c>
      <c r="G11" s="142" t="s">
        <v>211</v>
      </c>
      <c r="H11" s="473">
        <v>36460</v>
      </c>
      <c r="I11" s="475">
        <v>47418</v>
      </c>
    </row>
    <row r="12" spans="1:10" x14ac:dyDescent="0.3">
      <c r="A12" s="140">
        <v>6</v>
      </c>
      <c r="B12" s="119"/>
      <c r="C12" s="463"/>
      <c r="D12" s="461"/>
      <c r="E12" s="1878"/>
      <c r="F12" s="464" t="s">
        <v>131</v>
      </c>
      <c r="G12" s="144" t="s">
        <v>212</v>
      </c>
      <c r="H12" s="473">
        <v>3539424</v>
      </c>
      <c r="I12" s="475">
        <v>4009711</v>
      </c>
    </row>
    <row r="13" spans="1:10" x14ac:dyDescent="0.3">
      <c r="A13" s="140">
        <v>7</v>
      </c>
      <c r="B13" s="119"/>
      <c r="C13" s="463"/>
      <c r="D13" s="461"/>
      <c r="E13" s="1878"/>
      <c r="F13" s="464" t="s">
        <v>213</v>
      </c>
      <c r="G13" s="144" t="s">
        <v>457</v>
      </c>
      <c r="H13" s="473">
        <v>578014</v>
      </c>
      <c r="I13" s="475">
        <v>638014</v>
      </c>
    </row>
    <row r="14" spans="1:10" s="1" customFormat="1" ht="24.95" customHeight="1" x14ac:dyDescent="0.3">
      <c r="A14" s="140">
        <v>8</v>
      </c>
      <c r="B14" s="465"/>
      <c r="C14" s="466" t="s">
        <v>214</v>
      </c>
      <c r="D14" s="467">
        <v>14802459</v>
      </c>
      <c r="E14" s="1879">
        <v>15009845</v>
      </c>
      <c r="F14" s="468"/>
      <c r="G14" s="466" t="s">
        <v>215</v>
      </c>
      <c r="H14" s="1890">
        <v>15417288</v>
      </c>
      <c r="I14" s="469">
        <v>17069575</v>
      </c>
    </row>
    <row r="15" spans="1:10" ht="24.75" customHeight="1" x14ac:dyDescent="0.35">
      <c r="A15" s="140">
        <v>9</v>
      </c>
      <c r="B15" s="470"/>
      <c r="C15" s="177" t="s">
        <v>216</v>
      </c>
      <c r="D15" s="506"/>
      <c r="E15" s="1880"/>
      <c r="F15" s="471"/>
      <c r="G15" s="177" t="s">
        <v>217</v>
      </c>
      <c r="H15" s="1891"/>
      <c r="I15" s="516"/>
    </row>
    <row r="16" spans="1:10" x14ac:dyDescent="0.3">
      <c r="A16" s="140">
        <v>10</v>
      </c>
      <c r="B16" s="116" t="s">
        <v>121</v>
      </c>
      <c r="C16" s="472" t="s">
        <v>218</v>
      </c>
      <c r="D16" s="473">
        <v>12126355</v>
      </c>
      <c r="E16" s="1881">
        <v>11154959</v>
      </c>
      <c r="F16" s="474" t="s">
        <v>121</v>
      </c>
      <c r="G16" s="472" t="s">
        <v>219</v>
      </c>
      <c r="H16" s="473">
        <v>30237804</v>
      </c>
      <c r="I16" s="475">
        <v>30949949</v>
      </c>
    </row>
    <row r="17" spans="1:36" x14ac:dyDescent="0.3">
      <c r="A17" s="140">
        <v>11</v>
      </c>
      <c r="B17" s="116" t="s">
        <v>128</v>
      </c>
      <c r="C17" s="472" t="s">
        <v>180</v>
      </c>
      <c r="D17" s="473">
        <v>920000</v>
      </c>
      <c r="E17" s="1881">
        <v>920000</v>
      </c>
      <c r="F17" s="474" t="s">
        <v>128</v>
      </c>
      <c r="G17" s="472" t="s">
        <v>155</v>
      </c>
      <c r="H17" s="473">
        <v>60493</v>
      </c>
      <c r="I17" s="475">
        <v>60493</v>
      </c>
    </row>
    <row r="18" spans="1:36" x14ac:dyDescent="0.3">
      <c r="A18" s="140">
        <v>12</v>
      </c>
      <c r="B18" s="116" t="s">
        <v>129</v>
      </c>
      <c r="C18" s="142" t="s">
        <v>183</v>
      </c>
      <c r="D18" s="473">
        <v>0</v>
      </c>
      <c r="E18" s="1881">
        <v>1532479</v>
      </c>
      <c r="F18" s="474" t="s">
        <v>129</v>
      </c>
      <c r="G18" s="472" t="s">
        <v>220</v>
      </c>
      <c r="H18" s="473">
        <v>23753</v>
      </c>
      <c r="I18" s="475">
        <v>23753</v>
      </c>
    </row>
    <row r="19" spans="1:36" x14ac:dyDescent="0.3">
      <c r="A19" s="140">
        <v>13</v>
      </c>
      <c r="B19" s="116"/>
      <c r="D19" s="473"/>
      <c r="E19" s="1881"/>
      <c r="F19" s="474" t="s">
        <v>130</v>
      </c>
      <c r="G19" s="472" t="s">
        <v>458</v>
      </c>
      <c r="H19" s="473">
        <v>363655</v>
      </c>
      <c r="I19" s="475">
        <v>436655</v>
      </c>
    </row>
    <row r="20" spans="1:36" s="1" customFormat="1" ht="24.95" customHeight="1" thickBot="1" x14ac:dyDescent="0.35">
      <c r="A20" s="140">
        <v>14</v>
      </c>
      <c r="B20" s="476"/>
      <c r="C20" s="477" t="s">
        <v>221</v>
      </c>
      <c r="D20" s="507">
        <v>13046355</v>
      </c>
      <c r="E20" s="1882">
        <v>13607438</v>
      </c>
      <c r="F20" s="478"/>
      <c r="G20" s="477" t="s">
        <v>222</v>
      </c>
      <c r="H20" s="507">
        <v>30685705</v>
      </c>
      <c r="I20" s="479">
        <v>31470850</v>
      </c>
    </row>
    <row r="21" spans="1:36" s="1" customFormat="1" ht="24.75" customHeight="1" thickTop="1" thickBot="1" x14ac:dyDescent="0.35">
      <c r="A21" s="140">
        <v>15</v>
      </c>
      <c r="B21" s="480"/>
      <c r="C21" s="481" t="s">
        <v>186</v>
      </c>
      <c r="D21" s="1876">
        <v>27848814</v>
      </c>
      <c r="E21" s="508">
        <v>28617283</v>
      </c>
      <c r="F21" s="482"/>
      <c r="G21" s="481" t="s">
        <v>199</v>
      </c>
      <c r="H21" s="1892">
        <v>46102993</v>
      </c>
      <c r="I21" s="517">
        <v>48540425</v>
      </c>
    </row>
    <row r="22" spans="1:36" s="1" customFormat="1" ht="24.95" customHeight="1" thickTop="1" x14ac:dyDescent="0.35">
      <c r="A22" s="140">
        <v>16</v>
      </c>
      <c r="B22" s="483"/>
      <c r="C22" s="177" t="s">
        <v>223</v>
      </c>
      <c r="D22" s="509"/>
      <c r="E22" s="1883"/>
      <c r="F22" s="484"/>
      <c r="G22" s="177" t="s">
        <v>224</v>
      </c>
      <c r="H22" s="509"/>
      <c r="I22" s="518"/>
    </row>
    <row r="23" spans="1:36" s="1" customFormat="1" x14ac:dyDescent="0.3">
      <c r="A23" s="140">
        <v>17</v>
      </c>
      <c r="B23" s="21" t="s">
        <v>121</v>
      </c>
      <c r="C23" s="1" t="s">
        <v>225</v>
      </c>
      <c r="D23" s="509"/>
      <c r="E23" s="1883"/>
      <c r="F23" s="484" t="s">
        <v>121</v>
      </c>
      <c r="G23" s="1" t="s">
        <v>226</v>
      </c>
      <c r="H23" s="509">
        <v>0</v>
      </c>
      <c r="I23" s="518"/>
    </row>
    <row r="24" spans="1:36" s="1" customFormat="1" x14ac:dyDescent="0.3">
      <c r="A24" s="140">
        <v>18</v>
      </c>
      <c r="B24" s="21" t="s">
        <v>128</v>
      </c>
      <c r="C24" s="1" t="s">
        <v>291</v>
      </c>
      <c r="D24" s="509">
        <v>1391913</v>
      </c>
      <c r="E24" s="1883">
        <v>2897017</v>
      </c>
      <c r="F24" s="484" t="s">
        <v>128</v>
      </c>
      <c r="G24" s="1" t="s">
        <v>254</v>
      </c>
      <c r="H24" s="509">
        <v>180835</v>
      </c>
      <c r="I24" s="518">
        <v>180835</v>
      </c>
    </row>
    <row r="25" spans="1:36" s="1" customFormat="1" x14ac:dyDescent="0.3">
      <c r="A25" s="140">
        <v>19</v>
      </c>
      <c r="B25" s="21" t="s">
        <v>129</v>
      </c>
      <c r="C25" s="1" t="s">
        <v>253</v>
      </c>
      <c r="D25" s="509">
        <v>0</v>
      </c>
      <c r="E25" s="1883">
        <v>0</v>
      </c>
      <c r="F25" s="484"/>
      <c r="H25" s="509"/>
      <c r="I25" s="518"/>
    </row>
    <row r="26" spans="1:36" s="1" customFormat="1" ht="24" customHeight="1" x14ac:dyDescent="0.35">
      <c r="A26" s="140">
        <v>20</v>
      </c>
      <c r="B26" s="483"/>
      <c r="C26" s="177" t="s">
        <v>227</v>
      </c>
      <c r="D26" s="509"/>
      <c r="E26" s="1883"/>
      <c r="F26" s="484"/>
      <c r="G26" s="177" t="s">
        <v>228</v>
      </c>
      <c r="H26" s="509"/>
      <c r="I26" s="518"/>
    </row>
    <row r="27" spans="1:36" s="1" customFormat="1" x14ac:dyDescent="0.3">
      <c r="A27" s="140">
        <v>21</v>
      </c>
      <c r="B27" s="21" t="s">
        <v>130</v>
      </c>
      <c r="C27" s="1" t="s">
        <v>229</v>
      </c>
      <c r="D27" s="509">
        <v>1176517</v>
      </c>
      <c r="E27" s="1883">
        <v>1176517</v>
      </c>
      <c r="F27" s="484" t="s">
        <v>129</v>
      </c>
      <c r="G27" s="1" t="s">
        <v>230</v>
      </c>
      <c r="H27" s="509">
        <v>138187</v>
      </c>
      <c r="I27" s="518">
        <v>138187</v>
      </c>
    </row>
    <row r="28" spans="1:36" s="1" customFormat="1" x14ac:dyDescent="0.3">
      <c r="A28" s="140">
        <v>22</v>
      </c>
      <c r="B28" s="21" t="s">
        <v>131</v>
      </c>
      <c r="C28" s="1" t="s">
        <v>225</v>
      </c>
      <c r="D28" s="509"/>
      <c r="E28" s="1883"/>
      <c r="F28" s="484" t="s">
        <v>130</v>
      </c>
      <c r="G28" s="1" t="s">
        <v>226</v>
      </c>
      <c r="H28" s="509"/>
      <c r="I28" s="518"/>
    </row>
    <row r="29" spans="1:36" s="1" customFormat="1" x14ac:dyDescent="0.3">
      <c r="A29" s="140">
        <v>23</v>
      </c>
      <c r="B29" s="21" t="s">
        <v>213</v>
      </c>
      <c r="C29" s="1" t="s">
        <v>291</v>
      </c>
      <c r="D29" s="509">
        <v>16004771</v>
      </c>
      <c r="E29" s="1883">
        <v>16168630</v>
      </c>
      <c r="F29" s="484"/>
      <c r="H29" s="509"/>
      <c r="I29" s="518"/>
    </row>
    <row r="30" spans="1:36" s="486" customFormat="1" ht="24.75" customHeight="1" thickBot="1" x14ac:dyDescent="0.35">
      <c r="A30" s="140">
        <v>24</v>
      </c>
      <c r="B30" s="368"/>
      <c r="C30" s="246" t="s">
        <v>231</v>
      </c>
      <c r="D30" s="510">
        <v>18573201</v>
      </c>
      <c r="E30" s="1884">
        <v>20242164</v>
      </c>
      <c r="F30" s="485"/>
      <c r="G30" s="246" t="s">
        <v>232</v>
      </c>
      <c r="H30" s="510">
        <v>319022</v>
      </c>
      <c r="I30" s="519">
        <v>319022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s="1" customFormat="1" ht="30" customHeight="1" thickTop="1" thickBot="1" x14ac:dyDescent="0.35">
      <c r="A31" s="140">
        <v>25</v>
      </c>
      <c r="B31" s="487"/>
      <c r="C31" s="246" t="s">
        <v>233</v>
      </c>
      <c r="D31" s="507">
        <v>46422015</v>
      </c>
      <c r="E31" s="1882">
        <v>48859447</v>
      </c>
      <c r="F31" s="488"/>
      <c r="G31" s="246" t="s">
        <v>234</v>
      </c>
      <c r="H31" s="507">
        <v>46422015</v>
      </c>
      <c r="I31" s="479">
        <v>48859447</v>
      </c>
    </row>
    <row r="32" spans="1:36" s="1" customFormat="1" ht="18" thickTop="1" x14ac:dyDescent="0.3">
      <c r="A32" s="140">
        <v>26</v>
      </c>
      <c r="B32" s="489"/>
      <c r="C32" s="490" t="s">
        <v>187</v>
      </c>
      <c r="D32" s="511">
        <v>-18254179</v>
      </c>
      <c r="E32" s="1885">
        <v>-19923142</v>
      </c>
      <c r="F32" s="491"/>
      <c r="G32" s="492"/>
      <c r="H32" s="509"/>
      <c r="I32" s="518"/>
    </row>
    <row r="33" spans="1:9" s="1" customFormat="1" ht="17.25" x14ac:dyDescent="0.3">
      <c r="A33" s="140">
        <v>27</v>
      </c>
      <c r="B33" s="493"/>
      <c r="C33" s="494" t="s">
        <v>235</v>
      </c>
      <c r="D33" s="512">
        <v>-614829</v>
      </c>
      <c r="E33" s="1886">
        <v>-2059730</v>
      </c>
      <c r="F33" s="491"/>
      <c r="G33" s="492"/>
      <c r="H33" s="509"/>
      <c r="I33" s="518"/>
    </row>
    <row r="34" spans="1:9" s="1" customFormat="1" ht="17.25" x14ac:dyDescent="0.3">
      <c r="A34" s="140">
        <v>28</v>
      </c>
      <c r="B34" s="493"/>
      <c r="C34" s="494" t="s">
        <v>236</v>
      </c>
      <c r="D34" s="512">
        <v>-17639350</v>
      </c>
      <c r="E34" s="1886">
        <v>-17863412</v>
      </c>
      <c r="F34" s="491"/>
      <c r="G34" s="492"/>
      <c r="H34" s="509"/>
      <c r="I34" s="518"/>
    </row>
    <row r="35" spans="1:9" s="1" customFormat="1" ht="17.25" x14ac:dyDescent="0.3">
      <c r="A35" s="140">
        <v>29</v>
      </c>
      <c r="B35" s="493"/>
      <c r="C35" s="495" t="s">
        <v>237</v>
      </c>
      <c r="D35" s="512">
        <v>-18573201</v>
      </c>
      <c r="E35" s="1886">
        <v>-20242164</v>
      </c>
      <c r="F35" s="491"/>
      <c r="G35" s="492"/>
      <c r="H35" s="509"/>
      <c r="I35" s="518"/>
    </row>
    <row r="36" spans="1:9" s="1" customFormat="1" ht="32.25" customHeight="1" x14ac:dyDescent="0.3">
      <c r="A36" s="140">
        <v>30</v>
      </c>
      <c r="B36" s="493"/>
      <c r="C36" s="496" t="s">
        <v>397</v>
      </c>
      <c r="D36" s="512">
        <v>17396684</v>
      </c>
      <c r="E36" s="1886">
        <v>19065647</v>
      </c>
      <c r="F36" s="491"/>
      <c r="G36" s="492"/>
      <c r="H36" s="509"/>
      <c r="I36" s="518"/>
    </row>
    <row r="37" spans="1:9" s="1" customFormat="1" ht="33.75" customHeight="1" x14ac:dyDescent="0.3">
      <c r="A37" s="140">
        <v>31</v>
      </c>
      <c r="B37" s="497"/>
      <c r="C37" s="498" t="s">
        <v>398</v>
      </c>
      <c r="D37" s="513">
        <v>1176517</v>
      </c>
      <c r="E37" s="1887">
        <v>1176517</v>
      </c>
      <c r="F37" s="499"/>
      <c r="G37" s="500"/>
      <c r="H37" s="1893"/>
      <c r="I37" s="520"/>
    </row>
    <row r="38" spans="1:9" ht="20.100000000000001" customHeight="1" x14ac:dyDescent="0.3">
      <c r="A38" s="140">
        <v>32</v>
      </c>
      <c r="B38" s="501"/>
      <c r="C38" s="142" t="s">
        <v>238</v>
      </c>
      <c r="D38" s="514">
        <v>0.34885112160684967</v>
      </c>
      <c r="E38" s="1888">
        <v>0.3664974349791556</v>
      </c>
      <c r="F38" s="502"/>
      <c r="G38" s="142" t="s">
        <v>239</v>
      </c>
      <c r="H38" s="514">
        <v>0.33600702166849067</v>
      </c>
      <c r="I38" s="521">
        <v>0.35306191656242036</v>
      </c>
    </row>
    <row r="39" spans="1:9" ht="20.100000000000001" customHeight="1" thickBot="1" x14ac:dyDescent="0.35">
      <c r="A39" s="140">
        <v>33</v>
      </c>
      <c r="B39" s="503"/>
      <c r="C39" s="504" t="s">
        <v>240</v>
      </c>
      <c r="D39" s="515">
        <v>0.65114887839315028</v>
      </c>
      <c r="E39" s="1889">
        <v>0.63350256502084434</v>
      </c>
      <c r="F39" s="505"/>
      <c r="G39" s="504" t="s">
        <v>241</v>
      </c>
      <c r="H39" s="515">
        <v>0.66399297833150928</v>
      </c>
      <c r="I39" s="522">
        <v>0.64693808343757964</v>
      </c>
    </row>
    <row r="40" spans="1:9" x14ac:dyDescent="0.3">
      <c r="F40" s="142" t="s">
        <v>242</v>
      </c>
    </row>
  </sheetData>
  <mergeCells count="4">
    <mergeCell ref="B1:C1"/>
    <mergeCell ref="B3:G3"/>
    <mergeCell ref="B4:G4"/>
    <mergeCell ref="B2:F2"/>
  </mergeCells>
  <printOptions horizontalCentered="1" verticalCentered="1"/>
  <pageMargins left="0.19685039370078741" right="0.19685039370078741" top="0.19685039370078741" bottom="0.19685039370078741" header="0.11811023622047245" footer="0.11811023622047245"/>
  <pageSetup paperSize="9" scale="66" orientation="landscape" r:id="rId1"/>
  <headerFooter alignWithMargins="0">
    <oddFooter>&amp;C-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3"/>
  <sheetViews>
    <sheetView view="pageBreakPreview" zoomScaleNormal="100" zoomScaleSheetLayoutView="100" workbookViewId="0">
      <selection activeCell="B2" sqref="B2"/>
    </sheetView>
  </sheetViews>
  <sheetFormatPr defaultColWidth="31.28515625" defaultRowHeight="16.5" x14ac:dyDescent="0.3"/>
  <cols>
    <col min="1" max="1" width="3.7109375" style="126" customWidth="1"/>
    <col min="2" max="2" width="4.7109375" style="13" customWidth="1"/>
    <col min="3" max="3" width="50.7109375" style="33" customWidth="1"/>
    <col min="4" max="6" width="13.7109375" style="15" customWidth="1"/>
    <col min="7" max="7" width="30.7109375" style="16" customWidth="1"/>
    <col min="8" max="8" width="12.140625" style="17" customWidth="1"/>
    <col min="9" max="9" width="12.85546875" style="17" customWidth="1"/>
    <col min="10" max="16384" width="31.28515625" style="17"/>
  </cols>
  <sheetData>
    <row r="1" spans="1:7" x14ac:dyDescent="0.3">
      <c r="A1" s="258"/>
      <c r="B1" s="2165" t="s">
        <v>916</v>
      </c>
      <c r="C1" s="2165"/>
      <c r="D1" s="2165"/>
      <c r="E1" s="14"/>
      <c r="G1" s="952"/>
    </row>
    <row r="2" spans="1:7" x14ac:dyDescent="0.3">
      <c r="A2" s="258"/>
      <c r="B2" s="1375"/>
      <c r="C2" s="1375"/>
      <c r="D2" s="1375"/>
      <c r="E2" s="14"/>
      <c r="G2" s="952"/>
    </row>
    <row r="3" spans="1:7" ht="24.95" customHeight="1" x14ac:dyDescent="0.3">
      <c r="A3" s="258"/>
      <c r="C3" s="1897" t="s">
        <v>113</v>
      </c>
      <c r="D3" s="1897"/>
      <c r="E3" s="1897"/>
      <c r="F3" s="1897"/>
      <c r="G3" s="1897"/>
    </row>
    <row r="4" spans="1:7" ht="24.95" customHeight="1" x14ac:dyDescent="0.3">
      <c r="A4" s="258"/>
      <c r="B4" s="1897" t="s">
        <v>650</v>
      </c>
      <c r="C4" s="1897"/>
      <c r="D4" s="1897"/>
      <c r="E4" s="1897"/>
      <c r="F4" s="1897"/>
      <c r="G4" s="1897"/>
    </row>
    <row r="5" spans="1:7" s="128" customFormat="1" ht="18" customHeight="1" thickBot="1" x14ac:dyDescent="0.35">
      <c r="A5" s="126"/>
      <c r="B5" s="125" t="s">
        <v>1</v>
      </c>
      <c r="C5" s="127" t="s">
        <v>3</v>
      </c>
      <c r="D5" s="16" t="s">
        <v>2</v>
      </c>
      <c r="E5" s="16" t="s">
        <v>4</v>
      </c>
      <c r="F5" s="16" t="s">
        <v>5</v>
      </c>
      <c r="G5" s="16" t="s">
        <v>15</v>
      </c>
    </row>
    <row r="6" spans="1:7" ht="72" customHeight="1" thickBot="1" x14ac:dyDescent="0.35">
      <c r="B6" s="18" t="s">
        <v>18</v>
      </c>
      <c r="C6" s="19" t="s">
        <v>6</v>
      </c>
      <c r="D6" s="448" t="s">
        <v>651</v>
      </c>
      <c r="E6" s="448" t="s">
        <v>114</v>
      </c>
      <c r="F6" s="448" t="s">
        <v>1097</v>
      </c>
      <c r="G6" s="20" t="s">
        <v>115</v>
      </c>
    </row>
    <row r="7" spans="1:7" s="118" customFormat="1" ht="21.75" customHeight="1" thickTop="1" x14ac:dyDescent="0.3">
      <c r="A7" s="125">
        <v>1</v>
      </c>
      <c r="B7" s="119">
        <v>1</v>
      </c>
      <c r="C7" s="556" t="s">
        <v>295</v>
      </c>
      <c r="D7" s="449">
        <v>38</v>
      </c>
      <c r="E7" s="449"/>
      <c r="F7" s="449">
        <f t="shared" ref="F7:F25" si="0">SUM(D7:E7)</f>
        <v>38</v>
      </c>
      <c r="G7" s="130"/>
    </row>
    <row r="8" spans="1:7" s="118" customFormat="1" ht="21.75" customHeight="1" x14ac:dyDescent="0.3">
      <c r="A8" s="125">
        <v>2</v>
      </c>
      <c r="B8" s="119">
        <v>2</v>
      </c>
      <c r="C8" s="556" t="s">
        <v>294</v>
      </c>
      <c r="D8" s="449">
        <v>70</v>
      </c>
      <c r="E8" s="449"/>
      <c r="F8" s="449">
        <f t="shared" si="0"/>
        <v>70</v>
      </c>
      <c r="G8" s="130"/>
    </row>
    <row r="9" spans="1:7" s="118" customFormat="1" ht="21.75" customHeight="1" x14ac:dyDescent="0.3">
      <c r="A9" s="125">
        <v>3</v>
      </c>
      <c r="B9" s="119">
        <v>3</v>
      </c>
      <c r="C9" s="556" t="s">
        <v>255</v>
      </c>
      <c r="D9" s="449">
        <v>83.5</v>
      </c>
      <c r="E9" s="449"/>
      <c r="F9" s="449">
        <f t="shared" si="0"/>
        <v>83.5</v>
      </c>
      <c r="G9" s="130"/>
    </row>
    <row r="10" spans="1:7" s="118" customFormat="1" ht="21.75" customHeight="1" x14ac:dyDescent="0.3">
      <c r="A10" s="125">
        <v>4</v>
      </c>
      <c r="B10" s="119">
        <v>4</v>
      </c>
      <c r="C10" s="556" t="s">
        <v>256</v>
      </c>
      <c r="D10" s="449">
        <v>60</v>
      </c>
      <c r="E10" s="449"/>
      <c r="F10" s="449">
        <f t="shared" si="0"/>
        <v>60</v>
      </c>
      <c r="G10" s="130"/>
    </row>
    <row r="11" spans="1:7" s="118" customFormat="1" ht="21.75" customHeight="1" x14ac:dyDescent="0.3">
      <c r="A11" s="125">
        <v>5</v>
      </c>
      <c r="B11" s="119">
        <v>5</v>
      </c>
      <c r="C11" s="556" t="s">
        <v>257</v>
      </c>
      <c r="D11" s="449">
        <v>61.5</v>
      </c>
      <c r="E11" s="449"/>
      <c r="F11" s="449">
        <f t="shared" si="0"/>
        <v>61.5</v>
      </c>
      <c r="G11" s="130"/>
    </row>
    <row r="12" spans="1:7" s="118" customFormat="1" ht="21.75" customHeight="1" x14ac:dyDescent="0.3">
      <c r="A12" s="125">
        <v>6</v>
      </c>
      <c r="B12" s="119">
        <v>6</v>
      </c>
      <c r="C12" s="556" t="s">
        <v>258</v>
      </c>
      <c r="D12" s="449">
        <v>36</v>
      </c>
      <c r="E12" s="449"/>
      <c r="F12" s="449">
        <f t="shared" si="0"/>
        <v>36</v>
      </c>
      <c r="G12" s="130"/>
    </row>
    <row r="13" spans="1:7" s="120" customFormat="1" ht="17.25" x14ac:dyDescent="0.2">
      <c r="A13" s="125">
        <v>7</v>
      </c>
      <c r="B13" s="1144"/>
      <c r="C13" s="121" t="s">
        <v>243</v>
      </c>
      <c r="D13" s="450">
        <v>0</v>
      </c>
      <c r="E13" s="450"/>
      <c r="F13" s="450">
        <f t="shared" si="0"/>
        <v>0</v>
      </c>
      <c r="G13" s="131"/>
    </row>
    <row r="14" spans="1:7" s="118" customFormat="1" ht="33" x14ac:dyDescent="0.3">
      <c r="A14" s="125">
        <v>8</v>
      </c>
      <c r="B14" s="119">
        <v>7</v>
      </c>
      <c r="C14" s="558" t="s">
        <v>343</v>
      </c>
      <c r="D14" s="449">
        <v>200</v>
      </c>
      <c r="E14" s="449"/>
      <c r="F14" s="449">
        <f t="shared" si="0"/>
        <v>200</v>
      </c>
      <c r="G14" s="601"/>
    </row>
    <row r="15" spans="1:7" ht="33" customHeight="1" x14ac:dyDescent="0.3">
      <c r="A15" s="125">
        <v>9</v>
      </c>
      <c r="B15" s="119">
        <v>8</v>
      </c>
      <c r="C15" s="557" t="s">
        <v>116</v>
      </c>
      <c r="D15" s="449">
        <v>13.25</v>
      </c>
      <c r="E15" s="449"/>
      <c r="F15" s="449">
        <f t="shared" si="0"/>
        <v>13.25</v>
      </c>
      <c r="G15" s="132"/>
    </row>
    <row r="16" spans="1:7" ht="33" customHeight="1" x14ac:dyDescent="0.3">
      <c r="A16" s="125">
        <v>10</v>
      </c>
      <c r="B16" s="119">
        <v>9</v>
      </c>
      <c r="C16" s="557" t="s">
        <v>435</v>
      </c>
      <c r="D16" s="449">
        <v>64</v>
      </c>
      <c r="E16" s="449"/>
      <c r="F16" s="449">
        <f t="shared" si="0"/>
        <v>64</v>
      </c>
      <c r="G16" s="132" t="s">
        <v>652</v>
      </c>
    </row>
    <row r="17" spans="1:7" ht="21.75" customHeight="1" x14ac:dyDescent="0.3">
      <c r="A17" s="125">
        <v>12</v>
      </c>
      <c r="B17" s="116">
        <v>10</v>
      </c>
      <c r="C17" s="554" t="s">
        <v>436</v>
      </c>
      <c r="D17" s="22">
        <v>24.25</v>
      </c>
      <c r="E17" s="22"/>
      <c r="F17" s="22">
        <f t="shared" si="0"/>
        <v>24.25</v>
      </c>
      <c r="G17" s="132"/>
    </row>
    <row r="18" spans="1:7" ht="33" customHeight="1" x14ac:dyDescent="0.2">
      <c r="A18" s="125">
        <v>13</v>
      </c>
      <c r="B18" s="119">
        <v>11</v>
      </c>
      <c r="C18" s="557" t="s">
        <v>428</v>
      </c>
      <c r="D18" s="22">
        <v>22</v>
      </c>
      <c r="E18" s="22">
        <v>1</v>
      </c>
      <c r="F18" s="22">
        <f t="shared" si="0"/>
        <v>23</v>
      </c>
      <c r="G18" s="134" t="s">
        <v>1098</v>
      </c>
    </row>
    <row r="19" spans="1:7" s="118" customFormat="1" ht="21.75" customHeight="1" x14ac:dyDescent="0.3">
      <c r="A19" s="125">
        <v>14</v>
      </c>
      <c r="B19" s="116">
        <v>12</v>
      </c>
      <c r="C19" s="117" t="s">
        <v>25</v>
      </c>
      <c r="D19" s="449">
        <v>51.5</v>
      </c>
      <c r="E19" s="449"/>
      <c r="F19" s="449">
        <f t="shared" si="0"/>
        <v>51.5</v>
      </c>
      <c r="G19" s="130"/>
    </row>
    <row r="20" spans="1:7" s="118" customFormat="1" ht="27.75" customHeight="1" x14ac:dyDescent="0.3">
      <c r="A20" s="125">
        <v>15</v>
      </c>
      <c r="B20" s="116">
        <v>13</v>
      </c>
      <c r="C20" s="117" t="s">
        <v>32</v>
      </c>
      <c r="D20" s="449">
        <v>53</v>
      </c>
      <c r="E20" s="449"/>
      <c r="F20" s="449">
        <f t="shared" si="0"/>
        <v>53</v>
      </c>
      <c r="G20" s="135"/>
    </row>
    <row r="21" spans="1:7" s="120" customFormat="1" ht="34.5" x14ac:dyDescent="0.3">
      <c r="A21" s="125">
        <v>16</v>
      </c>
      <c r="B21" s="119"/>
      <c r="C21" s="121" t="s">
        <v>629</v>
      </c>
      <c r="D21" s="449">
        <v>6</v>
      </c>
      <c r="E21" s="449"/>
      <c r="F21" s="449">
        <f t="shared" si="0"/>
        <v>6</v>
      </c>
      <c r="G21" s="1894"/>
    </row>
    <row r="22" spans="1:7" x14ac:dyDescent="0.3">
      <c r="A22" s="125">
        <v>18</v>
      </c>
      <c r="B22" s="116">
        <v>14</v>
      </c>
      <c r="C22" s="554" t="s">
        <v>430</v>
      </c>
      <c r="D22" s="449">
        <v>20</v>
      </c>
      <c r="E22" s="449"/>
      <c r="F22" s="449">
        <f t="shared" si="0"/>
        <v>20</v>
      </c>
      <c r="G22" s="1895"/>
    </row>
    <row r="23" spans="1:7" s="120" customFormat="1" ht="21.75" customHeight="1" x14ac:dyDescent="0.2">
      <c r="A23" s="125">
        <v>19</v>
      </c>
      <c r="B23" s="119"/>
      <c r="C23" s="121" t="s">
        <v>243</v>
      </c>
      <c r="D23" s="450">
        <v>2</v>
      </c>
      <c r="E23" s="450"/>
      <c r="F23" s="450">
        <f t="shared" si="0"/>
        <v>2</v>
      </c>
      <c r="G23" s="131"/>
    </row>
    <row r="24" spans="1:7" s="118" customFormat="1" ht="21.75" customHeight="1" x14ac:dyDescent="0.3">
      <c r="A24" s="125">
        <v>20</v>
      </c>
      <c r="B24" s="116">
        <v>15</v>
      </c>
      <c r="C24" s="117" t="s">
        <v>148</v>
      </c>
      <c r="D24" s="449">
        <v>102</v>
      </c>
      <c r="E24" s="449"/>
      <c r="F24" s="449">
        <f t="shared" si="0"/>
        <v>102</v>
      </c>
      <c r="G24" s="130"/>
    </row>
    <row r="25" spans="1:7" ht="21.75" customHeight="1" thickBot="1" x14ac:dyDescent="0.35">
      <c r="A25" s="125">
        <v>21</v>
      </c>
      <c r="B25" s="555">
        <v>16</v>
      </c>
      <c r="C25" s="614" t="s">
        <v>259</v>
      </c>
      <c r="D25" s="615">
        <v>53.25</v>
      </c>
      <c r="E25" s="615"/>
      <c r="F25" s="615">
        <f t="shared" si="0"/>
        <v>53.25</v>
      </c>
      <c r="G25" s="616"/>
    </row>
    <row r="26" spans="1:7" ht="30" customHeight="1" thickTop="1" thickBot="1" x14ac:dyDescent="0.25">
      <c r="A26" s="125">
        <v>22</v>
      </c>
      <c r="B26" s="25"/>
      <c r="C26" s="26" t="s">
        <v>117</v>
      </c>
      <c r="D26" s="451">
        <f>SUM(D7:D25)</f>
        <v>960.25</v>
      </c>
      <c r="E26" s="451">
        <f>SUM(E7:E25)</f>
        <v>1</v>
      </c>
      <c r="F26" s="451">
        <f>SUM(F7:F25)</f>
        <v>961.25</v>
      </c>
      <c r="G26" s="133"/>
    </row>
    <row r="27" spans="1:7" ht="21.75" customHeight="1" x14ac:dyDescent="0.3">
      <c r="A27" s="125">
        <v>23</v>
      </c>
      <c r="B27" s="116">
        <v>17</v>
      </c>
      <c r="C27" s="554" t="s">
        <v>26</v>
      </c>
      <c r="D27" s="22">
        <v>200</v>
      </c>
      <c r="E27" s="22"/>
      <c r="F27" s="22">
        <f>SUM(D27:E27)</f>
        <v>200</v>
      </c>
      <c r="G27" s="132"/>
    </row>
    <row r="28" spans="1:7" ht="21.75" customHeight="1" x14ac:dyDescent="0.3">
      <c r="A28" s="125">
        <v>24</v>
      </c>
      <c r="B28" s="116">
        <v>18</v>
      </c>
      <c r="C28" s="554" t="s">
        <v>118</v>
      </c>
      <c r="D28" s="1"/>
      <c r="E28" s="1"/>
      <c r="F28" s="1">
        <f>SUM(D28:E28)</f>
        <v>0</v>
      </c>
      <c r="G28" s="134" t="s">
        <v>242</v>
      </c>
    </row>
    <row r="29" spans="1:7" ht="21.75" customHeight="1" x14ac:dyDescent="0.2">
      <c r="A29" s="125">
        <v>25</v>
      </c>
      <c r="B29" s="21"/>
      <c r="C29" s="192" t="s">
        <v>304</v>
      </c>
      <c r="D29" s="22">
        <v>3</v>
      </c>
      <c r="E29" s="22"/>
      <c r="F29" s="22">
        <f>SUM(D29:E29)</f>
        <v>3</v>
      </c>
      <c r="G29" s="134"/>
    </row>
    <row r="30" spans="1:7" s="120" customFormat="1" ht="21.75" customHeight="1" thickBot="1" x14ac:dyDescent="0.25">
      <c r="A30" s="125">
        <v>26</v>
      </c>
      <c r="B30" s="119"/>
      <c r="C30" s="121" t="s">
        <v>276</v>
      </c>
      <c r="D30" s="450">
        <v>4</v>
      </c>
      <c r="E30" s="450"/>
      <c r="F30" s="450">
        <f>SUM(D30:E30)</f>
        <v>4</v>
      </c>
      <c r="G30" s="135"/>
    </row>
    <row r="31" spans="1:7" ht="30" customHeight="1" x14ac:dyDescent="0.2">
      <c r="A31" s="125">
        <v>27</v>
      </c>
      <c r="B31" s="550"/>
      <c r="C31" s="551" t="s">
        <v>13</v>
      </c>
      <c r="D31" s="552">
        <f>SUM(D26:D30)</f>
        <v>1167.25</v>
      </c>
      <c r="E31" s="552">
        <f>SUM(E26:E30)</f>
        <v>1</v>
      </c>
      <c r="F31" s="552">
        <f>SUM(F26:F30)</f>
        <v>1168.25</v>
      </c>
      <c r="G31" s="553"/>
    </row>
    <row r="32" spans="1:7" ht="16.5" customHeight="1" x14ac:dyDescent="0.2">
      <c r="A32" s="125">
        <v>28</v>
      </c>
      <c r="B32" s="21"/>
      <c r="C32" s="23" t="s">
        <v>119</v>
      </c>
      <c r="D32" s="22"/>
      <c r="E32" s="22"/>
      <c r="F32" s="22"/>
      <c r="G32" s="132"/>
    </row>
    <row r="33" spans="1:7" ht="16.5" customHeight="1" thickBot="1" x14ac:dyDescent="0.25">
      <c r="A33" s="125">
        <v>29</v>
      </c>
      <c r="B33" s="25"/>
      <c r="C33" s="122" t="s">
        <v>276</v>
      </c>
      <c r="D33" s="452">
        <f>SUM(D13,D23,D30)</f>
        <v>6</v>
      </c>
      <c r="E33" s="452">
        <f t="shared" ref="E33:F33" si="1">SUM(E13,E23,E30)</f>
        <v>0</v>
      </c>
      <c r="F33" s="452">
        <f t="shared" si="1"/>
        <v>6</v>
      </c>
      <c r="G33" s="136"/>
    </row>
    <row r="35" spans="1:7" x14ac:dyDescent="0.3">
      <c r="C35" s="27"/>
      <c r="D35" s="22"/>
      <c r="E35" s="22"/>
      <c r="F35" s="22"/>
      <c r="G35" s="137"/>
    </row>
    <row r="36" spans="1:7" x14ac:dyDescent="0.3">
      <c r="C36" s="28"/>
      <c r="D36" s="29"/>
      <c r="E36" s="29"/>
      <c r="F36" s="29"/>
      <c r="G36" s="137"/>
    </row>
    <row r="37" spans="1:7" x14ac:dyDescent="0.3">
      <c r="C37" s="28"/>
      <c r="D37" s="29"/>
      <c r="E37" s="29"/>
      <c r="F37" s="29"/>
      <c r="G37" s="137"/>
    </row>
    <row r="38" spans="1:7" x14ac:dyDescent="0.3">
      <c r="C38" s="28"/>
      <c r="D38" s="29"/>
      <c r="E38" s="29"/>
      <c r="F38" s="29"/>
      <c r="G38" s="137"/>
    </row>
    <row r="39" spans="1:7" x14ac:dyDescent="0.3">
      <c r="C39" s="27"/>
      <c r="D39" s="22"/>
      <c r="E39" s="22"/>
      <c r="F39" s="22"/>
      <c r="G39" s="137"/>
    </row>
    <row r="40" spans="1:7" x14ac:dyDescent="0.3">
      <c r="C40" s="27"/>
      <c r="D40" s="22"/>
      <c r="E40" s="22"/>
      <c r="F40" s="22"/>
      <c r="G40" s="137"/>
    </row>
    <row r="41" spans="1:7" x14ac:dyDescent="0.3">
      <c r="C41" s="27"/>
      <c r="D41" s="22"/>
      <c r="E41" s="22"/>
      <c r="F41" s="22"/>
      <c r="G41" s="137"/>
    </row>
    <row r="44" spans="1:7" s="24" customFormat="1" ht="17.25" x14ac:dyDescent="0.3">
      <c r="A44" s="355"/>
      <c r="B44" s="974"/>
      <c r="C44" s="30"/>
      <c r="D44" s="31"/>
      <c r="E44" s="31"/>
      <c r="F44" s="31"/>
      <c r="G44" s="138"/>
    </row>
    <row r="46" spans="1:7" s="24" customFormat="1" ht="17.25" x14ac:dyDescent="0.3">
      <c r="A46" s="355"/>
      <c r="B46" s="974"/>
      <c r="C46" s="30"/>
      <c r="D46" s="31"/>
      <c r="E46" s="31"/>
      <c r="F46" s="31"/>
      <c r="G46" s="138"/>
    </row>
    <row r="49" spans="1:7" s="24" customFormat="1" ht="17.25" x14ac:dyDescent="0.3">
      <c r="A49" s="355"/>
      <c r="B49" s="974"/>
      <c r="C49" s="30"/>
      <c r="D49" s="31"/>
      <c r="E49" s="31"/>
      <c r="F49" s="31"/>
      <c r="G49" s="138"/>
    </row>
    <row r="67" spans="1:7" s="24" customFormat="1" ht="17.25" x14ac:dyDescent="0.3">
      <c r="A67" s="355"/>
      <c r="B67" s="974"/>
      <c r="C67" s="30"/>
      <c r="D67" s="31"/>
      <c r="E67" s="31"/>
      <c r="F67" s="31"/>
      <c r="G67" s="138"/>
    </row>
    <row r="76" spans="1:7" x14ac:dyDescent="0.3">
      <c r="D76" s="32"/>
    </row>
    <row r="77" spans="1:7" x14ac:dyDescent="0.3">
      <c r="D77" s="32"/>
    </row>
    <row r="78" spans="1:7" x14ac:dyDescent="0.3">
      <c r="D78" s="32"/>
    </row>
    <row r="79" spans="1:7" x14ac:dyDescent="0.3">
      <c r="D79" s="32"/>
    </row>
    <row r="80" spans="1:7" x14ac:dyDescent="0.3">
      <c r="D80" s="32"/>
    </row>
    <row r="81" spans="4:4" x14ac:dyDescent="0.3">
      <c r="D81" s="32"/>
    </row>
    <row r="82" spans="4:4" x14ac:dyDescent="0.3">
      <c r="D82" s="32"/>
    </row>
    <row r="83" spans="4:4" x14ac:dyDescent="0.3">
      <c r="D83" s="32"/>
    </row>
  </sheetData>
  <mergeCells count="3">
    <mergeCell ref="B1:D1"/>
    <mergeCell ref="C3:G3"/>
    <mergeCell ref="B4:G4"/>
  </mergeCells>
  <printOptions horizontalCentered="1"/>
  <pageMargins left="0.19685039370078741" right="0.19685039370078741" top="0.59055118110236227" bottom="0.59055118110236227" header="0.51181102362204722" footer="0.51181102362204722"/>
  <pageSetup paperSize="9" scale="78" orientation="portrait" r:id="rId1"/>
  <headerFooter alignWithMargins="0">
    <oddFooter>&amp;C- &amp;P -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3"/>
  <sheetViews>
    <sheetView view="pageBreakPreview" zoomScaleNormal="100" zoomScaleSheetLayoutView="100" workbookViewId="0">
      <selection activeCell="B1" sqref="B1:C1"/>
    </sheetView>
  </sheetViews>
  <sheetFormatPr defaultColWidth="9.140625" defaultRowHeight="16.5" x14ac:dyDescent="0.2"/>
  <cols>
    <col min="1" max="1" width="4.42578125" style="403" customWidth="1"/>
    <col min="2" max="2" width="65.7109375" style="582" customWidth="1"/>
    <col min="3" max="6" width="15.7109375" style="574" customWidth="1"/>
    <col min="7" max="7" width="15.28515625" style="574" hidden="1" customWidth="1"/>
    <col min="8" max="249" width="9.140625" style="409"/>
    <col min="250" max="250" width="3.7109375" style="409" customWidth="1"/>
    <col min="251" max="251" width="58.7109375" style="409" customWidth="1"/>
    <col min="252" max="255" width="15.28515625" style="409" customWidth="1"/>
    <col min="256" max="16384" width="9.140625" style="409"/>
  </cols>
  <sheetData>
    <row r="1" spans="1:7" ht="17.25" x14ac:dyDescent="0.2">
      <c r="A1" s="1136"/>
      <c r="B1" s="2168" t="s">
        <v>917</v>
      </c>
      <c r="C1" s="2168"/>
      <c r="D1" s="409"/>
      <c r="E1" s="409"/>
      <c r="F1" s="409"/>
      <c r="G1" s="409"/>
    </row>
    <row r="2" spans="1:7" x14ac:dyDescent="0.3">
      <c r="A2" s="1137"/>
      <c r="B2" s="92"/>
      <c r="C2" s="1138"/>
      <c r="D2" s="1138"/>
      <c r="E2" s="1138"/>
      <c r="F2" s="1138"/>
      <c r="G2" s="1138"/>
    </row>
    <row r="3" spans="1:7" ht="17.25" x14ac:dyDescent="0.2">
      <c r="A3" s="2171" t="s">
        <v>479</v>
      </c>
      <c r="B3" s="2171"/>
      <c r="C3" s="2171"/>
      <c r="D3" s="2171"/>
      <c r="E3" s="2171"/>
      <c r="F3" s="2171"/>
      <c r="G3" s="409"/>
    </row>
    <row r="4" spans="1:7" ht="17.25" x14ac:dyDescent="0.2">
      <c r="A4" s="2172" t="s">
        <v>318</v>
      </c>
      <c r="B4" s="2172"/>
      <c r="C4" s="2172"/>
      <c r="D4" s="2172"/>
      <c r="E4" s="2172"/>
      <c r="F4" s="2172"/>
      <c r="G4" s="409"/>
    </row>
    <row r="5" spans="1:7" ht="17.25" x14ac:dyDescent="0.2">
      <c r="B5" s="1135"/>
      <c r="E5" s="575"/>
      <c r="F5" s="575" t="s">
        <v>0</v>
      </c>
    </row>
    <row r="6" spans="1:7" s="403" customFormat="1" ht="17.25" thickBot="1" x14ac:dyDescent="0.25">
      <c r="A6" s="576"/>
      <c r="B6" s="576" t="s">
        <v>1</v>
      </c>
      <c r="C6" s="403" t="s">
        <v>3</v>
      </c>
      <c r="D6" s="403" t="s">
        <v>2</v>
      </c>
      <c r="E6" s="403" t="s">
        <v>4</v>
      </c>
      <c r="F6" s="403" t="s">
        <v>5</v>
      </c>
      <c r="G6" s="403" t="s">
        <v>4</v>
      </c>
    </row>
    <row r="7" spans="1:7" s="577" customFormat="1" ht="35.1" customHeight="1" x14ac:dyDescent="0.2">
      <c r="A7" s="2173" t="s">
        <v>319</v>
      </c>
      <c r="B7" s="2175" t="s">
        <v>6</v>
      </c>
      <c r="C7" s="2177" t="s">
        <v>477</v>
      </c>
      <c r="D7" s="2177" t="s">
        <v>478</v>
      </c>
      <c r="E7" s="2179" t="s">
        <v>593</v>
      </c>
      <c r="F7" s="2181" t="s">
        <v>653</v>
      </c>
      <c r="G7" s="2169" t="s">
        <v>469</v>
      </c>
    </row>
    <row r="8" spans="1:7" s="577" customFormat="1" ht="35.1" customHeight="1" thickBot="1" x14ac:dyDescent="0.25">
      <c r="A8" s="2174"/>
      <c r="B8" s="2176"/>
      <c r="C8" s="2178"/>
      <c r="D8" s="2178"/>
      <c r="E8" s="2180"/>
      <c r="F8" s="2182"/>
      <c r="G8" s="2170"/>
    </row>
    <row r="9" spans="1:7" s="578" customFormat="1" ht="22.5" customHeight="1" x14ac:dyDescent="0.2">
      <c r="A9" s="1351">
        <v>1</v>
      </c>
      <c r="B9" s="1352" t="s">
        <v>827</v>
      </c>
      <c r="C9" s="612">
        <v>20000</v>
      </c>
      <c r="D9" s="1353"/>
      <c r="E9" s="1353"/>
      <c r="F9" s="626"/>
      <c r="G9" s="620"/>
    </row>
    <row r="10" spans="1:7" s="578" customFormat="1" ht="22.5" customHeight="1" x14ac:dyDescent="0.2">
      <c r="A10" s="405">
        <v>2</v>
      </c>
      <c r="B10" s="1354" t="s">
        <v>347</v>
      </c>
      <c r="C10" s="579">
        <v>12000</v>
      </c>
      <c r="D10" s="579"/>
      <c r="E10" s="579"/>
      <c r="F10" s="627"/>
      <c r="G10" s="621"/>
    </row>
    <row r="11" spans="1:7" s="578" customFormat="1" ht="30" x14ac:dyDescent="0.2">
      <c r="A11" s="405">
        <v>3</v>
      </c>
      <c r="B11" s="1355" t="s">
        <v>828</v>
      </c>
      <c r="C11" s="579"/>
      <c r="D11" s="579">
        <v>118000</v>
      </c>
      <c r="E11" s="579">
        <v>118000</v>
      </c>
      <c r="F11" s="627">
        <v>118000</v>
      </c>
      <c r="G11" s="621"/>
    </row>
    <row r="12" spans="1:7" s="578" customFormat="1" ht="22.5" customHeight="1" x14ac:dyDescent="0.2">
      <c r="A12" s="405">
        <v>4</v>
      </c>
      <c r="B12" s="1354" t="s">
        <v>829</v>
      </c>
      <c r="C12" s="579">
        <v>28000</v>
      </c>
      <c r="D12" s="579"/>
      <c r="E12" s="579"/>
      <c r="F12" s="627"/>
      <c r="G12" s="621"/>
    </row>
    <row r="13" spans="1:7" s="578" customFormat="1" ht="30" x14ac:dyDescent="0.2">
      <c r="A13" s="405">
        <v>5</v>
      </c>
      <c r="B13" s="1354" t="s">
        <v>830</v>
      </c>
      <c r="C13" s="579">
        <v>120000</v>
      </c>
      <c r="D13" s="579"/>
      <c r="E13" s="579"/>
      <c r="F13" s="627"/>
      <c r="G13" s="621"/>
    </row>
    <row r="14" spans="1:7" s="578" customFormat="1" ht="30" x14ac:dyDescent="0.2">
      <c r="A14" s="405">
        <v>6</v>
      </c>
      <c r="B14" s="1354" t="s">
        <v>831</v>
      </c>
      <c r="C14" s="579">
        <v>50348</v>
      </c>
      <c r="D14" s="579"/>
      <c r="E14" s="579"/>
      <c r="F14" s="627"/>
      <c r="G14" s="621"/>
    </row>
    <row r="15" spans="1:7" s="578" customFormat="1" ht="22.5" customHeight="1" x14ac:dyDescent="0.2">
      <c r="A15" s="405">
        <v>7</v>
      </c>
      <c r="B15" s="1354" t="s">
        <v>832</v>
      </c>
      <c r="C15" s="579">
        <v>38100</v>
      </c>
      <c r="D15" s="579"/>
      <c r="E15" s="579"/>
      <c r="F15" s="627"/>
      <c r="G15" s="621"/>
    </row>
    <row r="16" spans="1:7" s="578" customFormat="1" ht="22.5" customHeight="1" x14ac:dyDescent="0.2">
      <c r="A16" s="405">
        <v>8</v>
      </c>
      <c r="B16" s="1354" t="s">
        <v>833</v>
      </c>
      <c r="C16" s="613">
        <v>469480</v>
      </c>
      <c r="D16" s="579">
        <v>1124480</v>
      </c>
      <c r="E16" s="579">
        <v>1124480</v>
      </c>
      <c r="F16" s="627">
        <v>1124480</v>
      </c>
      <c r="G16" s="621"/>
    </row>
    <row r="17" spans="1:8" s="578" customFormat="1" ht="30" x14ac:dyDescent="0.2">
      <c r="A17" s="405"/>
      <c r="B17" s="1356" t="s">
        <v>890</v>
      </c>
      <c r="C17" s="581"/>
      <c r="D17" s="581"/>
      <c r="E17" s="581"/>
      <c r="F17" s="629"/>
      <c r="G17" s="621"/>
    </row>
    <row r="18" spans="1:8" s="578" customFormat="1" ht="22.5" customHeight="1" x14ac:dyDescent="0.2">
      <c r="A18" s="405">
        <v>9</v>
      </c>
      <c r="B18" s="1357" t="s">
        <v>834</v>
      </c>
      <c r="C18" s="613">
        <v>121336</v>
      </c>
      <c r="D18" s="579">
        <v>342800</v>
      </c>
      <c r="E18" s="579">
        <v>342800</v>
      </c>
      <c r="F18" s="627">
        <v>342800</v>
      </c>
      <c r="G18" s="621"/>
      <c r="H18" s="1020"/>
    </row>
    <row r="19" spans="1:8" s="578" customFormat="1" ht="22.5" customHeight="1" x14ac:dyDescent="0.2">
      <c r="A19" s="405">
        <v>10</v>
      </c>
      <c r="B19" s="1357" t="s">
        <v>835</v>
      </c>
      <c r="C19" s="613">
        <v>231700</v>
      </c>
      <c r="D19" s="579">
        <v>331700</v>
      </c>
      <c r="E19" s="579">
        <v>331700</v>
      </c>
      <c r="F19" s="627">
        <v>331700</v>
      </c>
      <c r="G19" s="621"/>
    </row>
    <row r="20" spans="1:8" ht="22.5" customHeight="1" x14ac:dyDescent="0.2">
      <c r="A20" s="405">
        <v>11</v>
      </c>
      <c r="B20" s="1357" t="s">
        <v>836</v>
      </c>
      <c r="C20" s="581">
        <v>31600</v>
      </c>
      <c r="D20" s="581">
        <v>71600</v>
      </c>
      <c r="E20" s="581">
        <v>71600</v>
      </c>
      <c r="F20" s="629">
        <v>71600</v>
      </c>
      <c r="G20" s="624"/>
    </row>
    <row r="21" spans="1:8" s="578" customFormat="1" ht="22.5" customHeight="1" x14ac:dyDescent="0.2">
      <c r="A21" s="405">
        <v>12</v>
      </c>
      <c r="B21" s="1357" t="s">
        <v>837</v>
      </c>
      <c r="C21" s="613">
        <v>37700</v>
      </c>
      <c r="D21" s="579">
        <v>57700</v>
      </c>
      <c r="E21" s="579">
        <v>57700</v>
      </c>
      <c r="F21" s="627">
        <v>57700</v>
      </c>
      <c r="G21" s="621"/>
    </row>
    <row r="22" spans="1:8" s="578" customFormat="1" ht="22.5" customHeight="1" x14ac:dyDescent="0.2">
      <c r="A22" s="405"/>
      <c r="B22" s="1358" t="s">
        <v>838</v>
      </c>
      <c r="C22" s="613"/>
      <c r="D22" s="613"/>
      <c r="E22" s="1021"/>
      <c r="F22" s="1142"/>
      <c r="G22" s="621"/>
    </row>
    <row r="23" spans="1:8" s="578" customFormat="1" ht="22.5" customHeight="1" x14ac:dyDescent="0.2">
      <c r="A23" s="405">
        <v>13</v>
      </c>
      <c r="B23" s="1357" t="s">
        <v>839</v>
      </c>
      <c r="C23" s="613"/>
      <c r="D23" s="579">
        <v>50000</v>
      </c>
      <c r="E23" s="579">
        <v>50000</v>
      </c>
      <c r="F23" s="627">
        <v>50000</v>
      </c>
      <c r="G23" s="621"/>
    </row>
    <row r="24" spans="1:8" s="578" customFormat="1" ht="22.5" customHeight="1" x14ac:dyDescent="0.2">
      <c r="A24" s="405">
        <v>14</v>
      </c>
      <c r="B24" s="1359" t="s">
        <v>840</v>
      </c>
      <c r="C24" s="613"/>
      <c r="D24" s="579">
        <v>200436</v>
      </c>
      <c r="E24" s="579">
        <v>200436</v>
      </c>
      <c r="F24" s="627">
        <v>200436</v>
      </c>
      <c r="G24" s="621"/>
    </row>
    <row r="25" spans="1:8" s="578" customFormat="1" ht="22.5" customHeight="1" x14ac:dyDescent="0.2">
      <c r="A25" s="405">
        <v>15</v>
      </c>
      <c r="B25" s="1359" t="s">
        <v>841</v>
      </c>
      <c r="C25" s="613">
        <v>147218</v>
      </c>
      <c r="D25" s="579"/>
      <c r="E25" s="579"/>
      <c r="F25" s="627"/>
      <c r="G25" s="621"/>
    </row>
    <row r="26" spans="1:8" s="578" customFormat="1" ht="30" x14ac:dyDescent="0.2">
      <c r="A26" s="405">
        <v>16</v>
      </c>
      <c r="B26" s="1360" t="s">
        <v>842</v>
      </c>
      <c r="C26" s="579">
        <v>150000</v>
      </c>
      <c r="D26" s="579"/>
      <c r="E26" s="579"/>
      <c r="F26" s="627"/>
      <c r="G26" s="621"/>
    </row>
    <row r="27" spans="1:8" ht="30" x14ac:dyDescent="0.2">
      <c r="A27" s="405">
        <v>17</v>
      </c>
      <c r="B27" s="1360" t="s">
        <v>843</v>
      </c>
      <c r="C27" s="580">
        <v>120000</v>
      </c>
      <c r="D27" s="580"/>
      <c r="E27" s="579"/>
      <c r="F27" s="628"/>
      <c r="G27" s="622">
        <v>38324</v>
      </c>
    </row>
    <row r="28" spans="1:8" ht="22.5" customHeight="1" x14ac:dyDescent="0.2">
      <c r="A28" s="405">
        <v>18</v>
      </c>
      <c r="B28" s="1355" t="s">
        <v>844</v>
      </c>
      <c r="C28" s="580">
        <v>70000</v>
      </c>
      <c r="D28" s="580"/>
      <c r="E28" s="580"/>
      <c r="F28" s="628"/>
      <c r="G28" s="622"/>
    </row>
    <row r="29" spans="1:8" ht="45" x14ac:dyDescent="0.2">
      <c r="A29" s="405">
        <v>19</v>
      </c>
      <c r="B29" s="1361" t="s">
        <v>845</v>
      </c>
      <c r="C29" s="580">
        <v>155000</v>
      </c>
      <c r="D29" s="580">
        <v>100000</v>
      </c>
      <c r="E29" s="580"/>
      <c r="F29" s="628"/>
      <c r="G29" s="622"/>
    </row>
    <row r="30" spans="1:8" ht="30" x14ac:dyDescent="0.2">
      <c r="A30" s="405">
        <v>20</v>
      </c>
      <c r="B30" s="1362" t="s">
        <v>846</v>
      </c>
      <c r="C30" s="580">
        <v>239</v>
      </c>
      <c r="D30" s="580">
        <v>239</v>
      </c>
      <c r="E30" s="580">
        <v>239</v>
      </c>
      <c r="F30" s="628">
        <v>239</v>
      </c>
      <c r="G30" s="622">
        <v>38100</v>
      </c>
    </row>
    <row r="31" spans="1:8" ht="30" x14ac:dyDescent="0.2">
      <c r="A31" s="405">
        <v>21</v>
      </c>
      <c r="B31" s="1362" t="s">
        <v>847</v>
      </c>
      <c r="C31" s="580">
        <v>70000</v>
      </c>
      <c r="D31" s="580"/>
      <c r="E31" s="580"/>
      <c r="F31" s="628"/>
      <c r="G31" s="622"/>
    </row>
    <row r="32" spans="1:8" ht="30" x14ac:dyDescent="0.2">
      <c r="A32" s="405">
        <v>22</v>
      </c>
      <c r="B32" s="1354" t="s">
        <v>848</v>
      </c>
      <c r="C32" s="580">
        <v>12500</v>
      </c>
      <c r="D32" s="580">
        <v>25000</v>
      </c>
      <c r="E32" s="580">
        <v>25000</v>
      </c>
      <c r="F32" s="628"/>
      <c r="G32" s="622"/>
    </row>
    <row r="33" spans="1:7" ht="45" x14ac:dyDescent="0.2">
      <c r="A33" s="405">
        <v>23</v>
      </c>
      <c r="B33" s="1354" t="s">
        <v>849</v>
      </c>
      <c r="C33" s="580">
        <v>12500</v>
      </c>
      <c r="D33" s="580"/>
      <c r="E33" s="580"/>
      <c r="F33" s="628"/>
      <c r="G33" s="622"/>
    </row>
    <row r="34" spans="1:7" ht="30" x14ac:dyDescent="0.2">
      <c r="A34" s="405">
        <v>24</v>
      </c>
      <c r="B34" s="1354" t="s">
        <v>850</v>
      </c>
      <c r="C34" s="580">
        <v>8500</v>
      </c>
      <c r="D34" s="580">
        <v>17000</v>
      </c>
      <c r="E34" s="580"/>
      <c r="F34" s="628"/>
      <c r="G34" s="622">
        <v>270000</v>
      </c>
    </row>
    <row r="35" spans="1:7" ht="22.5" customHeight="1" x14ac:dyDescent="0.2">
      <c r="A35" s="405">
        <v>25</v>
      </c>
      <c r="B35" s="1354" t="s">
        <v>851</v>
      </c>
      <c r="C35" s="580">
        <v>15000</v>
      </c>
      <c r="D35" s="580"/>
      <c r="E35" s="580"/>
      <c r="F35" s="628"/>
      <c r="G35" s="622">
        <v>288725</v>
      </c>
    </row>
    <row r="36" spans="1:7" ht="30" x14ac:dyDescent="0.2">
      <c r="A36" s="405">
        <v>26</v>
      </c>
      <c r="B36" s="1355" t="s">
        <v>852</v>
      </c>
      <c r="C36" s="580">
        <v>40000</v>
      </c>
      <c r="D36" s="580"/>
      <c r="E36" s="580"/>
      <c r="F36" s="628"/>
      <c r="G36" s="622">
        <v>21000</v>
      </c>
    </row>
    <row r="37" spans="1:7" ht="30" x14ac:dyDescent="0.2">
      <c r="A37" s="405">
        <v>27</v>
      </c>
      <c r="B37" s="1355" t="s">
        <v>853</v>
      </c>
      <c r="C37" s="580">
        <v>22000</v>
      </c>
      <c r="D37" s="580">
        <v>22000</v>
      </c>
      <c r="E37" s="580">
        <v>22000</v>
      </c>
      <c r="F37" s="628"/>
      <c r="G37" s="622">
        <v>186000</v>
      </c>
    </row>
    <row r="38" spans="1:7" ht="22.5" customHeight="1" x14ac:dyDescent="0.2">
      <c r="A38" s="405">
        <v>28</v>
      </c>
      <c r="B38" s="1355" t="s">
        <v>379</v>
      </c>
      <c r="C38" s="580">
        <v>7750</v>
      </c>
      <c r="D38" s="580">
        <v>7750</v>
      </c>
      <c r="E38" s="580">
        <v>7750</v>
      </c>
      <c r="F38" s="628">
        <v>7750</v>
      </c>
      <c r="G38" s="622">
        <v>180000</v>
      </c>
    </row>
    <row r="39" spans="1:7" ht="30" x14ac:dyDescent="0.2">
      <c r="A39" s="405">
        <v>29</v>
      </c>
      <c r="B39" s="1354" t="s">
        <v>854</v>
      </c>
      <c r="C39" s="580">
        <v>2819</v>
      </c>
      <c r="D39" s="580">
        <v>1175</v>
      </c>
      <c r="E39" s="580"/>
      <c r="F39" s="628"/>
      <c r="G39" s="622">
        <v>20000</v>
      </c>
    </row>
    <row r="40" spans="1:7" ht="60" x14ac:dyDescent="0.2">
      <c r="A40" s="405">
        <v>30</v>
      </c>
      <c r="B40" s="1355" t="s">
        <v>855</v>
      </c>
      <c r="C40" s="580">
        <v>5500</v>
      </c>
      <c r="D40" s="580">
        <v>917</v>
      </c>
      <c r="E40" s="580"/>
      <c r="F40" s="628"/>
      <c r="G40" s="622" t="s">
        <v>242</v>
      </c>
    </row>
    <row r="41" spans="1:7" ht="22.5" customHeight="1" x14ac:dyDescent="0.2">
      <c r="A41" s="405">
        <v>31</v>
      </c>
      <c r="B41" s="1350" t="s">
        <v>410</v>
      </c>
      <c r="C41" s="581">
        <v>3840</v>
      </c>
      <c r="D41" s="581">
        <v>3840</v>
      </c>
      <c r="E41" s="581">
        <v>3840</v>
      </c>
      <c r="F41" s="629">
        <v>3840</v>
      </c>
      <c r="G41" s="623"/>
    </row>
    <row r="42" spans="1:7" ht="22.5" customHeight="1" x14ac:dyDescent="0.2">
      <c r="A42" s="405">
        <v>32</v>
      </c>
      <c r="B42" s="1363" t="s">
        <v>856</v>
      </c>
      <c r="C42" s="580">
        <v>300</v>
      </c>
      <c r="D42" s="580">
        <v>300</v>
      </c>
      <c r="E42" s="580">
        <v>300</v>
      </c>
      <c r="F42" s="628">
        <v>300</v>
      </c>
      <c r="G42" s="622"/>
    </row>
    <row r="43" spans="1:7" ht="22.5" customHeight="1" x14ac:dyDescent="0.2">
      <c r="A43" s="405">
        <v>33</v>
      </c>
      <c r="B43" s="1363" t="s">
        <v>857</v>
      </c>
      <c r="C43" s="580">
        <v>127</v>
      </c>
      <c r="D43" s="580">
        <v>127</v>
      </c>
      <c r="E43" s="580">
        <v>127</v>
      </c>
      <c r="F43" s="628">
        <v>127</v>
      </c>
      <c r="G43" s="622"/>
    </row>
    <row r="44" spans="1:7" ht="33" x14ac:dyDescent="0.2">
      <c r="A44" s="405">
        <v>34</v>
      </c>
      <c r="B44" s="1363" t="s">
        <v>858</v>
      </c>
      <c r="C44" s="581">
        <v>1500</v>
      </c>
      <c r="D44" s="581">
        <v>1500</v>
      </c>
      <c r="E44" s="581">
        <v>1500</v>
      </c>
      <c r="F44" s="629">
        <v>1500</v>
      </c>
      <c r="G44" s="623">
        <v>239</v>
      </c>
    </row>
    <row r="45" spans="1:7" ht="22.5" customHeight="1" x14ac:dyDescent="0.2">
      <c r="A45" s="405">
        <v>35</v>
      </c>
      <c r="B45" s="1363" t="s">
        <v>859</v>
      </c>
      <c r="C45" s="581">
        <v>300</v>
      </c>
      <c r="D45" s="581">
        <v>300</v>
      </c>
      <c r="E45" s="581">
        <v>300</v>
      </c>
      <c r="F45" s="629">
        <v>300</v>
      </c>
      <c r="G45" s="623"/>
    </row>
    <row r="46" spans="1:7" ht="22.5" customHeight="1" x14ac:dyDescent="0.2">
      <c r="A46" s="405">
        <v>36</v>
      </c>
      <c r="B46" s="1363" t="s">
        <v>860</v>
      </c>
      <c r="C46" s="580">
        <v>120</v>
      </c>
      <c r="D46" s="580">
        <v>120</v>
      </c>
      <c r="E46" s="580">
        <v>120</v>
      </c>
      <c r="F46" s="628">
        <v>120</v>
      </c>
      <c r="G46" s="622">
        <v>25000</v>
      </c>
    </row>
    <row r="47" spans="1:7" ht="22.5" customHeight="1" x14ac:dyDescent="0.2">
      <c r="A47" s="405">
        <v>37</v>
      </c>
      <c r="B47" s="1363" t="s">
        <v>861</v>
      </c>
      <c r="C47" s="580">
        <v>2000</v>
      </c>
      <c r="D47" s="580">
        <v>2000</v>
      </c>
      <c r="E47" s="580">
        <v>2000</v>
      </c>
      <c r="F47" s="628">
        <v>2000</v>
      </c>
      <c r="G47" s="622"/>
    </row>
    <row r="48" spans="1:7" ht="22.5" customHeight="1" x14ac:dyDescent="0.2">
      <c r="A48" s="405">
        <v>38</v>
      </c>
      <c r="B48" s="1363" t="s">
        <v>862</v>
      </c>
      <c r="C48" s="580">
        <v>600</v>
      </c>
      <c r="D48" s="580">
        <v>600</v>
      </c>
      <c r="E48" s="580">
        <v>600</v>
      </c>
      <c r="F48" s="628">
        <v>600</v>
      </c>
      <c r="G48" s="622"/>
    </row>
    <row r="49" spans="1:7" ht="33" x14ac:dyDescent="0.2">
      <c r="A49" s="405">
        <v>39</v>
      </c>
      <c r="B49" s="1363" t="s">
        <v>863</v>
      </c>
      <c r="C49" s="580">
        <v>12000</v>
      </c>
      <c r="D49" s="580">
        <v>12000</v>
      </c>
      <c r="E49" s="580">
        <v>12000</v>
      </c>
      <c r="F49" s="628">
        <v>12000</v>
      </c>
      <c r="G49" s="622"/>
    </row>
    <row r="50" spans="1:7" ht="33" x14ac:dyDescent="0.2">
      <c r="A50" s="405">
        <v>40</v>
      </c>
      <c r="B50" s="1350" t="s">
        <v>425</v>
      </c>
      <c r="C50" s="579">
        <v>168214</v>
      </c>
      <c r="D50" s="579">
        <v>168214</v>
      </c>
      <c r="E50" s="580">
        <v>168214</v>
      </c>
      <c r="F50" s="628">
        <v>168214</v>
      </c>
      <c r="G50" s="622"/>
    </row>
    <row r="51" spans="1:7" ht="22.5" customHeight="1" x14ac:dyDescent="0.2">
      <c r="A51" s="405">
        <v>41</v>
      </c>
      <c r="B51" s="1363" t="s">
        <v>864</v>
      </c>
      <c r="C51" s="581">
        <v>60000</v>
      </c>
      <c r="D51" s="581">
        <v>60000</v>
      </c>
      <c r="E51" s="581">
        <v>60000</v>
      </c>
      <c r="F51" s="629">
        <v>60000</v>
      </c>
      <c r="G51" s="623"/>
    </row>
    <row r="52" spans="1:7" ht="49.5" x14ac:dyDescent="0.2">
      <c r="A52" s="405">
        <v>42</v>
      </c>
      <c r="B52" s="1363" t="s">
        <v>865</v>
      </c>
      <c r="C52" s="580">
        <v>6451</v>
      </c>
      <c r="D52" s="580">
        <v>6451</v>
      </c>
      <c r="E52" s="580">
        <v>6451</v>
      </c>
      <c r="F52" s="628">
        <v>6451</v>
      </c>
      <c r="G52" s="622"/>
    </row>
    <row r="53" spans="1:7" ht="49.5" x14ac:dyDescent="0.2">
      <c r="A53" s="405">
        <v>43</v>
      </c>
      <c r="B53" s="1350" t="s">
        <v>866</v>
      </c>
      <c r="C53" s="581">
        <v>9398</v>
      </c>
      <c r="D53" s="581">
        <v>9398</v>
      </c>
      <c r="E53" s="581"/>
      <c r="F53" s="629"/>
      <c r="G53" s="623"/>
    </row>
    <row r="54" spans="1:7" ht="49.5" x14ac:dyDescent="0.2">
      <c r="A54" s="405">
        <v>44</v>
      </c>
      <c r="B54" s="1363" t="s">
        <v>867</v>
      </c>
      <c r="C54" s="581">
        <v>8538</v>
      </c>
      <c r="D54" s="581"/>
      <c r="E54" s="580"/>
      <c r="F54" s="629"/>
      <c r="G54" s="623">
        <v>3840</v>
      </c>
    </row>
    <row r="55" spans="1:7" ht="22.5" customHeight="1" x14ac:dyDescent="0.2">
      <c r="A55" s="405">
        <v>45</v>
      </c>
      <c r="B55" s="1363" t="s">
        <v>868</v>
      </c>
      <c r="C55" s="581">
        <v>67000</v>
      </c>
      <c r="D55" s="581">
        <v>67000</v>
      </c>
      <c r="E55" s="580">
        <v>67000</v>
      </c>
      <c r="F55" s="629">
        <v>67000</v>
      </c>
      <c r="G55" s="623">
        <v>4000</v>
      </c>
    </row>
    <row r="56" spans="1:7" ht="22.5" customHeight="1" x14ac:dyDescent="0.2">
      <c r="A56" s="405">
        <v>46</v>
      </c>
      <c r="B56" s="1363" t="s">
        <v>869</v>
      </c>
      <c r="C56" s="580">
        <v>36000</v>
      </c>
      <c r="D56" s="580"/>
      <c r="E56" s="580"/>
      <c r="F56" s="628"/>
      <c r="G56" s="622">
        <v>300</v>
      </c>
    </row>
    <row r="57" spans="1:7" ht="33" x14ac:dyDescent="0.2">
      <c r="A57" s="405">
        <v>47</v>
      </c>
      <c r="B57" s="1363" t="s">
        <v>870</v>
      </c>
      <c r="C57" s="580">
        <v>10200</v>
      </c>
      <c r="D57" s="580">
        <v>10200</v>
      </c>
      <c r="E57" s="580"/>
      <c r="F57" s="628"/>
      <c r="G57" s="622">
        <v>127</v>
      </c>
    </row>
    <row r="58" spans="1:7" ht="22.5" customHeight="1" x14ac:dyDescent="0.2">
      <c r="A58" s="405">
        <v>48</v>
      </c>
      <c r="B58" s="1363" t="s">
        <v>11</v>
      </c>
      <c r="C58" s="580">
        <v>100</v>
      </c>
      <c r="D58" s="580">
        <v>100</v>
      </c>
      <c r="E58" s="580">
        <v>100</v>
      </c>
      <c r="F58" s="628">
        <v>100</v>
      </c>
      <c r="G58" s="622">
        <v>1200</v>
      </c>
    </row>
    <row r="59" spans="1:7" ht="22.5" customHeight="1" x14ac:dyDescent="0.2">
      <c r="A59" s="405">
        <v>49</v>
      </c>
      <c r="B59" s="1363" t="s">
        <v>12</v>
      </c>
      <c r="C59" s="580">
        <v>1000</v>
      </c>
      <c r="D59" s="580">
        <v>1000</v>
      </c>
      <c r="E59" s="580">
        <v>1000</v>
      </c>
      <c r="F59" s="628">
        <v>1000</v>
      </c>
      <c r="G59" s="622">
        <v>300</v>
      </c>
    </row>
    <row r="60" spans="1:7" ht="49.5" x14ac:dyDescent="0.2">
      <c r="A60" s="405">
        <v>50</v>
      </c>
      <c r="B60" s="1350" t="s">
        <v>871</v>
      </c>
      <c r="C60" s="580">
        <v>19025</v>
      </c>
      <c r="D60" s="580"/>
      <c r="E60" s="580"/>
      <c r="F60" s="628"/>
      <c r="G60" s="622">
        <v>120</v>
      </c>
    </row>
    <row r="61" spans="1:7" ht="49.5" x14ac:dyDescent="0.2">
      <c r="A61" s="405">
        <v>51</v>
      </c>
      <c r="B61" s="1350" t="s">
        <v>872</v>
      </c>
      <c r="C61" s="580">
        <v>8509</v>
      </c>
      <c r="D61" s="580"/>
      <c r="E61" s="580"/>
      <c r="F61" s="628"/>
      <c r="G61" s="622">
        <v>1700</v>
      </c>
    </row>
    <row r="62" spans="1:7" ht="33" x14ac:dyDescent="0.2">
      <c r="A62" s="405">
        <v>52</v>
      </c>
      <c r="B62" s="1350" t="s">
        <v>873</v>
      </c>
      <c r="C62" s="580">
        <v>99619</v>
      </c>
      <c r="D62" s="580">
        <v>110457</v>
      </c>
      <c r="E62" s="580">
        <v>121503</v>
      </c>
      <c r="F62" s="628"/>
      <c r="G62" s="622">
        <v>600</v>
      </c>
    </row>
    <row r="63" spans="1:7" ht="33" x14ac:dyDescent="0.2">
      <c r="A63" s="405">
        <v>53</v>
      </c>
      <c r="B63" s="1350" t="s">
        <v>874</v>
      </c>
      <c r="C63" s="580">
        <v>6000</v>
      </c>
      <c r="D63" s="580">
        <v>6000</v>
      </c>
      <c r="E63" s="580">
        <v>6000</v>
      </c>
      <c r="F63" s="628">
        <v>6000</v>
      </c>
      <c r="G63" s="622">
        <v>12000</v>
      </c>
    </row>
    <row r="64" spans="1:7" ht="66" x14ac:dyDescent="0.2">
      <c r="A64" s="405">
        <v>54</v>
      </c>
      <c r="B64" s="1350" t="s">
        <v>875</v>
      </c>
      <c r="C64" s="580">
        <v>5280</v>
      </c>
      <c r="D64" s="580"/>
      <c r="E64" s="580"/>
      <c r="F64" s="628"/>
      <c r="G64" s="622">
        <v>356958</v>
      </c>
    </row>
    <row r="65" spans="1:7" ht="22.5" customHeight="1" x14ac:dyDescent="0.2">
      <c r="A65" s="405">
        <v>55</v>
      </c>
      <c r="B65" s="1350" t="s">
        <v>876</v>
      </c>
      <c r="C65" s="580">
        <v>180</v>
      </c>
      <c r="D65" s="580">
        <v>180</v>
      </c>
      <c r="E65" s="580">
        <v>180</v>
      </c>
      <c r="F65" s="628">
        <v>180</v>
      </c>
      <c r="G65" s="622">
        <v>38148</v>
      </c>
    </row>
    <row r="66" spans="1:7" ht="22.5" customHeight="1" x14ac:dyDescent="0.2">
      <c r="A66" s="405">
        <v>56</v>
      </c>
      <c r="B66" s="1350" t="s">
        <v>877</v>
      </c>
      <c r="C66" s="581">
        <v>517509</v>
      </c>
      <c r="D66" s="581"/>
      <c r="E66" s="580"/>
      <c r="F66" s="628"/>
      <c r="G66" s="623"/>
    </row>
    <row r="67" spans="1:7" ht="33" x14ac:dyDescent="0.2">
      <c r="A67" s="405">
        <v>57</v>
      </c>
      <c r="B67" s="1350" t="s">
        <v>878</v>
      </c>
      <c r="C67" s="581">
        <v>460286</v>
      </c>
      <c r="D67" s="581">
        <v>1018623</v>
      </c>
      <c r="E67" s="580">
        <v>1121023</v>
      </c>
      <c r="F67" s="628">
        <v>1233714</v>
      </c>
      <c r="G67" s="623"/>
    </row>
    <row r="68" spans="1:7" ht="49.5" x14ac:dyDescent="0.2">
      <c r="A68" s="405">
        <v>58</v>
      </c>
      <c r="B68" s="1350" t="s">
        <v>879</v>
      </c>
      <c r="C68" s="581">
        <v>3277</v>
      </c>
      <c r="D68" s="581">
        <v>3440</v>
      </c>
      <c r="E68" s="580">
        <v>3613</v>
      </c>
      <c r="F68" s="628">
        <v>3793</v>
      </c>
      <c r="G68" s="623"/>
    </row>
    <row r="69" spans="1:7" ht="49.5" x14ac:dyDescent="0.2">
      <c r="A69" s="405">
        <v>59</v>
      </c>
      <c r="B69" s="1350" t="s">
        <v>880</v>
      </c>
      <c r="C69" s="581">
        <v>2349</v>
      </c>
      <c r="D69" s="581">
        <v>2458</v>
      </c>
      <c r="E69" s="580">
        <v>2188</v>
      </c>
      <c r="F69" s="628">
        <v>2290</v>
      </c>
      <c r="G69" s="623"/>
    </row>
    <row r="70" spans="1:7" ht="33" x14ac:dyDescent="0.2">
      <c r="A70" s="405">
        <v>60</v>
      </c>
      <c r="B70" s="1350" t="s">
        <v>881</v>
      </c>
      <c r="C70" s="581">
        <v>595</v>
      </c>
      <c r="D70" s="581"/>
      <c r="E70" s="580"/>
      <c r="F70" s="628"/>
      <c r="G70" s="623"/>
    </row>
    <row r="71" spans="1:7" ht="33" x14ac:dyDescent="0.2">
      <c r="A71" s="405">
        <v>61</v>
      </c>
      <c r="B71" s="1350" t="s">
        <v>882</v>
      </c>
      <c r="C71" s="581">
        <v>42642</v>
      </c>
      <c r="D71" s="581"/>
      <c r="E71" s="580"/>
      <c r="F71" s="628"/>
      <c r="G71" s="623"/>
    </row>
    <row r="72" spans="1:7" ht="33" x14ac:dyDescent="0.2">
      <c r="A72" s="405">
        <v>62</v>
      </c>
      <c r="B72" s="1350" t="s">
        <v>883</v>
      </c>
      <c r="C72" s="581">
        <v>3429</v>
      </c>
      <c r="D72" s="581"/>
      <c r="E72" s="580"/>
      <c r="F72" s="628"/>
      <c r="G72" s="623"/>
    </row>
    <row r="73" spans="1:7" ht="33" x14ac:dyDescent="0.2">
      <c r="A73" s="405">
        <v>63</v>
      </c>
      <c r="B73" s="1350" t="s">
        <v>884</v>
      </c>
      <c r="C73" s="581">
        <v>5182</v>
      </c>
      <c r="D73" s="581">
        <v>2591</v>
      </c>
      <c r="E73" s="580"/>
      <c r="F73" s="628"/>
      <c r="G73" s="623"/>
    </row>
    <row r="74" spans="1:7" ht="33" x14ac:dyDescent="0.2">
      <c r="A74" s="405">
        <v>64</v>
      </c>
      <c r="B74" s="1350" t="s">
        <v>885</v>
      </c>
      <c r="C74" s="581">
        <v>5000</v>
      </c>
      <c r="D74" s="581"/>
      <c r="E74" s="580"/>
      <c r="F74" s="628"/>
      <c r="G74" s="623"/>
    </row>
    <row r="75" spans="1:7" ht="33" x14ac:dyDescent="0.2">
      <c r="A75" s="405">
        <v>65</v>
      </c>
      <c r="B75" s="1350" t="s">
        <v>886</v>
      </c>
      <c r="C75" s="581">
        <v>217000</v>
      </c>
      <c r="D75" s="581">
        <v>283000</v>
      </c>
      <c r="E75" s="580"/>
      <c r="F75" s="628"/>
      <c r="G75" s="623"/>
    </row>
    <row r="76" spans="1:7" ht="33" x14ac:dyDescent="0.2">
      <c r="A76" s="405">
        <v>66</v>
      </c>
      <c r="B76" s="1350" t="s">
        <v>887</v>
      </c>
      <c r="C76" s="581">
        <v>11000</v>
      </c>
      <c r="D76" s="581"/>
      <c r="E76" s="580"/>
      <c r="F76" s="629"/>
      <c r="G76" s="623">
        <v>95000</v>
      </c>
    </row>
    <row r="77" spans="1:7" ht="49.5" x14ac:dyDescent="0.2">
      <c r="A77" s="405">
        <v>67</v>
      </c>
      <c r="B77" s="1350" t="s">
        <v>888</v>
      </c>
      <c r="C77" s="581">
        <v>93</v>
      </c>
      <c r="D77" s="581">
        <v>80</v>
      </c>
      <c r="E77" s="580">
        <v>80</v>
      </c>
      <c r="F77" s="629">
        <v>80</v>
      </c>
      <c r="G77" s="623">
        <v>5600</v>
      </c>
    </row>
    <row r="78" spans="1:7" ht="50.25" thickBot="1" x14ac:dyDescent="0.25">
      <c r="A78" s="405">
        <v>68</v>
      </c>
      <c r="B78" s="1350" t="s">
        <v>889</v>
      </c>
      <c r="C78" s="580">
        <v>6996</v>
      </c>
      <c r="D78" s="580">
        <v>7896</v>
      </c>
      <c r="E78" s="580"/>
      <c r="F78" s="628"/>
      <c r="G78" s="622"/>
    </row>
    <row r="79" spans="1:7" s="414" customFormat="1" ht="29.25" customHeight="1" thickBot="1" x14ac:dyDescent="0.25">
      <c r="A79" s="2166" t="s">
        <v>824</v>
      </c>
      <c r="B79" s="2167"/>
      <c r="C79" s="1364">
        <f>SUM(C9:C78)</f>
        <v>3800949</v>
      </c>
      <c r="D79" s="1364">
        <f t="shared" ref="D79:F79" si="0">SUM(D9:D78)</f>
        <v>4248672</v>
      </c>
      <c r="E79" s="1364">
        <f t="shared" si="0"/>
        <v>3929844</v>
      </c>
      <c r="F79" s="1365">
        <f t="shared" si="0"/>
        <v>3874314</v>
      </c>
      <c r="G79" s="625">
        <f>SUM(G27:G78)</f>
        <v>1587281</v>
      </c>
    </row>
    <row r="82" spans="2:2" ht="17.25" x14ac:dyDescent="0.2">
      <c r="B82" s="638"/>
    </row>
    <row r="83" spans="2:2" ht="17.25" x14ac:dyDescent="0.2">
      <c r="B83" s="638"/>
    </row>
  </sheetData>
  <mergeCells count="11">
    <mergeCell ref="A79:B79"/>
    <mergeCell ref="B1:C1"/>
    <mergeCell ref="G7:G8"/>
    <mergeCell ref="A3:F3"/>
    <mergeCell ref="A4:F4"/>
    <mergeCell ref="A7:A8"/>
    <mergeCell ref="B7:B8"/>
    <mergeCell ref="C7:C8"/>
    <mergeCell ref="D7:D8"/>
    <mergeCell ref="E7:E8"/>
    <mergeCell ref="F7:F8"/>
  </mergeCells>
  <printOptions horizontalCentered="1"/>
  <pageMargins left="0.19685039370078741" right="0.19685039370078741" top="0.59055118110236227" bottom="0.19685039370078741" header="0.51181102362204722" footer="0.51181102362204722"/>
  <pageSetup paperSize="9" scale="77" fitToHeight="0" orientation="portrait" r:id="rId1"/>
  <headerFooter>
    <oddFooter>&amp;C
- &amp;P -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7"/>
  <sheetViews>
    <sheetView view="pageBreakPreview" zoomScaleNormal="100" zoomScaleSheetLayoutView="100" workbookViewId="0">
      <selection activeCell="B1" sqref="B1:F1"/>
    </sheetView>
  </sheetViews>
  <sheetFormatPr defaultRowHeight="16.5" x14ac:dyDescent="0.3"/>
  <cols>
    <col min="1" max="1" width="3.7109375" style="528" customWidth="1"/>
    <col min="2" max="2" width="3.7109375" style="529" customWidth="1"/>
    <col min="3" max="3" width="18.85546875" style="546" customWidth="1"/>
    <col min="4" max="4" width="19.7109375" style="529" customWidth="1"/>
    <col min="5" max="5" width="14.7109375" style="529" customWidth="1"/>
    <col min="6" max="8" width="11.7109375" style="529" customWidth="1"/>
    <col min="9" max="9" width="17" style="529" customWidth="1"/>
    <col min="10" max="10" width="12.7109375" style="529" customWidth="1"/>
    <col min="11" max="17" width="11.7109375" style="529" customWidth="1"/>
    <col min="18" max="20" width="11.7109375" style="530" customWidth="1"/>
    <col min="21" max="248" width="8" style="530" customWidth="1"/>
    <col min="249" max="249" width="2.42578125" style="530" bestFit="1" customWidth="1"/>
    <col min="250" max="250" width="28.28515625" style="530" bestFit="1" customWidth="1"/>
    <col min="251" max="251" width="14.28515625" style="530" bestFit="1" customWidth="1"/>
    <col min="252" max="252" width="13.5703125" style="530" bestFit="1" customWidth="1"/>
    <col min="253" max="253" width="10.7109375" style="530" bestFit="1" customWidth="1"/>
    <col min="254" max="254" width="9.42578125" style="530" bestFit="1" customWidth="1"/>
    <col min="255" max="255" width="9.85546875" style="530" bestFit="1" customWidth="1"/>
    <col min="256" max="256" width="11.28515625" style="530" bestFit="1" customWidth="1"/>
    <col min="257" max="257" width="9.140625" style="530"/>
    <col min="258" max="259" width="3.7109375" style="530" customWidth="1"/>
    <col min="260" max="260" width="18.85546875" style="530" customWidth="1"/>
    <col min="261" max="261" width="19.7109375" style="530" customWidth="1"/>
    <col min="262" max="262" width="13.5703125" style="530" customWidth="1"/>
    <col min="263" max="265" width="11.7109375" style="530" customWidth="1"/>
    <col min="266" max="266" width="12.7109375" style="530" customWidth="1"/>
    <col min="267" max="276" width="11.7109375" style="530" customWidth="1"/>
    <col min="277" max="504" width="8" style="530" customWidth="1"/>
    <col min="505" max="505" width="2.42578125" style="530" bestFit="1" customWidth="1"/>
    <col min="506" max="506" width="28.28515625" style="530" bestFit="1" customWidth="1"/>
    <col min="507" max="507" width="14.28515625" style="530" bestFit="1" customWidth="1"/>
    <col min="508" max="508" width="13.5703125" style="530" bestFit="1" customWidth="1"/>
    <col min="509" max="509" width="10.7109375" style="530" bestFit="1" customWidth="1"/>
    <col min="510" max="510" width="9.42578125" style="530" bestFit="1" customWidth="1"/>
    <col min="511" max="511" width="9.85546875" style="530" bestFit="1" customWidth="1"/>
    <col min="512" max="512" width="11.28515625" style="530" bestFit="1" customWidth="1"/>
    <col min="513" max="513" width="9.140625" style="530"/>
    <col min="514" max="515" width="3.7109375" style="530" customWidth="1"/>
    <col min="516" max="516" width="18.85546875" style="530" customWidth="1"/>
    <col min="517" max="517" width="19.7109375" style="530" customWidth="1"/>
    <col min="518" max="518" width="13.5703125" style="530" customWidth="1"/>
    <col min="519" max="521" width="11.7109375" style="530" customWidth="1"/>
    <col min="522" max="522" width="12.7109375" style="530" customWidth="1"/>
    <col min="523" max="532" width="11.7109375" style="530" customWidth="1"/>
    <col min="533" max="760" width="8" style="530" customWidth="1"/>
    <col min="761" max="761" width="2.42578125" style="530" bestFit="1" customWidth="1"/>
    <col min="762" max="762" width="28.28515625" style="530" bestFit="1" customWidth="1"/>
    <col min="763" max="763" width="14.28515625" style="530" bestFit="1" customWidth="1"/>
    <col min="764" max="764" width="13.5703125" style="530" bestFit="1" customWidth="1"/>
    <col min="765" max="765" width="10.7109375" style="530" bestFit="1" customWidth="1"/>
    <col min="766" max="766" width="9.42578125" style="530" bestFit="1" customWidth="1"/>
    <col min="767" max="767" width="9.85546875" style="530" bestFit="1" customWidth="1"/>
    <col min="768" max="768" width="11.28515625" style="530" bestFit="1" customWidth="1"/>
    <col min="769" max="769" width="9.140625" style="530"/>
    <col min="770" max="771" width="3.7109375" style="530" customWidth="1"/>
    <col min="772" max="772" width="18.85546875" style="530" customWidth="1"/>
    <col min="773" max="773" width="19.7109375" style="530" customWidth="1"/>
    <col min="774" max="774" width="13.5703125" style="530" customWidth="1"/>
    <col min="775" max="777" width="11.7109375" style="530" customWidth="1"/>
    <col min="778" max="778" width="12.7109375" style="530" customWidth="1"/>
    <col min="779" max="788" width="11.7109375" style="530" customWidth="1"/>
    <col min="789" max="1016" width="8" style="530" customWidth="1"/>
    <col min="1017" max="1017" width="2.42578125" style="530" bestFit="1" customWidth="1"/>
    <col min="1018" max="1018" width="28.28515625" style="530" bestFit="1" customWidth="1"/>
    <col min="1019" max="1019" width="14.28515625" style="530" bestFit="1" customWidth="1"/>
    <col min="1020" max="1020" width="13.5703125" style="530" bestFit="1" customWidth="1"/>
    <col min="1021" max="1021" width="10.7109375" style="530" bestFit="1" customWidth="1"/>
    <col min="1022" max="1022" width="9.42578125" style="530" bestFit="1" customWidth="1"/>
    <col min="1023" max="1023" width="9.85546875" style="530" bestFit="1" customWidth="1"/>
    <col min="1024" max="1024" width="11.28515625" style="530" bestFit="1" customWidth="1"/>
    <col min="1025" max="1025" width="9.140625" style="530"/>
    <col min="1026" max="1027" width="3.7109375" style="530" customWidth="1"/>
    <col min="1028" max="1028" width="18.85546875" style="530" customWidth="1"/>
    <col min="1029" max="1029" width="19.7109375" style="530" customWidth="1"/>
    <col min="1030" max="1030" width="13.5703125" style="530" customWidth="1"/>
    <col min="1031" max="1033" width="11.7109375" style="530" customWidth="1"/>
    <col min="1034" max="1034" width="12.7109375" style="530" customWidth="1"/>
    <col min="1035" max="1044" width="11.7109375" style="530" customWidth="1"/>
    <col min="1045" max="1272" width="8" style="530" customWidth="1"/>
    <col min="1273" max="1273" width="2.42578125" style="530" bestFit="1" customWidth="1"/>
    <col min="1274" max="1274" width="28.28515625" style="530" bestFit="1" customWidth="1"/>
    <col min="1275" max="1275" width="14.28515625" style="530" bestFit="1" customWidth="1"/>
    <col min="1276" max="1276" width="13.5703125" style="530" bestFit="1" customWidth="1"/>
    <col min="1277" max="1277" width="10.7109375" style="530" bestFit="1" customWidth="1"/>
    <col min="1278" max="1278" width="9.42578125" style="530" bestFit="1" customWidth="1"/>
    <col min="1279" max="1279" width="9.85546875" style="530" bestFit="1" customWidth="1"/>
    <col min="1280" max="1280" width="11.28515625" style="530" bestFit="1" customWidth="1"/>
    <col min="1281" max="1281" width="9.140625" style="530"/>
    <col min="1282" max="1283" width="3.7109375" style="530" customWidth="1"/>
    <col min="1284" max="1284" width="18.85546875" style="530" customWidth="1"/>
    <col min="1285" max="1285" width="19.7109375" style="530" customWidth="1"/>
    <col min="1286" max="1286" width="13.5703125" style="530" customWidth="1"/>
    <col min="1287" max="1289" width="11.7109375" style="530" customWidth="1"/>
    <col min="1290" max="1290" width="12.7109375" style="530" customWidth="1"/>
    <col min="1291" max="1300" width="11.7109375" style="530" customWidth="1"/>
    <col min="1301" max="1528" width="8" style="530" customWidth="1"/>
    <col min="1529" max="1529" width="2.42578125" style="530" bestFit="1" customWidth="1"/>
    <col min="1530" max="1530" width="28.28515625" style="530" bestFit="1" customWidth="1"/>
    <col min="1531" max="1531" width="14.28515625" style="530" bestFit="1" customWidth="1"/>
    <col min="1532" max="1532" width="13.5703125" style="530" bestFit="1" customWidth="1"/>
    <col min="1533" max="1533" width="10.7109375" style="530" bestFit="1" customWidth="1"/>
    <col min="1534" max="1534" width="9.42578125" style="530" bestFit="1" customWidth="1"/>
    <col min="1535" max="1535" width="9.85546875" style="530" bestFit="1" customWidth="1"/>
    <col min="1536" max="1536" width="11.28515625" style="530" bestFit="1" customWidth="1"/>
    <col min="1537" max="1537" width="9.140625" style="530"/>
    <col min="1538" max="1539" width="3.7109375" style="530" customWidth="1"/>
    <col min="1540" max="1540" width="18.85546875" style="530" customWidth="1"/>
    <col min="1541" max="1541" width="19.7109375" style="530" customWidth="1"/>
    <col min="1542" max="1542" width="13.5703125" style="530" customWidth="1"/>
    <col min="1543" max="1545" width="11.7109375" style="530" customWidth="1"/>
    <col min="1546" max="1546" width="12.7109375" style="530" customWidth="1"/>
    <col min="1547" max="1556" width="11.7109375" style="530" customWidth="1"/>
    <col min="1557" max="1784" width="8" style="530" customWidth="1"/>
    <col min="1785" max="1785" width="2.42578125" style="530" bestFit="1" customWidth="1"/>
    <col min="1786" max="1786" width="28.28515625" style="530" bestFit="1" customWidth="1"/>
    <col min="1787" max="1787" width="14.28515625" style="530" bestFit="1" customWidth="1"/>
    <col min="1788" max="1788" width="13.5703125" style="530" bestFit="1" customWidth="1"/>
    <col min="1789" max="1789" width="10.7109375" style="530" bestFit="1" customWidth="1"/>
    <col min="1790" max="1790" width="9.42578125" style="530" bestFit="1" customWidth="1"/>
    <col min="1791" max="1791" width="9.85546875" style="530" bestFit="1" customWidth="1"/>
    <col min="1792" max="1792" width="11.28515625" style="530" bestFit="1" customWidth="1"/>
    <col min="1793" max="1793" width="9.140625" style="530"/>
    <col min="1794" max="1795" width="3.7109375" style="530" customWidth="1"/>
    <col min="1796" max="1796" width="18.85546875" style="530" customWidth="1"/>
    <col min="1797" max="1797" width="19.7109375" style="530" customWidth="1"/>
    <col min="1798" max="1798" width="13.5703125" style="530" customWidth="1"/>
    <col min="1799" max="1801" width="11.7109375" style="530" customWidth="1"/>
    <col min="1802" max="1802" width="12.7109375" style="530" customWidth="1"/>
    <col min="1803" max="1812" width="11.7109375" style="530" customWidth="1"/>
    <col min="1813" max="2040" width="8" style="530" customWidth="1"/>
    <col min="2041" max="2041" width="2.42578125" style="530" bestFit="1" customWidth="1"/>
    <col min="2042" max="2042" width="28.28515625" style="530" bestFit="1" customWidth="1"/>
    <col min="2043" max="2043" width="14.28515625" style="530" bestFit="1" customWidth="1"/>
    <col min="2044" max="2044" width="13.5703125" style="530" bestFit="1" customWidth="1"/>
    <col min="2045" max="2045" width="10.7109375" style="530" bestFit="1" customWidth="1"/>
    <col min="2046" max="2046" width="9.42578125" style="530" bestFit="1" customWidth="1"/>
    <col min="2047" max="2047" width="9.85546875" style="530" bestFit="1" customWidth="1"/>
    <col min="2048" max="2048" width="11.28515625" style="530" bestFit="1" customWidth="1"/>
    <col min="2049" max="2049" width="9.140625" style="530"/>
    <col min="2050" max="2051" width="3.7109375" style="530" customWidth="1"/>
    <col min="2052" max="2052" width="18.85546875" style="530" customWidth="1"/>
    <col min="2053" max="2053" width="19.7109375" style="530" customWidth="1"/>
    <col min="2054" max="2054" width="13.5703125" style="530" customWidth="1"/>
    <col min="2055" max="2057" width="11.7109375" style="530" customWidth="1"/>
    <col min="2058" max="2058" width="12.7109375" style="530" customWidth="1"/>
    <col min="2059" max="2068" width="11.7109375" style="530" customWidth="1"/>
    <col min="2069" max="2296" width="8" style="530" customWidth="1"/>
    <col min="2297" max="2297" width="2.42578125" style="530" bestFit="1" customWidth="1"/>
    <col min="2298" max="2298" width="28.28515625" style="530" bestFit="1" customWidth="1"/>
    <col min="2299" max="2299" width="14.28515625" style="530" bestFit="1" customWidth="1"/>
    <col min="2300" max="2300" width="13.5703125" style="530" bestFit="1" customWidth="1"/>
    <col min="2301" max="2301" width="10.7109375" style="530" bestFit="1" customWidth="1"/>
    <col min="2302" max="2302" width="9.42578125" style="530" bestFit="1" customWidth="1"/>
    <col min="2303" max="2303" width="9.85546875" style="530" bestFit="1" customWidth="1"/>
    <col min="2304" max="2304" width="11.28515625" style="530" bestFit="1" customWidth="1"/>
    <col min="2305" max="2305" width="9.140625" style="530"/>
    <col min="2306" max="2307" width="3.7109375" style="530" customWidth="1"/>
    <col min="2308" max="2308" width="18.85546875" style="530" customWidth="1"/>
    <col min="2309" max="2309" width="19.7109375" style="530" customWidth="1"/>
    <col min="2310" max="2310" width="13.5703125" style="530" customWidth="1"/>
    <col min="2311" max="2313" width="11.7109375" style="530" customWidth="1"/>
    <col min="2314" max="2314" width="12.7109375" style="530" customWidth="1"/>
    <col min="2315" max="2324" width="11.7109375" style="530" customWidth="1"/>
    <col min="2325" max="2552" width="8" style="530" customWidth="1"/>
    <col min="2553" max="2553" width="2.42578125" style="530" bestFit="1" customWidth="1"/>
    <col min="2554" max="2554" width="28.28515625" style="530" bestFit="1" customWidth="1"/>
    <col min="2555" max="2555" width="14.28515625" style="530" bestFit="1" customWidth="1"/>
    <col min="2556" max="2556" width="13.5703125" style="530" bestFit="1" customWidth="1"/>
    <col min="2557" max="2557" width="10.7109375" style="530" bestFit="1" customWidth="1"/>
    <col min="2558" max="2558" width="9.42578125" style="530" bestFit="1" customWidth="1"/>
    <col min="2559" max="2559" width="9.85546875" style="530" bestFit="1" customWidth="1"/>
    <col min="2560" max="2560" width="11.28515625" style="530" bestFit="1" customWidth="1"/>
    <col min="2561" max="2561" width="9.140625" style="530"/>
    <col min="2562" max="2563" width="3.7109375" style="530" customWidth="1"/>
    <col min="2564" max="2564" width="18.85546875" style="530" customWidth="1"/>
    <col min="2565" max="2565" width="19.7109375" style="530" customWidth="1"/>
    <col min="2566" max="2566" width="13.5703125" style="530" customWidth="1"/>
    <col min="2567" max="2569" width="11.7109375" style="530" customWidth="1"/>
    <col min="2570" max="2570" width="12.7109375" style="530" customWidth="1"/>
    <col min="2571" max="2580" width="11.7109375" style="530" customWidth="1"/>
    <col min="2581" max="2808" width="8" style="530" customWidth="1"/>
    <col min="2809" max="2809" width="2.42578125" style="530" bestFit="1" customWidth="1"/>
    <col min="2810" max="2810" width="28.28515625" style="530" bestFit="1" customWidth="1"/>
    <col min="2811" max="2811" width="14.28515625" style="530" bestFit="1" customWidth="1"/>
    <col min="2812" max="2812" width="13.5703125" style="530" bestFit="1" customWidth="1"/>
    <col min="2813" max="2813" width="10.7109375" style="530" bestFit="1" customWidth="1"/>
    <col min="2814" max="2814" width="9.42578125" style="530" bestFit="1" customWidth="1"/>
    <col min="2815" max="2815" width="9.85546875" style="530" bestFit="1" customWidth="1"/>
    <col min="2816" max="2816" width="11.28515625" style="530" bestFit="1" customWidth="1"/>
    <col min="2817" max="2817" width="9.140625" style="530"/>
    <col min="2818" max="2819" width="3.7109375" style="530" customWidth="1"/>
    <col min="2820" max="2820" width="18.85546875" style="530" customWidth="1"/>
    <col min="2821" max="2821" width="19.7109375" style="530" customWidth="1"/>
    <col min="2822" max="2822" width="13.5703125" style="530" customWidth="1"/>
    <col min="2823" max="2825" width="11.7109375" style="530" customWidth="1"/>
    <col min="2826" max="2826" width="12.7109375" style="530" customWidth="1"/>
    <col min="2827" max="2836" width="11.7109375" style="530" customWidth="1"/>
    <col min="2837" max="3064" width="8" style="530" customWidth="1"/>
    <col min="3065" max="3065" width="2.42578125" style="530" bestFit="1" customWidth="1"/>
    <col min="3066" max="3066" width="28.28515625" style="530" bestFit="1" customWidth="1"/>
    <col min="3067" max="3067" width="14.28515625" style="530" bestFit="1" customWidth="1"/>
    <col min="3068" max="3068" width="13.5703125" style="530" bestFit="1" customWidth="1"/>
    <col min="3069" max="3069" width="10.7109375" style="530" bestFit="1" customWidth="1"/>
    <col min="3070" max="3070" width="9.42578125" style="530" bestFit="1" customWidth="1"/>
    <col min="3071" max="3071" width="9.85546875" style="530" bestFit="1" customWidth="1"/>
    <col min="3072" max="3072" width="11.28515625" style="530" bestFit="1" customWidth="1"/>
    <col min="3073" max="3073" width="9.140625" style="530"/>
    <col min="3074" max="3075" width="3.7109375" style="530" customWidth="1"/>
    <col min="3076" max="3076" width="18.85546875" style="530" customWidth="1"/>
    <col min="3077" max="3077" width="19.7109375" style="530" customWidth="1"/>
    <col min="3078" max="3078" width="13.5703125" style="530" customWidth="1"/>
    <col min="3079" max="3081" width="11.7109375" style="530" customWidth="1"/>
    <col min="3082" max="3082" width="12.7109375" style="530" customWidth="1"/>
    <col min="3083" max="3092" width="11.7109375" style="530" customWidth="1"/>
    <col min="3093" max="3320" width="8" style="530" customWidth="1"/>
    <col min="3321" max="3321" width="2.42578125" style="530" bestFit="1" customWidth="1"/>
    <col min="3322" max="3322" width="28.28515625" style="530" bestFit="1" customWidth="1"/>
    <col min="3323" max="3323" width="14.28515625" style="530" bestFit="1" customWidth="1"/>
    <col min="3324" max="3324" width="13.5703125" style="530" bestFit="1" customWidth="1"/>
    <col min="3325" max="3325" width="10.7109375" style="530" bestFit="1" customWidth="1"/>
    <col min="3326" max="3326" width="9.42578125" style="530" bestFit="1" customWidth="1"/>
    <col min="3327" max="3327" width="9.85546875" style="530" bestFit="1" customWidth="1"/>
    <col min="3328" max="3328" width="11.28515625" style="530" bestFit="1" customWidth="1"/>
    <col min="3329" max="3329" width="9.140625" style="530"/>
    <col min="3330" max="3331" width="3.7109375" style="530" customWidth="1"/>
    <col min="3332" max="3332" width="18.85546875" style="530" customWidth="1"/>
    <col min="3333" max="3333" width="19.7109375" style="530" customWidth="1"/>
    <col min="3334" max="3334" width="13.5703125" style="530" customWidth="1"/>
    <col min="3335" max="3337" width="11.7109375" style="530" customWidth="1"/>
    <col min="3338" max="3338" width="12.7109375" style="530" customWidth="1"/>
    <col min="3339" max="3348" width="11.7109375" style="530" customWidth="1"/>
    <col min="3349" max="3576" width="8" style="530" customWidth="1"/>
    <col min="3577" max="3577" width="2.42578125" style="530" bestFit="1" customWidth="1"/>
    <col min="3578" max="3578" width="28.28515625" style="530" bestFit="1" customWidth="1"/>
    <col min="3579" max="3579" width="14.28515625" style="530" bestFit="1" customWidth="1"/>
    <col min="3580" max="3580" width="13.5703125" style="530" bestFit="1" customWidth="1"/>
    <col min="3581" max="3581" width="10.7109375" style="530" bestFit="1" customWidth="1"/>
    <col min="3582" max="3582" width="9.42578125" style="530" bestFit="1" customWidth="1"/>
    <col min="3583" max="3583" width="9.85546875" style="530" bestFit="1" customWidth="1"/>
    <col min="3584" max="3584" width="11.28515625" style="530" bestFit="1" customWidth="1"/>
    <col min="3585" max="3585" width="9.140625" style="530"/>
    <col min="3586" max="3587" width="3.7109375" style="530" customWidth="1"/>
    <col min="3588" max="3588" width="18.85546875" style="530" customWidth="1"/>
    <col min="3589" max="3589" width="19.7109375" style="530" customWidth="1"/>
    <col min="3590" max="3590" width="13.5703125" style="530" customWidth="1"/>
    <col min="3591" max="3593" width="11.7109375" style="530" customWidth="1"/>
    <col min="3594" max="3594" width="12.7109375" style="530" customWidth="1"/>
    <col min="3595" max="3604" width="11.7109375" style="530" customWidth="1"/>
    <col min="3605" max="3832" width="8" style="530" customWidth="1"/>
    <col min="3833" max="3833" width="2.42578125" style="530" bestFit="1" customWidth="1"/>
    <col min="3834" max="3834" width="28.28515625" style="530" bestFit="1" customWidth="1"/>
    <col min="3835" max="3835" width="14.28515625" style="530" bestFit="1" customWidth="1"/>
    <col min="3836" max="3836" width="13.5703125" style="530" bestFit="1" customWidth="1"/>
    <col min="3837" max="3837" width="10.7109375" style="530" bestFit="1" customWidth="1"/>
    <col min="3838" max="3838" width="9.42578125" style="530" bestFit="1" customWidth="1"/>
    <col min="3839" max="3839" width="9.85546875" style="530" bestFit="1" customWidth="1"/>
    <col min="3840" max="3840" width="11.28515625" style="530" bestFit="1" customWidth="1"/>
    <col min="3841" max="3841" width="9.140625" style="530"/>
    <col min="3842" max="3843" width="3.7109375" style="530" customWidth="1"/>
    <col min="3844" max="3844" width="18.85546875" style="530" customWidth="1"/>
    <col min="3845" max="3845" width="19.7109375" style="530" customWidth="1"/>
    <col min="3846" max="3846" width="13.5703125" style="530" customWidth="1"/>
    <col min="3847" max="3849" width="11.7109375" style="530" customWidth="1"/>
    <col min="3850" max="3850" width="12.7109375" style="530" customWidth="1"/>
    <col min="3851" max="3860" width="11.7109375" style="530" customWidth="1"/>
    <col min="3861" max="4088" width="8" style="530" customWidth="1"/>
    <col min="4089" max="4089" width="2.42578125" style="530" bestFit="1" customWidth="1"/>
    <col min="4090" max="4090" width="28.28515625" style="530" bestFit="1" customWidth="1"/>
    <col min="4091" max="4091" width="14.28515625" style="530" bestFit="1" customWidth="1"/>
    <col min="4092" max="4092" width="13.5703125" style="530" bestFit="1" customWidth="1"/>
    <col min="4093" max="4093" width="10.7109375" style="530" bestFit="1" customWidth="1"/>
    <col min="4094" max="4094" width="9.42578125" style="530" bestFit="1" customWidth="1"/>
    <col min="4095" max="4095" width="9.85546875" style="530" bestFit="1" customWidth="1"/>
    <col min="4096" max="4096" width="11.28515625" style="530" bestFit="1" customWidth="1"/>
    <col min="4097" max="4097" width="9.140625" style="530"/>
    <col min="4098" max="4099" width="3.7109375" style="530" customWidth="1"/>
    <col min="4100" max="4100" width="18.85546875" style="530" customWidth="1"/>
    <col min="4101" max="4101" width="19.7109375" style="530" customWidth="1"/>
    <col min="4102" max="4102" width="13.5703125" style="530" customWidth="1"/>
    <col min="4103" max="4105" width="11.7109375" style="530" customWidth="1"/>
    <col min="4106" max="4106" width="12.7109375" style="530" customWidth="1"/>
    <col min="4107" max="4116" width="11.7109375" style="530" customWidth="1"/>
    <col min="4117" max="4344" width="8" style="530" customWidth="1"/>
    <col min="4345" max="4345" width="2.42578125" style="530" bestFit="1" customWidth="1"/>
    <col min="4346" max="4346" width="28.28515625" style="530" bestFit="1" customWidth="1"/>
    <col min="4347" max="4347" width="14.28515625" style="530" bestFit="1" customWidth="1"/>
    <col min="4348" max="4348" width="13.5703125" style="530" bestFit="1" customWidth="1"/>
    <col min="4349" max="4349" width="10.7109375" style="530" bestFit="1" customWidth="1"/>
    <col min="4350" max="4350" width="9.42578125" style="530" bestFit="1" customWidth="1"/>
    <col min="4351" max="4351" width="9.85546875" style="530" bestFit="1" customWidth="1"/>
    <col min="4352" max="4352" width="11.28515625" style="530" bestFit="1" customWidth="1"/>
    <col min="4353" max="4353" width="9.140625" style="530"/>
    <col min="4354" max="4355" width="3.7109375" style="530" customWidth="1"/>
    <col min="4356" max="4356" width="18.85546875" style="530" customWidth="1"/>
    <col min="4357" max="4357" width="19.7109375" style="530" customWidth="1"/>
    <col min="4358" max="4358" width="13.5703125" style="530" customWidth="1"/>
    <col min="4359" max="4361" width="11.7109375" style="530" customWidth="1"/>
    <col min="4362" max="4362" width="12.7109375" style="530" customWidth="1"/>
    <col min="4363" max="4372" width="11.7109375" style="530" customWidth="1"/>
    <col min="4373" max="4600" width="8" style="530" customWidth="1"/>
    <col min="4601" max="4601" width="2.42578125" style="530" bestFit="1" customWidth="1"/>
    <col min="4602" max="4602" width="28.28515625" style="530" bestFit="1" customWidth="1"/>
    <col min="4603" max="4603" width="14.28515625" style="530" bestFit="1" customWidth="1"/>
    <col min="4604" max="4604" width="13.5703125" style="530" bestFit="1" customWidth="1"/>
    <col min="4605" max="4605" width="10.7109375" style="530" bestFit="1" customWidth="1"/>
    <col min="4606" max="4606" width="9.42578125" style="530" bestFit="1" customWidth="1"/>
    <col min="4607" max="4607" width="9.85546875" style="530" bestFit="1" customWidth="1"/>
    <col min="4608" max="4608" width="11.28515625" style="530" bestFit="1" customWidth="1"/>
    <col min="4609" max="4609" width="9.140625" style="530"/>
    <col min="4610" max="4611" width="3.7109375" style="530" customWidth="1"/>
    <col min="4612" max="4612" width="18.85546875" style="530" customWidth="1"/>
    <col min="4613" max="4613" width="19.7109375" style="530" customWidth="1"/>
    <col min="4614" max="4614" width="13.5703125" style="530" customWidth="1"/>
    <col min="4615" max="4617" width="11.7109375" style="530" customWidth="1"/>
    <col min="4618" max="4618" width="12.7109375" style="530" customWidth="1"/>
    <col min="4619" max="4628" width="11.7109375" style="530" customWidth="1"/>
    <col min="4629" max="4856" width="8" style="530" customWidth="1"/>
    <col min="4857" max="4857" width="2.42578125" style="530" bestFit="1" customWidth="1"/>
    <col min="4858" max="4858" width="28.28515625" style="530" bestFit="1" customWidth="1"/>
    <col min="4859" max="4859" width="14.28515625" style="530" bestFit="1" customWidth="1"/>
    <col min="4860" max="4860" width="13.5703125" style="530" bestFit="1" customWidth="1"/>
    <col min="4861" max="4861" width="10.7109375" style="530" bestFit="1" customWidth="1"/>
    <col min="4862" max="4862" width="9.42578125" style="530" bestFit="1" customWidth="1"/>
    <col min="4863" max="4863" width="9.85546875" style="530" bestFit="1" customWidth="1"/>
    <col min="4864" max="4864" width="11.28515625" style="530" bestFit="1" customWidth="1"/>
    <col min="4865" max="4865" width="9.140625" style="530"/>
    <col min="4866" max="4867" width="3.7109375" style="530" customWidth="1"/>
    <col min="4868" max="4868" width="18.85546875" style="530" customWidth="1"/>
    <col min="4869" max="4869" width="19.7109375" style="530" customWidth="1"/>
    <col min="4870" max="4870" width="13.5703125" style="530" customWidth="1"/>
    <col min="4871" max="4873" width="11.7109375" style="530" customWidth="1"/>
    <col min="4874" max="4874" width="12.7109375" style="530" customWidth="1"/>
    <col min="4875" max="4884" width="11.7109375" style="530" customWidth="1"/>
    <col min="4885" max="5112" width="8" style="530" customWidth="1"/>
    <col min="5113" max="5113" width="2.42578125" style="530" bestFit="1" customWidth="1"/>
    <col min="5114" max="5114" width="28.28515625" style="530" bestFit="1" customWidth="1"/>
    <col min="5115" max="5115" width="14.28515625" style="530" bestFit="1" customWidth="1"/>
    <col min="5116" max="5116" width="13.5703125" style="530" bestFit="1" customWidth="1"/>
    <col min="5117" max="5117" width="10.7109375" style="530" bestFit="1" customWidth="1"/>
    <col min="5118" max="5118" width="9.42578125" style="530" bestFit="1" customWidth="1"/>
    <col min="5119" max="5119" width="9.85546875" style="530" bestFit="1" customWidth="1"/>
    <col min="5120" max="5120" width="11.28515625" style="530" bestFit="1" customWidth="1"/>
    <col min="5121" max="5121" width="9.140625" style="530"/>
    <col min="5122" max="5123" width="3.7109375" style="530" customWidth="1"/>
    <col min="5124" max="5124" width="18.85546875" style="530" customWidth="1"/>
    <col min="5125" max="5125" width="19.7109375" style="530" customWidth="1"/>
    <col min="5126" max="5126" width="13.5703125" style="530" customWidth="1"/>
    <col min="5127" max="5129" width="11.7109375" style="530" customWidth="1"/>
    <col min="5130" max="5130" width="12.7109375" style="530" customWidth="1"/>
    <col min="5131" max="5140" width="11.7109375" style="530" customWidth="1"/>
    <col min="5141" max="5368" width="8" style="530" customWidth="1"/>
    <col min="5369" max="5369" width="2.42578125" style="530" bestFit="1" customWidth="1"/>
    <col min="5370" max="5370" width="28.28515625" style="530" bestFit="1" customWidth="1"/>
    <col min="5371" max="5371" width="14.28515625" style="530" bestFit="1" customWidth="1"/>
    <col min="5372" max="5372" width="13.5703125" style="530" bestFit="1" customWidth="1"/>
    <col min="5373" max="5373" width="10.7109375" style="530" bestFit="1" customWidth="1"/>
    <col min="5374" max="5374" width="9.42578125" style="530" bestFit="1" customWidth="1"/>
    <col min="5375" max="5375" width="9.85546875" style="530" bestFit="1" customWidth="1"/>
    <col min="5376" max="5376" width="11.28515625" style="530" bestFit="1" customWidth="1"/>
    <col min="5377" max="5377" width="9.140625" style="530"/>
    <col min="5378" max="5379" width="3.7109375" style="530" customWidth="1"/>
    <col min="5380" max="5380" width="18.85546875" style="530" customWidth="1"/>
    <col min="5381" max="5381" width="19.7109375" style="530" customWidth="1"/>
    <col min="5382" max="5382" width="13.5703125" style="530" customWidth="1"/>
    <col min="5383" max="5385" width="11.7109375" style="530" customWidth="1"/>
    <col min="5386" max="5386" width="12.7109375" style="530" customWidth="1"/>
    <col min="5387" max="5396" width="11.7109375" style="530" customWidth="1"/>
    <col min="5397" max="5624" width="8" style="530" customWidth="1"/>
    <col min="5625" max="5625" width="2.42578125" style="530" bestFit="1" customWidth="1"/>
    <col min="5626" max="5626" width="28.28515625" style="530" bestFit="1" customWidth="1"/>
    <col min="5627" max="5627" width="14.28515625" style="530" bestFit="1" customWidth="1"/>
    <col min="5628" max="5628" width="13.5703125" style="530" bestFit="1" customWidth="1"/>
    <col min="5629" max="5629" width="10.7109375" style="530" bestFit="1" customWidth="1"/>
    <col min="5630" max="5630" width="9.42578125" style="530" bestFit="1" customWidth="1"/>
    <col min="5631" max="5631" width="9.85546875" style="530" bestFit="1" customWidth="1"/>
    <col min="5632" max="5632" width="11.28515625" style="530" bestFit="1" customWidth="1"/>
    <col min="5633" max="5633" width="9.140625" style="530"/>
    <col min="5634" max="5635" width="3.7109375" style="530" customWidth="1"/>
    <col min="5636" max="5636" width="18.85546875" style="530" customWidth="1"/>
    <col min="5637" max="5637" width="19.7109375" style="530" customWidth="1"/>
    <col min="5638" max="5638" width="13.5703125" style="530" customWidth="1"/>
    <col min="5639" max="5641" width="11.7109375" style="530" customWidth="1"/>
    <col min="5642" max="5642" width="12.7109375" style="530" customWidth="1"/>
    <col min="5643" max="5652" width="11.7109375" style="530" customWidth="1"/>
    <col min="5653" max="5880" width="8" style="530" customWidth="1"/>
    <col min="5881" max="5881" width="2.42578125" style="530" bestFit="1" customWidth="1"/>
    <col min="5882" max="5882" width="28.28515625" style="530" bestFit="1" customWidth="1"/>
    <col min="5883" max="5883" width="14.28515625" style="530" bestFit="1" customWidth="1"/>
    <col min="5884" max="5884" width="13.5703125" style="530" bestFit="1" customWidth="1"/>
    <col min="5885" max="5885" width="10.7109375" style="530" bestFit="1" customWidth="1"/>
    <col min="5886" max="5886" width="9.42578125" style="530" bestFit="1" customWidth="1"/>
    <col min="5887" max="5887" width="9.85546875" style="530" bestFit="1" customWidth="1"/>
    <col min="5888" max="5888" width="11.28515625" style="530" bestFit="1" customWidth="1"/>
    <col min="5889" max="5889" width="9.140625" style="530"/>
    <col min="5890" max="5891" width="3.7109375" style="530" customWidth="1"/>
    <col min="5892" max="5892" width="18.85546875" style="530" customWidth="1"/>
    <col min="5893" max="5893" width="19.7109375" style="530" customWidth="1"/>
    <col min="5894" max="5894" width="13.5703125" style="530" customWidth="1"/>
    <col min="5895" max="5897" width="11.7109375" style="530" customWidth="1"/>
    <col min="5898" max="5898" width="12.7109375" style="530" customWidth="1"/>
    <col min="5899" max="5908" width="11.7109375" style="530" customWidth="1"/>
    <col min="5909" max="6136" width="8" style="530" customWidth="1"/>
    <col min="6137" max="6137" width="2.42578125" style="530" bestFit="1" customWidth="1"/>
    <col min="6138" max="6138" width="28.28515625" style="530" bestFit="1" customWidth="1"/>
    <col min="6139" max="6139" width="14.28515625" style="530" bestFit="1" customWidth="1"/>
    <col min="6140" max="6140" width="13.5703125" style="530" bestFit="1" customWidth="1"/>
    <col min="6141" max="6141" width="10.7109375" style="530" bestFit="1" customWidth="1"/>
    <col min="6142" max="6142" width="9.42578125" style="530" bestFit="1" customWidth="1"/>
    <col min="6143" max="6143" width="9.85546875" style="530" bestFit="1" customWidth="1"/>
    <col min="6144" max="6144" width="11.28515625" style="530" bestFit="1" customWidth="1"/>
    <col min="6145" max="6145" width="9.140625" style="530"/>
    <col min="6146" max="6147" width="3.7109375" style="530" customWidth="1"/>
    <col min="6148" max="6148" width="18.85546875" style="530" customWidth="1"/>
    <col min="6149" max="6149" width="19.7109375" style="530" customWidth="1"/>
    <col min="6150" max="6150" width="13.5703125" style="530" customWidth="1"/>
    <col min="6151" max="6153" width="11.7109375" style="530" customWidth="1"/>
    <col min="6154" max="6154" width="12.7109375" style="530" customWidth="1"/>
    <col min="6155" max="6164" width="11.7109375" style="530" customWidth="1"/>
    <col min="6165" max="6392" width="8" style="530" customWidth="1"/>
    <col min="6393" max="6393" width="2.42578125" style="530" bestFit="1" customWidth="1"/>
    <col min="6394" max="6394" width="28.28515625" style="530" bestFit="1" customWidth="1"/>
    <col min="6395" max="6395" width="14.28515625" style="530" bestFit="1" customWidth="1"/>
    <col min="6396" max="6396" width="13.5703125" style="530" bestFit="1" customWidth="1"/>
    <col min="6397" max="6397" width="10.7109375" style="530" bestFit="1" customWidth="1"/>
    <col min="6398" max="6398" width="9.42578125" style="530" bestFit="1" customWidth="1"/>
    <col min="6399" max="6399" width="9.85546875" style="530" bestFit="1" customWidth="1"/>
    <col min="6400" max="6400" width="11.28515625" style="530" bestFit="1" customWidth="1"/>
    <col min="6401" max="6401" width="9.140625" style="530"/>
    <col min="6402" max="6403" width="3.7109375" style="530" customWidth="1"/>
    <col min="6404" max="6404" width="18.85546875" style="530" customWidth="1"/>
    <col min="6405" max="6405" width="19.7109375" style="530" customWidth="1"/>
    <col min="6406" max="6406" width="13.5703125" style="530" customWidth="1"/>
    <col min="6407" max="6409" width="11.7109375" style="530" customWidth="1"/>
    <col min="6410" max="6410" width="12.7109375" style="530" customWidth="1"/>
    <col min="6411" max="6420" width="11.7109375" style="530" customWidth="1"/>
    <col min="6421" max="6648" width="8" style="530" customWidth="1"/>
    <col min="6649" max="6649" width="2.42578125" style="530" bestFit="1" customWidth="1"/>
    <col min="6650" max="6650" width="28.28515625" style="530" bestFit="1" customWidth="1"/>
    <col min="6651" max="6651" width="14.28515625" style="530" bestFit="1" customWidth="1"/>
    <col min="6652" max="6652" width="13.5703125" style="530" bestFit="1" customWidth="1"/>
    <col min="6653" max="6653" width="10.7109375" style="530" bestFit="1" customWidth="1"/>
    <col min="6654" max="6654" width="9.42578125" style="530" bestFit="1" customWidth="1"/>
    <col min="6655" max="6655" width="9.85546875" style="530" bestFit="1" customWidth="1"/>
    <col min="6656" max="6656" width="11.28515625" style="530" bestFit="1" customWidth="1"/>
    <col min="6657" max="6657" width="9.140625" style="530"/>
    <col min="6658" max="6659" width="3.7109375" style="530" customWidth="1"/>
    <col min="6660" max="6660" width="18.85546875" style="530" customWidth="1"/>
    <col min="6661" max="6661" width="19.7109375" style="530" customWidth="1"/>
    <col min="6662" max="6662" width="13.5703125" style="530" customWidth="1"/>
    <col min="6663" max="6665" width="11.7109375" style="530" customWidth="1"/>
    <col min="6666" max="6666" width="12.7109375" style="530" customWidth="1"/>
    <col min="6667" max="6676" width="11.7109375" style="530" customWidth="1"/>
    <col min="6677" max="6904" width="8" style="530" customWidth="1"/>
    <col min="6905" max="6905" width="2.42578125" style="530" bestFit="1" customWidth="1"/>
    <col min="6906" max="6906" width="28.28515625" style="530" bestFit="1" customWidth="1"/>
    <col min="6907" max="6907" width="14.28515625" style="530" bestFit="1" customWidth="1"/>
    <col min="6908" max="6908" width="13.5703125" style="530" bestFit="1" customWidth="1"/>
    <col min="6909" max="6909" width="10.7109375" style="530" bestFit="1" customWidth="1"/>
    <col min="6910" max="6910" width="9.42578125" style="530" bestFit="1" customWidth="1"/>
    <col min="6911" max="6911" width="9.85546875" style="530" bestFit="1" customWidth="1"/>
    <col min="6912" max="6912" width="11.28515625" style="530" bestFit="1" customWidth="1"/>
    <col min="6913" max="6913" width="9.140625" style="530"/>
    <col min="6914" max="6915" width="3.7109375" style="530" customWidth="1"/>
    <col min="6916" max="6916" width="18.85546875" style="530" customWidth="1"/>
    <col min="6917" max="6917" width="19.7109375" style="530" customWidth="1"/>
    <col min="6918" max="6918" width="13.5703125" style="530" customWidth="1"/>
    <col min="6919" max="6921" width="11.7109375" style="530" customWidth="1"/>
    <col min="6922" max="6922" width="12.7109375" style="530" customWidth="1"/>
    <col min="6923" max="6932" width="11.7109375" style="530" customWidth="1"/>
    <col min="6933" max="7160" width="8" style="530" customWidth="1"/>
    <col min="7161" max="7161" width="2.42578125" style="530" bestFit="1" customWidth="1"/>
    <col min="7162" max="7162" width="28.28515625" style="530" bestFit="1" customWidth="1"/>
    <col min="7163" max="7163" width="14.28515625" style="530" bestFit="1" customWidth="1"/>
    <col min="7164" max="7164" width="13.5703125" style="530" bestFit="1" customWidth="1"/>
    <col min="7165" max="7165" width="10.7109375" style="530" bestFit="1" customWidth="1"/>
    <col min="7166" max="7166" width="9.42578125" style="530" bestFit="1" customWidth="1"/>
    <col min="7167" max="7167" width="9.85546875" style="530" bestFit="1" customWidth="1"/>
    <col min="7168" max="7168" width="11.28515625" style="530" bestFit="1" customWidth="1"/>
    <col min="7169" max="7169" width="9.140625" style="530"/>
    <col min="7170" max="7171" width="3.7109375" style="530" customWidth="1"/>
    <col min="7172" max="7172" width="18.85546875" style="530" customWidth="1"/>
    <col min="7173" max="7173" width="19.7109375" style="530" customWidth="1"/>
    <col min="7174" max="7174" width="13.5703125" style="530" customWidth="1"/>
    <col min="7175" max="7177" width="11.7109375" style="530" customWidth="1"/>
    <col min="7178" max="7178" width="12.7109375" style="530" customWidth="1"/>
    <col min="7179" max="7188" width="11.7109375" style="530" customWidth="1"/>
    <col min="7189" max="7416" width="8" style="530" customWidth="1"/>
    <col min="7417" max="7417" width="2.42578125" style="530" bestFit="1" customWidth="1"/>
    <col min="7418" max="7418" width="28.28515625" style="530" bestFit="1" customWidth="1"/>
    <col min="7419" max="7419" width="14.28515625" style="530" bestFit="1" customWidth="1"/>
    <col min="7420" max="7420" width="13.5703125" style="530" bestFit="1" customWidth="1"/>
    <col min="7421" max="7421" width="10.7109375" style="530" bestFit="1" customWidth="1"/>
    <col min="7422" max="7422" width="9.42578125" style="530" bestFit="1" customWidth="1"/>
    <col min="7423" max="7423" width="9.85546875" style="530" bestFit="1" customWidth="1"/>
    <col min="7424" max="7424" width="11.28515625" style="530" bestFit="1" customWidth="1"/>
    <col min="7425" max="7425" width="9.140625" style="530"/>
    <col min="7426" max="7427" width="3.7109375" style="530" customWidth="1"/>
    <col min="7428" max="7428" width="18.85546875" style="530" customWidth="1"/>
    <col min="7429" max="7429" width="19.7109375" style="530" customWidth="1"/>
    <col min="7430" max="7430" width="13.5703125" style="530" customWidth="1"/>
    <col min="7431" max="7433" width="11.7109375" style="530" customWidth="1"/>
    <col min="7434" max="7434" width="12.7109375" style="530" customWidth="1"/>
    <col min="7435" max="7444" width="11.7109375" style="530" customWidth="1"/>
    <col min="7445" max="7672" width="8" style="530" customWidth="1"/>
    <col min="7673" max="7673" width="2.42578125" style="530" bestFit="1" customWidth="1"/>
    <col min="7674" max="7674" width="28.28515625" style="530" bestFit="1" customWidth="1"/>
    <col min="7675" max="7675" width="14.28515625" style="530" bestFit="1" customWidth="1"/>
    <col min="7676" max="7676" width="13.5703125" style="530" bestFit="1" customWidth="1"/>
    <col min="7677" max="7677" width="10.7109375" style="530" bestFit="1" customWidth="1"/>
    <col min="7678" max="7678" width="9.42578125" style="530" bestFit="1" customWidth="1"/>
    <col min="7679" max="7679" width="9.85546875" style="530" bestFit="1" customWidth="1"/>
    <col min="7680" max="7680" width="11.28515625" style="530" bestFit="1" customWidth="1"/>
    <col min="7681" max="7681" width="9.140625" style="530"/>
    <col min="7682" max="7683" width="3.7109375" style="530" customWidth="1"/>
    <col min="7684" max="7684" width="18.85546875" style="530" customWidth="1"/>
    <col min="7685" max="7685" width="19.7109375" style="530" customWidth="1"/>
    <col min="7686" max="7686" width="13.5703125" style="530" customWidth="1"/>
    <col min="7687" max="7689" width="11.7109375" style="530" customWidth="1"/>
    <col min="7690" max="7690" width="12.7109375" style="530" customWidth="1"/>
    <col min="7691" max="7700" width="11.7109375" style="530" customWidth="1"/>
    <col min="7701" max="7928" width="8" style="530" customWidth="1"/>
    <col min="7929" max="7929" width="2.42578125" style="530" bestFit="1" customWidth="1"/>
    <col min="7930" max="7930" width="28.28515625" style="530" bestFit="1" customWidth="1"/>
    <col min="7931" max="7931" width="14.28515625" style="530" bestFit="1" customWidth="1"/>
    <col min="7932" max="7932" width="13.5703125" style="530" bestFit="1" customWidth="1"/>
    <col min="7933" max="7933" width="10.7109375" style="530" bestFit="1" customWidth="1"/>
    <col min="7934" max="7934" width="9.42578125" style="530" bestFit="1" customWidth="1"/>
    <col min="7935" max="7935" width="9.85546875" style="530" bestFit="1" customWidth="1"/>
    <col min="7936" max="7936" width="11.28515625" style="530" bestFit="1" customWidth="1"/>
    <col min="7937" max="7937" width="9.140625" style="530"/>
    <col min="7938" max="7939" width="3.7109375" style="530" customWidth="1"/>
    <col min="7940" max="7940" width="18.85546875" style="530" customWidth="1"/>
    <col min="7941" max="7941" width="19.7109375" style="530" customWidth="1"/>
    <col min="7942" max="7942" width="13.5703125" style="530" customWidth="1"/>
    <col min="7943" max="7945" width="11.7109375" style="530" customWidth="1"/>
    <col min="7946" max="7946" width="12.7109375" style="530" customWidth="1"/>
    <col min="7947" max="7956" width="11.7109375" style="530" customWidth="1"/>
    <col min="7957" max="8184" width="8" style="530" customWidth="1"/>
    <col min="8185" max="8185" width="2.42578125" style="530" bestFit="1" customWidth="1"/>
    <col min="8186" max="8186" width="28.28515625" style="530" bestFit="1" customWidth="1"/>
    <col min="8187" max="8187" width="14.28515625" style="530" bestFit="1" customWidth="1"/>
    <col min="8188" max="8188" width="13.5703125" style="530" bestFit="1" customWidth="1"/>
    <col min="8189" max="8189" width="10.7109375" style="530" bestFit="1" customWidth="1"/>
    <col min="8190" max="8190" width="9.42578125" style="530" bestFit="1" customWidth="1"/>
    <col min="8191" max="8191" width="9.85546875" style="530" bestFit="1" customWidth="1"/>
    <col min="8192" max="8192" width="11.28515625" style="530" bestFit="1" customWidth="1"/>
    <col min="8193" max="8193" width="9.140625" style="530"/>
    <col min="8194" max="8195" width="3.7109375" style="530" customWidth="1"/>
    <col min="8196" max="8196" width="18.85546875" style="530" customWidth="1"/>
    <col min="8197" max="8197" width="19.7109375" style="530" customWidth="1"/>
    <col min="8198" max="8198" width="13.5703125" style="530" customWidth="1"/>
    <col min="8199" max="8201" width="11.7109375" style="530" customWidth="1"/>
    <col min="8202" max="8202" width="12.7109375" style="530" customWidth="1"/>
    <col min="8203" max="8212" width="11.7109375" style="530" customWidth="1"/>
    <col min="8213" max="8440" width="8" style="530" customWidth="1"/>
    <col min="8441" max="8441" width="2.42578125" style="530" bestFit="1" customWidth="1"/>
    <col min="8442" max="8442" width="28.28515625" style="530" bestFit="1" customWidth="1"/>
    <col min="8443" max="8443" width="14.28515625" style="530" bestFit="1" customWidth="1"/>
    <col min="8444" max="8444" width="13.5703125" style="530" bestFit="1" customWidth="1"/>
    <col min="8445" max="8445" width="10.7109375" style="530" bestFit="1" customWidth="1"/>
    <col min="8446" max="8446" width="9.42578125" style="530" bestFit="1" customWidth="1"/>
    <col min="8447" max="8447" width="9.85546875" style="530" bestFit="1" customWidth="1"/>
    <col min="8448" max="8448" width="11.28515625" style="530" bestFit="1" customWidth="1"/>
    <col min="8449" max="8449" width="9.140625" style="530"/>
    <col min="8450" max="8451" width="3.7109375" style="530" customWidth="1"/>
    <col min="8452" max="8452" width="18.85546875" style="530" customWidth="1"/>
    <col min="8453" max="8453" width="19.7109375" style="530" customWidth="1"/>
    <col min="8454" max="8454" width="13.5703125" style="530" customWidth="1"/>
    <col min="8455" max="8457" width="11.7109375" style="530" customWidth="1"/>
    <col min="8458" max="8458" width="12.7109375" style="530" customWidth="1"/>
    <col min="8459" max="8468" width="11.7109375" style="530" customWidth="1"/>
    <col min="8469" max="8696" width="8" style="530" customWidth="1"/>
    <col min="8697" max="8697" width="2.42578125" style="530" bestFit="1" customWidth="1"/>
    <col min="8698" max="8698" width="28.28515625" style="530" bestFit="1" customWidth="1"/>
    <col min="8699" max="8699" width="14.28515625" style="530" bestFit="1" customWidth="1"/>
    <col min="8700" max="8700" width="13.5703125" style="530" bestFit="1" customWidth="1"/>
    <col min="8701" max="8701" width="10.7109375" style="530" bestFit="1" customWidth="1"/>
    <col min="8702" max="8702" width="9.42578125" style="530" bestFit="1" customWidth="1"/>
    <col min="8703" max="8703" width="9.85546875" style="530" bestFit="1" customWidth="1"/>
    <col min="8704" max="8704" width="11.28515625" style="530" bestFit="1" customWidth="1"/>
    <col min="8705" max="8705" width="9.140625" style="530"/>
    <col min="8706" max="8707" width="3.7109375" style="530" customWidth="1"/>
    <col min="8708" max="8708" width="18.85546875" style="530" customWidth="1"/>
    <col min="8709" max="8709" width="19.7109375" style="530" customWidth="1"/>
    <col min="8710" max="8710" width="13.5703125" style="530" customWidth="1"/>
    <col min="8711" max="8713" width="11.7109375" style="530" customWidth="1"/>
    <col min="8714" max="8714" width="12.7109375" style="530" customWidth="1"/>
    <col min="8715" max="8724" width="11.7109375" style="530" customWidth="1"/>
    <col min="8725" max="8952" width="8" style="530" customWidth="1"/>
    <col min="8953" max="8953" width="2.42578125" style="530" bestFit="1" customWidth="1"/>
    <col min="8954" max="8954" width="28.28515625" style="530" bestFit="1" customWidth="1"/>
    <col min="8955" max="8955" width="14.28515625" style="530" bestFit="1" customWidth="1"/>
    <col min="8956" max="8956" width="13.5703125" style="530" bestFit="1" customWidth="1"/>
    <col min="8957" max="8957" width="10.7109375" style="530" bestFit="1" customWidth="1"/>
    <col min="8958" max="8958" width="9.42578125" style="530" bestFit="1" customWidth="1"/>
    <col min="8959" max="8959" width="9.85546875" style="530" bestFit="1" customWidth="1"/>
    <col min="8960" max="8960" width="11.28515625" style="530" bestFit="1" customWidth="1"/>
    <col min="8961" max="8961" width="9.140625" style="530"/>
    <col min="8962" max="8963" width="3.7109375" style="530" customWidth="1"/>
    <col min="8964" max="8964" width="18.85546875" style="530" customWidth="1"/>
    <col min="8965" max="8965" width="19.7109375" style="530" customWidth="1"/>
    <col min="8966" max="8966" width="13.5703125" style="530" customWidth="1"/>
    <col min="8967" max="8969" width="11.7109375" style="530" customWidth="1"/>
    <col min="8970" max="8970" width="12.7109375" style="530" customWidth="1"/>
    <col min="8971" max="8980" width="11.7109375" style="530" customWidth="1"/>
    <col min="8981" max="9208" width="8" style="530" customWidth="1"/>
    <col min="9209" max="9209" width="2.42578125" style="530" bestFit="1" customWidth="1"/>
    <col min="9210" max="9210" width="28.28515625" style="530" bestFit="1" customWidth="1"/>
    <col min="9211" max="9211" width="14.28515625" style="530" bestFit="1" customWidth="1"/>
    <col min="9212" max="9212" width="13.5703125" style="530" bestFit="1" customWidth="1"/>
    <col min="9213" max="9213" width="10.7109375" style="530" bestFit="1" customWidth="1"/>
    <col min="9214" max="9214" width="9.42578125" style="530" bestFit="1" customWidth="1"/>
    <col min="9215" max="9215" width="9.85546875" style="530" bestFit="1" customWidth="1"/>
    <col min="9216" max="9216" width="11.28515625" style="530" bestFit="1" customWidth="1"/>
    <col min="9217" max="9217" width="9.140625" style="530"/>
    <col min="9218" max="9219" width="3.7109375" style="530" customWidth="1"/>
    <col min="9220" max="9220" width="18.85546875" style="530" customWidth="1"/>
    <col min="9221" max="9221" width="19.7109375" style="530" customWidth="1"/>
    <col min="9222" max="9222" width="13.5703125" style="530" customWidth="1"/>
    <col min="9223" max="9225" width="11.7109375" style="530" customWidth="1"/>
    <col min="9226" max="9226" width="12.7109375" style="530" customWidth="1"/>
    <col min="9227" max="9236" width="11.7109375" style="530" customWidth="1"/>
    <col min="9237" max="9464" width="8" style="530" customWidth="1"/>
    <col min="9465" max="9465" width="2.42578125" style="530" bestFit="1" customWidth="1"/>
    <col min="9466" max="9466" width="28.28515625" style="530" bestFit="1" customWidth="1"/>
    <col min="9467" max="9467" width="14.28515625" style="530" bestFit="1" customWidth="1"/>
    <col min="9468" max="9468" width="13.5703125" style="530" bestFit="1" customWidth="1"/>
    <col min="9469" max="9469" width="10.7109375" style="530" bestFit="1" customWidth="1"/>
    <col min="9470" max="9470" width="9.42578125" style="530" bestFit="1" customWidth="1"/>
    <col min="9471" max="9471" width="9.85546875" style="530" bestFit="1" customWidth="1"/>
    <col min="9472" max="9472" width="11.28515625" style="530" bestFit="1" customWidth="1"/>
    <col min="9473" max="9473" width="9.140625" style="530"/>
    <col min="9474" max="9475" width="3.7109375" style="530" customWidth="1"/>
    <col min="9476" max="9476" width="18.85546875" style="530" customWidth="1"/>
    <col min="9477" max="9477" width="19.7109375" style="530" customWidth="1"/>
    <col min="9478" max="9478" width="13.5703125" style="530" customWidth="1"/>
    <col min="9479" max="9481" width="11.7109375" style="530" customWidth="1"/>
    <col min="9482" max="9482" width="12.7109375" style="530" customWidth="1"/>
    <col min="9483" max="9492" width="11.7109375" style="530" customWidth="1"/>
    <col min="9493" max="9720" width="8" style="530" customWidth="1"/>
    <col min="9721" max="9721" width="2.42578125" style="530" bestFit="1" customWidth="1"/>
    <col min="9722" max="9722" width="28.28515625" style="530" bestFit="1" customWidth="1"/>
    <col min="9723" max="9723" width="14.28515625" style="530" bestFit="1" customWidth="1"/>
    <col min="9724" max="9724" width="13.5703125" style="530" bestFit="1" customWidth="1"/>
    <col min="9725" max="9725" width="10.7109375" style="530" bestFit="1" customWidth="1"/>
    <col min="9726" max="9726" width="9.42578125" style="530" bestFit="1" customWidth="1"/>
    <col min="9727" max="9727" width="9.85546875" style="530" bestFit="1" customWidth="1"/>
    <col min="9728" max="9728" width="11.28515625" style="530" bestFit="1" customWidth="1"/>
    <col min="9729" max="9729" width="9.140625" style="530"/>
    <col min="9730" max="9731" width="3.7109375" style="530" customWidth="1"/>
    <col min="9732" max="9732" width="18.85546875" style="530" customWidth="1"/>
    <col min="9733" max="9733" width="19.7109375" style="530" customWidth="1"/>
    <col min="9734" max="9734" width="13.5703125" style="530" customWidth="1"/>
    <col min="9735" max="9737" width="11.7109375" style="530" customWidth="1"/>
    <col min="9738" max="9738" width="12.7109375" style="530" customWidth="1"/>
    <col min="9739" max="9748" width="11.7109375" style="530" customWidth="1"/>
    <col min="9749" max="9976" width="8" style="530" customWidth="1"/>
    <col min="9977" max="9977" width="2.42578125" style="530" bestFit="1" customWidth="1"/>
    <col min="9978" max="9978" width="28.28515625" style="530" bestFit="1" customWidth="1"/>
    <col min="9979" max="9979" width="14.28515625" style="530" bestFit="1" customWidth="1"/>
    <col min="9980" max="9980" width="13.5703125" style="530" bestFit="1" customWidth="1"/>
    <col min="9981" max="9981" width="10.7109375" style="530" bestFit="1" customWidth="1"/>
    <col min="9982" max="9982" width="9.42578125" style="530" bestFit="1" customWidth="1"/>
    <col min="9983" max="9983" width="9.85546875" style="530" bestFit="1" customWidth="1"/>
    <col min="9984" max="9984" width="11.28515625" style="530" bestFit="1" customWidth="1"/>
    <col min="9985" max="9985" width="9.140625" style="530"/>
    <col min="9986" max="9987" width="3.7109375" style="530" customWidth="1"/>
    <col min="9988" max="9988" width="18.85546875" style="530" customWidth="1"/>
    <col min="9989" max="9989" width="19.7109375" style="530" customWidth="1"/>
    <col min="9990" max="9990" width="13.5703125" style="530" customWidth="1"/>
    <col min="9991" max="9993" width="11.7109375" style="530" customWidth="1"/>
    <col min="9994" max="9994" width="12.7109375" style="530" customWidth="1"/>
    <col min="9995" max="10004" width="11.7109375" style="530" customWidth="1"/>
    <col min="10005" max="10232" width="8" style="530" customWidth="1"/>
    <col min="10233" max="10233" width="2.42578125" style="530" bestFit="1" customWidth="1"/>
    <col min="10234" max="10234" width="28.28515625" style="530" bestFit="1" customWidth="1"/>
    <col min="10235" max="10235" width="14.28515625" style="530" bestFit="1" customWidth="1"/>
    <col min="10236" max="10236" width="13.5703125" style="530" bestFit="1" customWidth="1"/>
    <col min="10237" max="10237" width="10.7109375" style="530" bestFit="1" customWidth="1"/>
    <col min="10238" max="10238" width="9.42578125" style="530" bestFit="1" customWidth="1"/>
    <col min="10239" max="10239" width="9.85546875" style="530" bestFit="1" customWidth="1"/>
    <col min="10240" max="10240" width="11.28515625" style="530" bestFit="1" customWidth="1"/>
    <col min="10241" max="10241" width="9.140625" style="530"/>
    <col min="10242" max="10243" width="3.7109375" style="530" customWidth="1"/>
    <col min="10244" max="10244" width="18.85546875" style="530" customWidth="1"/>
    <col min="10245" max="10245" width="19.7109375" style="530" customWidth="1"/>
    <col min="10246" max="10246" width="13.5703125" style="530" customWidth="1"/>
    <col min="10247" max="10249" width="11.7109375" style="530" customWidth="1"/>
    <col min="10250" max="10250" width="12.7109375" style="530" customWidth="1"/>
    <col min="10251" max="10260" width="11.7109375" style="530" customWidth="1"/>
    <col min="10261" max="10488" width="8" style="530" customWidth="1"/>
    <col min="10489" max="10489" width="2.42578125" style="530" bestFit="1" customWidth="1"/>
    <col min="10490" max="10490" width="28.28515625" style="530" bestFit="1" customWidth="1"/>
    <col min="10491" max="10491" width="14.28515625" style="530" bestFit="1" customWidth="1"/>
    <col min="10492" max="10492" width="13.5703125" style="530" bestFit="1" customWidth="1"/>
    <col min="10493" max="10493" width="10.7109375" style="530" bestFit="1" customWidth="1"/>
    <col min="10494" max="10494" width="9.42578125" style="530" bestFit="1" customWidth="1"/>
    <col min="10495" max="10495" width="9.85546875" style="530" bestFit="1" customWidth="1"/>
    <col min="10496" max="10496" width="11.28515625" style="530" bestFit="1" customWidth="1"/>
    <col min="10497" max="10497" width="9.140625" style="530"/>
    <col min="10498" max="10499" width="3.7109375" style="530" customWidth="1"/>
    <col min="10500" max="10500" width="18.85546875" style="530" customWidth="1"/>
    <col min="10501" max="10501" width="19.7109375" style="530" customWidth="1"/>
    <col min="10502" max="10502" width="13.5703125" style="530" customWidth="1"/>
    <col min="10503" max="10505" width="11.7109375" style="530" customWidth="1"/>
    <col min="10506" max="10506" width="12.7109375" style="530" customWidth="1"/>
    <col min="10507" max="10516" width="11.7109375" style="530" customWidth="1"/>
    <col min="10517" max="10744" width="8" style="530" customWidth="1"/>
    <col min="10745" max="10745" width="2.42578125" style="530" bestFit="1" customWidth="1"/>
    <col min="10746" max="10746" width="28.28515625" style="530" bestFit="1" customWidth="1"/>
    <col min="10747" max="10747" width="14.28515625" style="530" bestFit="1" customWidth="1"/>
    <col min="10748" max="10748" width="13.5703125" style="530" bestFit="1" customWidth="1"/>
    <col min="10749" max="10749" width="10.7109375" style="530" bestFit="1" customWidth="1"/>
    <col min="10750" max="10750" width="9.42578125" style="530" bestFit="1" customWidth="1"/>
    <col min="10751" max="10751" width="9.85546875" style="530" bestFit="1" customWidth="1"/>
    <col min="10752" max="10752" width="11.28515625" style="530" bestFit="1" customWidth="1"/>
    <col min="10753" max="10753" width="9.140625" style="530"/>
    <col min="10754" max="10755" width="3.7109375" style="530" customWidth="1"/>
    <col min="10756" max="10756" width="18.85546875" style="530" customWidth="1"/>
    <col min="10757" max="10757" width="19.7109375" style="530" customWidth="1"/>
    <col min="10758" max="10758" width="13.5703125" style="530" customWidth="1"/>
    <col min="10759" max="10761" width="11.7109375" style="530" customWidth="1"/>
    <col min="10762" max="10762" width="12.7109375" style="530" customWidth="1"/>
    <col min="10763" max="10772" width="11.7109375" style="530" customWidth="1"/>
    <col min="10773" max="11000" width="8" style="530" customWidth="1"/>
    <col min="11001" max="11001" width="2.42578125" style="530" bestFit="1" customWidth="1"/>
    <col min="11002" max="11002" width="28.28515625" style="530" bestFit="1" customWidth="1"/>
    <col min="11003" max="11003" width="14.28515625" style="530" bestFit="1" customWidth="1"/>
    <col min="11004" max="11004" width="13.5703125" style="530" bestFit="1" customWidth="1"/>
    <col min="11005" max="11005" width="10.7109375" style="530" bestFit="1" customWidth="1"/>
    <col min="11006" max="11006" width="9.42578125" style="530" bestFit="1" customWidth="1"/>
    <col min="11007" max="11007" width="9.85546875" style="530" bestFit="1" customWidth="1"/>
    <col min="11008" max="11008" width="11.28515625" style="530" bestFit="1" customWidth="1"/>
    <col min="11009" max="11009" width="9.140625" style="530"/>
    <col min="11010" max="11011" width="3.7109375" style="530" customWidth="1"/>
    <col min="11012" max="11012" width="18.85546875" style="530" customWidth="1"/>
    <col min="11013" max="11013" width="19.7109375" style="530" customWidth="1"/>
    <col min="11014" max="11014" width="13.5703125" style="530" customWidth="1"/>
    <col min="11015" max="11017" width="11.7109375" style="530" customWidth="1"/>
    <col min="11018" max="11018" width="12.7109375" style="530" customWidth="1"/>
    <col min="11019" max="11028" width="11.7109375" style="530" customWidth="1"/>
    <col min="11029" max="11256" width="8" style="530" customWidth="1"/>
    <col min="11257" max="11257" width="2.42578125" style="530" bestFit="1" customWidth="1"/>
    <col min="11258" max="11258" width="28.28515625" style="530" bestFit="1" customWidth="1"/>
    <col min="11259" max="11259" width="14.28515625" style="530" bestFit="1" customWidth="1"/>
    <col min="11260" max="11260" width="13.5703125" style="530" bestFit="1" customWidth="1"/>
    <col min="11261" max="11261" width="10.7109375" style="530" bestFit="1" customWidth="1"/>
    <col min="11262" max="11262" width="9.42578125" style="530" bestFit="1" customWidth="1"/>
    <col min="11263" max="11263" width="9.85546875" style="530" bestFit="1" customWidth="1"/>
    <col min="11264" max="11264" width="11.28515625" style="530" bestFit="1" customWidth="1"/>
    <col min="11265" max="11265" width="9.140625" style="530"/>
    <col min="11266" max="11267" width="3.7109375" style="530" customWidth="1"/>
    <col min="11268" max="11268" width="18.85546875" style="530" customWidth="1"/>
    <col min="11269" max="11269" width="19.7109375" style="530" customWidth="1"/>
    <col min="11270" max="11270" width="13.5703125" style="530" customWidth="1"/>
    <col min="11271" max="11273" width="11.7109375" style="530" customWidth="1"/>
    <col min="11274" max="11274" width="12.7109375" style="530" customWidth="1"/>
    <col min="11275" max="11284" width="11.7109375" style="530" customWidth="1"/>
    <col min="11285" max="11512" width="8" style="530" customWidth="1"/>
    <col min="11513" max="11513" width="2.42578125" style="530" bestFit="1" customWidth="1"/>
    <col min="11514" max="11514" width="28.28515625" style="530" bestFit="1" customWidth="1"/>
    <col min="11515" max="11515" width="14.28515625" style="530" bestFit="1" customWidth="1"/>
    <col min="11516" max="11516" width="13.5703125" style="530" bestFit="1" customWidth="1"/>
    <col min="11517" max="11517" width="10.7109375" style="530" bestFit="1" customWidth="1"/>
    <col min="11518" max="11518" width="9.42578125" style="530" bestFit="1" customWidth="1"/>
    <col min="11519" max="11519" width="9.85546875" style="530" bestFit="1" customWidth="1"/>
    <col min="11520" max="11520" width="11.28515625" style="530" bestFit="1" customWidth="1"/>
    <col min="11521" max="11521" width="9.140625" style="530"/>
    <col min="11522" max="11523" width="3.7109375" style="530" customWidth="1"/>
    <col min="11524" max="11524" width="18.85546875" style="530" customWidth="1"/>
    <col min="11525" max="11525" width="19.7109375" style="530" customWidth="1"/>
    <col min="11526" max="11526" width="13.5703125" style="530" customWidth="1"/>
    <col min="11527" max="11529" width="11.7109375" style="530" customWidth="1"/>
    <col min="11530" max="11530" width="12.7109375" style="530" customWidth="1"/>
    <col min="11531" max="11540" width="11.7109375" style="530" customWidth="1"/>
    <col min="11541" max="11768" width="8" style="530" customWidth="1"/>
    <col min="11769" max="11769" width="2.42578125" style="530" bestFit="1" customWidth="1"/>
    <col min="11770" max="11770" width="28.28515625" style="530" bestFit="1" customWidth="1"/>
    <col min="11771" max="11771" width="14.28515625" style="530" bestFit="1" customWidth="1"/>
    <col min="11772" max="11772" width="13.5703125" style="530" bestFit="1" customWidth="1"/>
    <col min="11773" max="11773" width="10.7109375" style="530" bestFit="1" customWidth="1"/>
    <col min="11774" max="11774" width="9.42578125" style="530" bestFit="1" customWidth="1"/>
    <col min="11775" max="11775" width="9.85546875" style="530" bestFit="1" customWidth="1"/>
    <col min="11776" max="11776" width="11.28515625" style="530" bestFit="1" customWidth="1"/>
    <col min="11777" max="11777" width="9.140625" style="530"/>
    <col min="11778" max="11779" width="3.7109375" style="530" customWidth="1"/>
    <col min="11780" max="11780" width="18.85546875" style="530" customWidth="1"/>
    <col min="11781" max="11781" width="19.7109375" style="530" customWidth="1"/>
    <col min="11782" max="11782" width="13.5703125" style="530" customWidth="1"/>
    <col min="11783" max="11785" width="11.7109375" style="530" customWidth="1"/>
    <col min="11786" max="11786" width="12.7109375" style="530" customWidth="1"/>
    <col min="11787" max="11796" width="11.7109375" style="530" customWidth="1"/>
    <col min="11797" max="12024" width="8" style="530" customWidth="1"/>
    <col min="12025" max="12025" width="2.42578125" style="530" bestFit="1" customWidth="1"/>
    <col min="12026" max="12026" width="28.28515625" style="530" bestFit="1" customWidth="1"/>
    <col min="12027" max="12027" width="14.28515625" style="530" bestFit="1" customWidth="1"/>
    <col min="12028" max="12028" width="13.5703125" style="530" bestFit="1" customWidth="1"/>
    <col min="12029" max="12029" width="10.7109375" style="530" bestFit="1" customWidth="1"/>
    <col min="12030" max="12030" width="9.42578125" style="530" bestFit="1" customWidth="1"/>
    <col min="12031" max="12031" width="9.85546875" style="530" bestFit="1" customWidth="1"/>
    <col min="12032" max="12032" width="11.28515625" style="530" bestFit="1" customWidth="1"/>
    <col min="12033" max="12033" width="9.140625" style="530"/>
    <col min="12034" max="12035" width="3.7109375" style="530" customWidth="1"/>
    <col min="12036" max="12036" width="18.85546875" style="530" customWidth="1"/>
    <col min="12037" max="12037" width="19.7109375" style="530" customWidth="1"/>
    <col min="12038" max="12038" width="13.5703125" style="530" customWidth="1"/>
    <col min="12039" max="12041" width="11.7109375" style="530" customWidth="1"/>
    <col min="12042" max="12042" width="12.7109375" style="530" customWidth="1"/>
    <col min="12043" max="12052" width="11.7109375" style="530" customWidth="1"/>
    <col min="12053" max="12280" width="8" style="530" customWidth="1"/>
    <col min="12281" max="12281" width="2.42578125" style="530" bestFit="1" customWidth="1"/>
    <col min="12282" max="12282" width="28.28515625" style="530" bestFit="1" customWidth="1"/>
    <col min="12283" max="12283" width="14.28515625" style="530" bestFit="1" customWidth="1"/>
    <col min="12284" max="12284" width="13.5703125" style="530" bestFit="1" customWidth="1"/>
    <col min="12285" max="12285" width="10.7109375" style="530" bestFit="1" customWidth="1"/>
    <col min="12286" max="12286" width="9.42578125" style="530" bestFit="1" customWidth="1"/>
    <col min="12287" max="12287" width="9.85546875" style="530" bestFit="1" customWidth="1"/>
    <col min="12288" max="12288" width="11.28515625" style="530" bestFit="1" customWidth="1"/>
    <col min="12289" max="12289" width="9.140625" style="530"/>
    <col min="12290" max="12291" width="3.7109375" style="530" customWidth="1"/>
    <col min="12292" max="12292" width="18.85546875" style="530" customWidth="1"/>
    <col min="12293" max="12293" width="19.7109375" style="530" customWidth="1"/>
    <col min="12294" max="12294" width="13.5703125" style="530" customWidth="1"/>
    <col min="12295" max="12297" width="11.7109375" style="530" customWidth="1"/>
    <col min="12298" max="12298" width="12.7109375" style="530" customWidth="1"/>
    <col min="12299" max="12308" width="11.7109375" style="530" customWidth="1"/>
    <col min="12309" max="12536" width="8" style="530" customWidth="1"/>
    <col min="12537" max="12537" width="2.42578125" style="530" bestFit="1" customWidth="1"/>
    <col min="12538" max="12538" width="28.28515625" style="530" bestFit="1" customWidth="1"/>
    <col min="12539" max="12539" width="14.28515625" style="530" bestFit="1" customWidth="1"/>
    <col min="12540" max="12540" width="13.5703125" style="530" bestFit="1" customWidth="1"/>
    <col min="12541" max="12541" width="10.7109375" style="530" bestFit="1" customWidth="1"/>
    <col min="12542" max="12542" width="9.42578125" style="530" bestFit="1" customWidth="1"/>
    <col min="12543" max="12543" width="9.85546875" style="530" bestFit="1" customWidth="1"/>
    <col min="12544" max="12544" width="11.28515625" style="530" bestFit="1" customWidth="1"/>
    <col min="12545" max="12545" width="9.140625" style="530"/>
    <col min="12546" max="12547" width="3.7109375" style="530" customWidth="1"/>
    <col min="12548" max="12548" width="18.85546875" style="530" customWidth="1"/>
    <col min="12549" max="12549" width="19.7109375" style="530" customWidth="1"/>
    <col min="12550" max="12550" width="13.5703125" style="530" customWidth="1"/>
    <col min="12551" max="12553" width="11.7109375" style="530" customWidth="1"/>
    <col min="12554" max="12554" width="12.7109375" style="530" customWidth="1"/>
    <col min="12555" max="12564" width="11.7109375" style="530" customWidth="1"/>
    <col min="12565" max="12792" width="8" style="530" customWidth="1"/>
    <col min="12793" max="12793" width="2.42578125" style="530" bestFit="1" customWidth="1"/>
    <col min="12794" max="12794" width="28.28515625" style="530" bestFit="1" customWidth="1"/>
    <col min="12795" max="12795" width="14.28515625" style="530" bestFit="1" customWidth="1"/>
    <col min="12796" max="12796" width="13.5703125" style="530" bestFit="1" customWidth="1"/>
    <col min="12797" max="12797" width="10.7109375" style="530" bestFit="1" customWidth="1"/>
    <col min="12798" max="12798" width="9.42578125" style="530" bestFit="1" customWidth="1"/>
    <col min="12799" max="12799" width="9.85546875" style="530" bestFit="1" customWidth="1"/>
    <col min="12800" max="12800" width="11.28515625" style="530" bestFit="1" customWidth="1"/>
    <col min="12801" max="12801" width="9.140625" style="530"/>
    <col min="12802" max="12803" width="3.7109375" style="530" customWidth="1"/>
    <col min="12804" max="12804" width="18.85546875" style="530" customWidth="1"/>
    <col min="12805" max="12805" width="19.7109375" style="530" customWidth="1"/>
    <col min="12806" max="12806" width="13.5703125" style="530" customWidth="1"/>
    <col min="12807" max="12809" width="11.7109375" style="530" customWidth="1"/>
    <col min="12810" max="12810" width="12.7109375" style="530" customWidth="1"/>
    <col min="12811" max="12820" width="11.7109375" style="530" customWidth="1"/>
    <col min="12821" max="13048" width="8" style="530" customWidth="1"/>
    <col min="13049" max="13049" width="2.42578125" style="530" bestFit="1" customWidth="1"/>
    <col min="13050" max="13050" width="28.28515625" style="530" bestFit="1" customWidth="1"/>
    <col min="13051" max="13051" width="14.28515625" style="530" bestFit="1" customWidth="1"/>
    <col min="13052" max="13052" width="13.5703125" style="530" bestFit="1" customWidth="1"/>
    <col min="13053" max="13053" width="10.7109375" style="530" bestFit="1" customWidth="1"/>
    <col min="13054" max="13054" width="9.42578125" style="530" bestFit="1" customWidth="1"/>
    <col min="13055" max="13055" width="9.85546875" style="530" bestFit="1" customWidth="1"/>
    <col min="13056" max="13056" width="11.28515625" style="530" bestFit="1" customWidth="1"/>
    <col min="13057" max="13057" width="9.140625" style="530"/>
    <col min="13058" max="13059" width="3.7109375" style="530" customWidth="1"/>
    <col min="13060" max="13060" width="18.85546875" style="530" customWidth="1"/>
    <col min="13061" max="13061" width="19.7109375" style="530" customWidth="1"/>
    <col min="13062" max="13062" width="13.5703125" style="530" customWidth="1"/>
    <col min="13063" max="13065" width="11.7109375" style="530" customWidth="1"/>
    <col min="13066" max="13066" width="12.7109375" style="530" customWidth="1"/>
    <col min="13067" max="13076" width="11.7109375" style="530" customWidth="1"/>
    <col min="13077" max="13304" width="8" style="530" customWidth="1"/>
    <col min="13305" max="13305" width="2.42578125" style="530" bestFit="1" customWidth="1"/>
    <col min="13306" max="13306" width="28.28515625" style="530" bestFit="1" customWidth="1"/>
    <col min="13307" max="13307" width="14.28515625" style="530" bestFit="1" customWidth="1"/>
    <col min="13308" max="13308" width="13.5703125" style="530" bestFit="1" customWidth="1"/>
    <col min="13309" max="13309" width="10.7109375" style="530" bestFit="1" customWidth="1"/>
    <col min="13310" max="13310" width="9.42578125" style="530" bestFit="1" customWidth="1"/>
    <col min="13311" max="13311" width="9.85546875" style="530" bestFit="1" customWidth="1"/>
    <col min="13312" max="13312" width="11.28515625" style="530" bestFit="1" customWidth="1"/>
    <col min="13313" max="13313" width="9.140625" style="530"/>
    <col min="13314" max="13315" width="3.7109375" style="530" customWidth="1"/>
    <col min="13316" max="13316" width="18.85546875" style="530" customWidth="1"/>
    <col min="13317" max="13317" width="19.7109375" style="530" customWidth="1"/>
    <col min="13318" max="13318" width="13.5703125" style="530" customWidth="1"/>
    <col min="13319" max="13321" width="11.7109375" style="530" customWidth="1"/>
    <col min="13322" max="13322" width="12.7109375" style="530" customWidth="1"/>
    <col min="13323" max="13332" width="11.7109375" style="530" customWidth="1"/>
    <col min="13333" max="13560" width="8" style="530" customWidth="1"/>
    <col min="13561" max="13561" width="2.42578125" style="530" bestFit="1" customWidth="1"/>
    <col min="13562" max="13562" width="28.28515625" style="530" bestFit="1" customWidth="1"/>
    <col min="13563" max="13563" width="14.28515625" style="530" bestFit="1" customWidth="1"/>
    <col min="13564" max="13564" width="13.5703125" style="530" bestFit="1" customWidth="1"/>
    <col min="13565" max="13565" width="10.7109375" style="530" bestFit="1" customWidth="1"/>
    <col min="13566" max="13566" width="9.42578125" style="530" bestFit="1" customWidth="1"/>
    <col min="13567" max="13567" width="9.85546875" style="530" bestFit="1" customWidth="1"/>
    <col min="13568" max="13568" width="11.28515625" style="530" bestFit="1" customWidth="1"/>
    <col min="13569" max="13569" width="9.140625" style="530"/>
    <col min="13570" max="13571" width="3.7109375" style="530" customWidth="1"/>
    <col min="13572" max="13572" width="18.85546875" style="530" customWidth="1"/>
    <col min="13573" max="13573" width="19.7109375" style="530" customWidth="1"/>
    <col min="13574" max="13574" width="13.5703125" style="530" customWidth="1"/>
    <col min="13575" max="13577" width="11.7109375" style="530" customWidth="1"/>
    <col min="13578" max="13578" width="12.7109375" style="530" customWidth="1"/>
    <col min="13579" max="13588" width="11.7109375" style="530" customWidth="1"/>
    <col min="13589" max="13816" width="8" style="530" customWidth="1"/>
    <col min="13817" max="13817" width="2.42578125" style="530" bestFit="1" customWidth="1"/>
    <col min="13818" max="13818" width="28.28515625" style="530" bestFit="1" customWidth="1"/>
    <col min="13819" max="13819" width="14.28515625" style="530" bestFit="1" customWidth="1"/>
    <col min="13820" max="13820" width="13.5703125" style="530" bestFit="1" customWidth="1"/>
    <col min="13821" max="13821" width="10.7109375" style="530" bestFit="1" customWidth="1"/>
    <col min="13822" max="13822" width="9.42578125" style="530" bestFit="1" customWidth="1"/>
    <col min="13823" max="13823" width="9.85546875" style="530" bestFit="1" customWidth="1"/>
    <col min="13824" max="13824" width="11.28515625" style="530" bestFit="1" customWidth="1"/>
    <col min="13825" max="13825" width="9.140625" style="530"/>
    <col min="13826" max="13827" width="3.7109375" style="530" customWidth="1"/>
    <col min="13828" max="13828" width="18.85546875" style="530" customWidth="1"/>
    <col min="13829" max="13829" width="19.7109375" style="530" customWidth="1"/>
    <col min="13830" max="13830" width="13.5703125" style="530" customWidth="1"/>
    <col min="13831" max="13833" width="11.7109375" style="530" customWidth="1"/>
    <col min="13834" max="13834" width="12.7109375" style="530" customWidth="1"/>
    <col min="13835" max="13844" width="11.7109375" style="530" customWidth="1"/>
    <col min="13845" max="14072" width="8" style="530" customWidth="1"/>
    <col min="14073" max="14073" width="2.42578125" style="530" bestFit="1" customWidth="1"/>
    <col min="14074" max="14074" width="28.28515625" style="530" bestFit="1" customWidth="1"/>
    <col min="14075" max="14075" width="14.28515625" style="530" bestFit="1" customWidth="1"/>
    <col min="14076" max="14076" width="13.5703125" style="530" bestFit="1" customWidth="1"/>
    <col min="14077" max="14077" width="10.7109375" style="530" bestFit="1" customWidth="1"/>
    <col min="14078" max="14078" width="9.42578125" style="530" bestFit="1" customWidth="1"/>
    <col min="14079" max="14079" width="9.85546875" style="530" bestFit="1" customWidth="1"/>
    <col min="14080" max="14080" width="11.28515625" style="530" bestFit="1" customWidth="1"/>
    <col min="14081" max="14081" width="9.140625" style="530"/>
    <col min="14082" max="14083" width="3.7109375" style="530" customWidth="1"/>
    <col min="14084" max="14084" width="18.85546875" style="530" customWidth="1"/>
    <col min="14085" max="14085" width="19.7109375" style="530" customWidth="1"/>
    <col min="14086" max="14086" width="13.5703125" style="530" customWidth="1"/>
    <col min="14087" max="14089" width="11.7109375" style="530" customWidth="1"/>
    <col min="14090" max="14090" width="12.7109375" style="530" customWidth="1"/>
    <col min="14091" max="14100" width="11.7109375" style="530" customWidth="1"/>
    <col min="14101" max="14328" width="8" style="530" customWidth="1"/>
    <col min="14329" max="14329" width="2.42578125" style="530" bestFit="1" customWidth="1"/>
    <col min="14330" max="14330" width="28.28515625" style="530" bestFit="1" customWidth="1"/>
    <col min="14331" max="14331" width="14.28515625" style="530" bestFit="1" customWidth="1"/>
    <col min="14332" max="14332" width="13.5703125" style="530" bestFit="1" customWidth="1"/>
    <col min="14333" max="14333" width="10.7109375" style="530" bestFit="1" customWidth="1"/>
    <col min="14334" max="14334" width="9.42578125" style="530" bestFit="1" customWidth="1"/>
    <col min="14335" max="14335" width="9.85546875" style="530" bestFit="1" customWidth="1"/>
    <col min="14336" max="14336" width="11.28515625" style="530" bestFit="1" customWidth="1"/>
    <col min="14337" max="14337" width="9.140625" style="530"/>
    <col min="14338" max="14339" width="3.7109375" style="530" customWidth="1"/>
    <col min="14340" max="14340" width="18.85546875" style="530" customWidth="1"/>
    <col min="14341" max="14341" width="19.7109375" style="530" customWidth="1"/>
    <col min="14342" max="14342" width="13.5703125" style="530" customWidth="1"/>
    <col min="14343" max="14345" width="11.7109375" style="530" customWidth="1"/>
    <col min="14346" max="14346" width="12.7109375" style="530" customWidth="1"/>
    <col min="14347" max="14356" width="11.7109375" style="530" customWidth="1"/>
    <col min="14357" max="14584" width="8" style="530" customWidth="1"/>
    <col min="14585" max="14585" width="2.42578125" style="530" bestFit="1" customWidth="1"/>
    <col min="14586" max="14586" width="28.28515625" style="530" bestFit="1" customWidth="1"/>
    <col min="14587" max="14587" width="14.28515625" style="530" bestFit="1" customWidth="1"/>
    <col min="14588" max="14588" width="13.5703125" style="530" bestFit="1" customWidth="1"/>
    <col min="14589" max="14589" width="10.7109375" style="530" bestFit="1" customWidth="1"/>
    <col min="14590" max="14590" width="9.42578125" style="530" bestFit="1" customWidth="1"/>
    <col min="14591" max="14591" width="9.85546875" style="530" bestFit="1" customWidth="1"/>
    <col min="14592" max="14592" width="11.28515625" style="530" bestFit="1" customWidth="1"/>
    <col min="14593" max="14593" width="9.140625" style="530"/>
    <col min="14594" max="14595" width="3.7109375" style="530" customWidth="1"/>
    <col min="14596" max="14596" width="18.85546875" style="530" customWidth="1"/>
    <col min="14597" max="14597" width="19.7109375" style="530" customWidth="1"/>
    <col min="14598" max="14598" width="13.5703125" style="530" customWidth="1"/>
    <col min="14599" max="14601" width="11.7109375" style="530" customWidth="1"/>
    <col min="14602" max="14602" width="12.7109375" style="530" customWidth="1"/>
    <col min="14603" max="14612" width="11.7109375" style="530" customWidth="1"/>
    <col min="14613" max="14840" width="8" style="530" customWidth="1"/>
    <col min="14841" max="14841" width="2.42578125" style="530" bestFit="1" customWidth="1"/>
    <col min="14842" max="14842" width="28.28515625" style="530" bestFit="1" customWidth="1"/>
    <col min="14843" max="14843" width="14.28515625" style="530" bestFit="1" customWidth="1"/>
    <col min="14844" max="14844" width="13.5703125" style="530" bestFit="1" customWidth="1"/>
    <col min="14845" max="14845" width="10.7109375" style="530" bestFit="1" customWidth="1"/>
    <col min="14846" max="14846" width="9.42578125" style="530" bestFit="1" customWidth="1"/>
    <col min="14847" max="14847" width="9.85546875" style="530" bestFit="1" customWidth="1"/>
    <col min="14848" max="14848" width="11.28515625" style="530" bestFit="1" customWidth="1"/>
    <col min="14849" max="14849" width="9.140625" style="530"/>
    <col min="14850" max="14851" width="3.7109375" style="530" customWidth="1"/>
    <col min="14852" max="14852" width="18.85546875" style="530" customWidth="1"/>
    <col min="14853" max="14853" width="19.7109375" style="530" customWidth="1"/>
    <col min="14854" max="14854" width="13.5703125" style="530" customWidth="1"/>
    <col min="14855" max="14857" width="11.7109375" style="530" customWidth="1"/>
    <col min="14858" max="14858" width="12.7109375" style="530" customWidth="1"/>
    <col min="14859" max="14868" width="11.7109375" style="530" customWidth="1"/>
    <col min="14869" max="15096" width="8" style="530" customWidth="1"/>
    <col min="15097" max="15097" width="2.42578125" style="530" bestFit="1" customWidth="1"/>
    <col min="15098" max="15098" width="28.28515625" style="530" bestFit="1" customWidth="1"/>
    <col min="15099" max="15099" width="14.28515625" style="530" bestFit="1" customWidth="1"/>
    <col min="15100" max="15100" width="13.5703125" style="530" bestFit="1" customWidth="1"/>
    <col min="15101" max="15101" width="10.7109375" style="530" bestFit="1" customWidth="1"/>
    <col min="15102" max="15102" width="9.42578125" style="530" bestFit="1" customWidth="1"/>
    <col min="15103" max="15103" width="9.85546875" style="530" bestFit="1" customWidth="1"/>
    <col min="15104" max="15104" width="11.28515625" style="530" bestFit="1" customWidth="1"/>
    <col min="15105" max="15105" width="9.140625" style="530"/>
    <col min="15106" max="15107" width="3.7109375" style="530" customWidth="1"/>
    <col min="15108" max="15108" width="18.85546875" style="530" customWidth="1"/>
    <col min="15109" max="15109" width="19.7109375" style="530" customWidth="1"/>
    <col min="15110" max="15110" width="13.5703125" style="530" customWidth="1"/>
    <col min="15111" max="15113" width="11.7109375" style="530" customWidth="1"/>
    <col min="15114" max="15114" width="12.7109375" style="530" customWidth="1"/>
    <col min="15115" max="15124" width="11.7109375" style="530" customWidth="1"/>
    <col min="15125" max="15352" width="8" style="530" customWidth="1"/>
    <col min="15353" max="15353" width="2.42578125" style="530" bestFit="1" customWidth="1"/>
    <col min="15354" max="15354" width="28.28515625" style="530" bestFit="1" customWidth="1"/>
    <col min="15355" max="15355" width="14.28515625" style="530" bestFit="1" customWidth="1"/>
    <col min="15356" max="15356" width="13.5703125" style="530" bestFit="1" customWidth="1"/>
    <col min="15357" max="15357" width="10.7109375" style="530" bestFit="1" customWidth="1"/>
    <col min="15358" max="15358" width="9.42578125" style="530" bestFit="1" customWidth="1"/>
    <col min="15359" max="15359" width="9.85546875" style="530" bestFit="1" customWidth="1"/>
    <col min="15360" max="15360" width="11.28515625" style="530" bestFit="1" customWidth="1"/>
    <col min="15361" max="15361" width="9.140625" style="530"/>
    <col min="15362" max="15363" width="3.7109375" style="530" customWidth="1"/>
    <col min="15364" max="15364" width="18.85546875" style="530" customWidth="1"/>
    <col min="15365" max="15365" width="19.7109375" style="530" customWidth="1"/>
    <col min="15366" max="15366" width="13.5703125" style="530" customWidth="1"/>
    <col min="15367" max="15369" width="11.7109375" style="530" customWidth="1"/>
    <col min="15370" max="15370" width="12.7109375" style="530" customWidth="1"/>
    <col min="15371" max="15380" width="11.7109375" style="530" customWidth="1"/>
    <col min="15381" max="15608" width="8" style="530" customWidth="1"/>
    <col min="15609" max="15609" width="2.42578125" style="530" bestFit="1" customWidth="1"/>
    <col min="15610" max="15610" width="28.28515625" style="530" bestFit="1" customWidth="1"/>
    <col min="15611" max="15611" width="14.28515625" style="530" bestFit="1" customWidth="1"/>
    <col min="15612" max="15612" width="13.5703125" style="530" bestFit="1" customWidth="1"/>
    <col min="15613" max="15613" width="10.7109375" style="530" bestFit="1" customWidth="1"/>
    <col min="15614" max="15614" width="9.42578125" style="530" bestFit="1" customWidth="1"/>
    <col min="15615" max="15615" width="9.85546875" style="530" bestFit="1" customWidth="1"/>
    <col min="15616" max="15616" width="11.28515625" style="530" bestFit="1" customWidth="1"/>
    <col min="15617" max="15617" width="9.140625" style="530"/>
    <col min="15618" max="15619" width="3.7109375" style="530" customWidth="1"/>
    <col min="15620" max="15620" width="18.85546875" style="530" customWidth="1"/>
    <col min="15621" max="15621" width="19.7109375" style="530" customWidth="1"/>
    <col min="15622" max="15622" width="13.5703125" style="530" customWidth="1"/>
    <col min="15623" max="15625" width="11.7109375" style="530" customWidth="1"/>
    <col min="15626" max="15626" width="12.7109375" style="530" customWidth="1"/>
    <col min="15627" max="15636" width="11.7109375" style="530" customWidth="1"/>
    <col min="15637" max="15864" width="8" style="530" customWidth="1"/>
    <col min="15865" max="15865" width="2.42578125" style="530" bestFit="1" customWidth="1"/>
    <col min="15866" max="15866" width="28.28515625" style="530" bestFit="1" customWidth="1"/>
    <col min="15867" max="15867" width="14.28515625" style="530" bestFit="1" customWidth="1"/>
    <col min="15868" max="15868" width="13.5703125" style="530" bestFit="1" customWidth="1"/>
    <col min="15869" max="15869" width="10.7109375" style="530" bestFit="1" customWidth="1"/>
    <col min="15870" max="15870" width="9.42578125" style="530" bestFit="1" customWidth="1"/>
    <col min="15871" max="15871" width="9.85546875" style="530" bestFit="1" customWidth="1"/>
    <col min="15872" max="15872" width="11.28515625" style="530" bestFit="1" customWidth="1"/>
    <col min="15873" max="15873" width="9.140625" style="530"/>
    <col min="15874" max="15875" width="3.7109375" style="530" customWidth="1"/>
    <col min="15876" max="15876" width="18.85546875" style="530" customWidth="1"/>
    <col min="15877" max="15877" width="19.7109375" style="530" customWidth="1"/>
    <col min="15878" max="15878" width="13.5703125" style="530" customWidth="1"/>
    <col min="15879" max="15881" width="11.7109375" style="530" customWidth="1"/>
    <col min="15882" max="15882" width="12.7109375" style="530" customWidth="1"/>
    <col min="15883" max="15892" width="11.7109375" style="530" customWidth="1"/>
    <col min="15893" max="16120" width="8" style="530" customWidth="1"/>
    <col min="16121" max="16121" width="2.42578125" style="530" bestFit="1" customWidth="1"/>
    <col min="16122" max="16122" width="28.28515625" style="530" bestFit="1" customWidth="1"/>
    <col min="16123" max="16123" width="14.28515625" style="530" bestFit="1" customWidth="1"/>
    <col min="16124" max="16124" width="13.5703125" style="530" bestFit="1" customWidth="1"/>
    <col min="16125" max="16125" width="10.7109375" style="530" bestFit="1" customWidth="1"/>
    <col min="16126" max="16126" width="9.42578125" style="530" bestFit="1" customWidth="1"/>
    <col min="16127" max="16127" width="9.85546875" style="530" bestFit="1" customWidth="1"/>
    <col min="16128" max="16128" width="11.28515625" style="530" bestFit="1" customWidth="1"/>
    <col min="16129" max="16129" width="9.140625" style="530"/>
    <col min="16130" max="16131" width="3.7109375" style="530" customWidth="1"/>
    <col min="16132" max="16132" width="18.85546875" style="530" customWidth="1"/>
    <col min="16133" max="16133" width="19.7109375" style="530" customWidth="1"/>
    <col min="16134" max="16134" width="13.5703125" style="530" customWidth="1"/>
    <col min="16135" max="16137" width="11.7109375" style="530" customWidth="1"/>
    <col min="16138" max="16138" width="12.7109375" style="530" customWidth="1"/>
    <col min="16139" max="16148" width="11.7109375" style="530" customWidth="1"/>
    <col min="16149" max="16376" width="8" style="530" customWidth="1"/>
    <col min="16377" max="16377" width="2.42578125" style="530" bestFit="1" customWidth="1"/>
    <col min="16378" max="16378" width="28.28515625" style="530" bestFit="1" customWidth="1"/>
    <col min="16379" max="16379" width="14.28515625" style="530" bestFit="1" customWidth="1"/>
    <col min="16380" max="16380" width="13.5703125" style="530" bestFit="1" customWidth="1"/>
    <col min="16381" max="16381" width="10.7109375" style="530" bestFit="1" customWidth="1"/>
    <col min="16382" max="16382" width="9.42578125" style="530" bestFit="1" customWidth="1"/>
    <col min="16383" max="16383" width="9.85546875" style="530" bestFit="1" customWidth="1"/>
    <col min="16384" max="16384" width="9.85546875" style="530" customWidth="1"/>
  </cols>
  <sheetData>
    <row r="1" spans="1:20" x14ac:dyDescent="0.3">
      <c r="B1" s="1909" t="s">
        <v>918</v>
      </c>
      <c r="C1" s="1909"/>
      <c r="D1" s="1909"/>
      <c r="E1" s="1909"/>
      <c r="F1" s="1909"/>
    </row>
    <row r="2" spans="1:20" s="531" customFormat="1" ht="17.25" x14ac:dyDescent="0.2">
      <c r="A2" s="528"/>
      <c r="B2" s="2186" t="s">
        <v>113</v>
      </c>
      <c r="C2" s="2186"/>
      <c r="D2" s="2186"/>
      <c r="E2" s="2186"/>
      <c r="F2" s="2186"/>
      <c r="G2" s="2186"/>
      <c r="H2" s="2186"/>
      <c r="I2" s="2186"/>
      <c r="J2" s="2186"/>
      <c r="K2" s="2186"/>
      <c r="L2" s="2186"/>
      <c r="M2" s="2186"/>
      <c r="N2" s="2186"/>
      <c r="O2" s="2186"/>
      <c r="P2" s="2186"/>
      <c r="Q2" s="2186"/>
      <c r="R2" s="2186"/>
      <c r="S2" s="2186"/>
      <c r="T2" s="2186"/>
    </row>
    <row r="3" spans="1:20" s="531" customFormat="1" ht="17.25" x14ac:dyDescent="0.2">
      <c r="A3" s="528"/>
      <c r="B3" s="2186" t="s">
        <v>14</v>
      </c>
      <c r="C3" s="2186"/>
      <c r="D3" s="2186"/>
      <c r="E3" s="2186"/>
      <c r="F3" s="2186"/>
      <c r="G3" s="2186"/>
      <c r="H3" s="2186"/>
      <c r="I3" s="2186"/>
      <c r="J3" s="2186"/>
      <c r="K3" s="2186"/>
      <c r="L3" s="2186"/>
      <c r="M3" s="2186"/>
      <c r="N3" s="2186"/>
      <c r="O3" s="2186"/>
      <c r="P3" s="2186"/>
      <c r="Q3" s="2186"/>
      <c r="R3" s="2186"/>
      <c r="S3" s="2186"/>
      <c r="T3" s="2186"/>
    </row>
    <row r="4" spans="1:20" s="531" customFormat="1" ht="17.25" x14ac:dyDescent="0.2">
      <c r="A4" s="528"/>
      <c r="B4" s="2186" t="s">
        <v>320</v>
      </c>
      <c r="C4" s="2186"/>
      <c r="D4" s="2186"/>
      <c r="E4" s="2186"/>
      <c r="F4" s="2186"/>
      <c r="G4" s="2186"/>
      <c r="H4" s="2186"/>
      <c r="I4" s="2186"/>
      <c r="J4" s="2186"/>
      <c r="K4" s="2186"/>
      <c r="L4" s="2186"/>
      <c r="M4" s="2186"/>
      <c r="N4" s="2186"/>
      <c r="O4" s="2186"/>
      <c r="P4" s="2186"/>
      <c r="Q4" s="2186"/>
      <c r="R4" s="2186"/>
      <c r="S4" s="2186"/>
      <c r="T4" s="2186"/>
    </row>
    <row r="5" spans="1:20" ht="17.25" x14ac:dyDescent="0.35">
      <c r="B5" s="532"/>
      <c r="C5" s="532"/>
      <c r="D5" s="532"/>
      <c r="E5" s="532"/>
      <c r="F5" s="532"/>
      <c r="G5" s="532"/>
      <c r="H5" s="532"/>
      <c r="I5" s="532"/>
      <c r="J5" s="532"/>
      <c r="K5" s="532"/>
      <c r="L5" s="532"/>
      <c r="M5" s="532"/>
      <c r="N5" s="532"/>
      <c r="O5" s="532"/>
      <c r="P5" s="532"/>
      <c r="Q5" s="532"/>
      <c r="R5" s="532"/>
      <c r="S5" s="2187" t="s">
        <v>0</v>
      </c>
      <c r="T5" s="2187"/>
    </row>
    <row r="6" spans="1:20" ht="17.25" thickBot="1" x14ac:dyDescent="0.35">
      <c r="B6" s="2183" t="s">
        <v>1</v>
      </c>
      <c r="C6" s="2183"/>
      <c r="D6" s="533" t="s">
        <v>3</v>
      </c>
      <c r="E6" s="533" t="s">
        <v>2</v>
      </c>
      <c r="F6" s="533" t="s">
        <v>4</v>
      </c>
      <c r="G6" s="533" t="s">
        <v>5</v>
      </c>
      <c r="H6" s="533" t="s">
        <v>15</v>
      </c>
      <c r="I6" s="533" t="s">
        <v>16</v>
      </c>
      <c r="J6" s="533" t="s">
        <v>34</v>
      </c>
      <c r="K6" s="533" t="s">
        <v>30</v>
      </c>
      <c r="L6" s="533" t="s">
        <v>23</v>
      </c>
      <c r="M6" s="533" t="s">
        <v>35</v>
      </c>
      <c r="N6" s="533" t="s">
        <v>36</v>
      </c>
      <c r="O6" s="533" t="s">
        <v>151</v>
      </c>
      <c r="P6" s="533" t="s">
        <v>152</v>
      </c>
      <c r="Q6" s="534" t="s">
        <v>153</v>
      </c>
      <c r="R6" s="534" t="s">
        <v>321</v>
      </c>
      <c r="S6" s="534" t="s">
        <v>461</v>
      </c>
      <c r="T6" s="534" t="s">
        <v>462</v>
      </c>
    </row>
    <row r="7" spans="1:20" s="528" customFormat="1" ht="99.75" customHeight="1" thickBot="1" x14ac:dyDescent="0.25">
      <c r="A7" s="528">
        <v>1</v>
      </c>
      <c r="B7" s="2184" t="s">
        <v>322</v>
      </c>
      <c r="C7" s="2185"/>
      <c r="D7" s="396" t="s">
        <v>323</v>
      </c>
      <c r="E7" s="396" t="s">
        <v>324</v>
      </c>
      <c r="F7" s="396" t="s">
        <v>325</v>
      </c>
      <c r="G7" s="396" t="s">
        <v>326</v>
      </c>
      <c r="H7" s="396" t="s">
        <v>798</v>
      </c>
      <c r="I7" s="396" t="s">
        <v>821</v>
      </c>
      <c r="J7" s="396" t="s">
        <v>799</v>
      </c>
      <c r="K7" s="396" t="s">
        <v>423</v>
      </c>
      <c r="L7" s="396" t="s">
        <v>800</v>
      </c>
      <c r="M7" s="396" t="s">
        <v>424</v>
      </c>
      <c r="N7" s="396" t="s">
        <v>463</v>
      </c>
      <c r="O7" s="396" t="s">
        <v>587</v>
      </c>
      <c r="P7" s="396" t="s">
        <v>801</v>
      </c>
      <c r="Q7" s="396" t="s">
        <v>802</v>
      </c>
      <c r="R7" s="396" t="s">
        <v>464</v>
      </c>
      <c r="S7" s="396" t="s">
        <v>588</v>
      </c>
      <c r="T7" s="635" t="s">
        <v>803</v>
      </c>
    </row>
    <row r="8" spans="1:20" ht="33" customHeight="1" thickTop="1" x14ac:dyDescent="0.3">
      <c r="A8" s="528">
        <v>2</v>
      </c>
      <c r="B8" s="535" t="s">
        <v>121</v>
      </c>
      <c r="C8" s="397" t="s">
        <v>371</v>
      </c>
      <c r="D8" s="536" t="s">
        <v>327</v>
      </c>
      <c r="E8" s="527" t="s">
        <v>589</v>
      </c>
      <c r="F8" s="398">
        <v>44104</v>
      </c>
      <c r="G8" s="399">
        <v>1500000</v>
      </c>
      <c r="H8" s="399">
        <v>0</v>
      </c>
      <c r="I8" s="399"/>
      <c r="J8" s="399">
        <v>0</v>
      </c>
      <c r="K8" s="399">
        <v>0</v>
      </c>
      <c r="L8" s="399">
        <f>H8-K8+I8</f>
        <v>0</v>
      </c>
      <c r="M8" s="399">
        <v>15375</v>
      </c>
      <c r="N8" s="399">
        <v>0</v>
      </c>
      <c r="O8" s="399"/>
      <c r="P8" s="399"/>
      <c r="Q8" s="399"/>
      <c r="R8" s="399"/>
      <c r="S8" s="399"/>
      <c r="T8" s="636"/>
    </row>
    <row r="9" spans="1:20" ht="33" x14ac:dyDescent="0.3">
      <c r="A9" s="528">
        <v>3</v>
      </c>
      <c r="B9" s="537" t="s">
        <v>128</v>
      </c>
      <c r="C9" s="538" t="s">
        <v>328</v>
      </c>
      <c r="D9" s="400" t="s">
        <v>329</v>
      </c>
      <c r="E9" s="539">
        <v>40736</v>
      </c>
      <c r="F9" s="539">
        <v>48040</v>
      </c>
      <c r="G9" s="1314">
        <v>484000</v>
      </c>
      <c r="H9" s="1314">
        <v>27285</v>
      </c>
      <c r="I9" s="1314"/>
      <c r="J9" s="1314">
        <v>0</v>
      </c>
      <c r="K9" s="1314">
        <f>12340+1</f>
        <v>12341</v>
      </c>
      <c r="L9" s="1314">
        <f t="shared" ref="L9:L14" si="0">H9-K9+I9</f>
        <v>14944</v>
      </c>
      <c r="M9" s="1314">
        <v>511</v>
      </c>
      <c r="N9" s="1314">
        <v>12340</v>
      </c>
      <c r="O9" s="1314">
        <v>2604</v>
      </c>
      <c r="P9" s="1314"/>
      <c r="Q9" s="1314">
        <f>L9-N9-O9-P9</f>
        <v>0</v>
      </c>
      <c r="R9" s="1314">
        <v>233</v>
      </c>
      <c r="S9" s="1314">
        <v>15</v>
      </c>
      <c r="T9" s="1315">
        <v>0</v>
      </c>
    </row>
    <row r="10" spans="1:20" ht="38.25" customHeight="1" x14ac:dyDescent="0.3">
      <c r="A10" s="528">
        <v>4</v>
      </c>
      <c r="B10" s="537" t="s">
        <v>129</v>
      </c>
      <c r="C10" s="538" t="s">
        <v>330</v>
      </c>
      <c r="D10" s="400" t="s">
        <v>331</v>
      </c>
      <c r="E10" s="539">
        <v>41555</v>
      </c>
      <c r="F10" s="539">
        <v>48859</v>
      </c>
      <c r="G10" s="1314">
        <v>200000</v>
      </c>
      <c r="H10" s="1314">
        <v>103493</v>
      </c>
      <c r="I10" s="1314"/>
      <c r="J10" s="1314">
        <v>0</v>
      </c>
      <c r="K10" s="1314">
        <v>8918</v>
      </c>
      <c r="L10" s="1314">
        <f t="shared" si="0"/>
        <v>94575</v>
      </c>
      <c r="M10" s="1314">
        <v>3010</v>
      </c>
      <c r="N10" s="1314">
        <v>8918</v>
      </c>
      <c r="O10" s="1314">
        <v>8918</v>
      </c>
      <c r="P10" s="1314">
        <v>8918</v>
      </c>
      <c r="Q10" s="1314">
        <f>L10-N10-O10-P10</f>
        <v>67821</v>
      </c>
      <c r="R10" s="1314">
        <v>2742</v>
      </c>
      <c r="S10" s="1314">
        <v>2474</v>
      </c>
      <c r="T10" s="1315">
        <v>2206</v>
      </c>
    </row>
    <row r="11" spans="1:20" ht="38.25" customHeight="1" x14ac:dyDescent="0.3">
      <c r="A11" s="528">
        <v>5</v>
      </c>
      <c r="B11" s="537" t="s">
        <v>130</v>
      </c>
      <c r="C11" s="538" t="s">
        <v>372</v>
      </c>
      <c r="D11" s="400" t="s">
        <v>329</v>
      </c>
      <c r="E11" s="539">
        <v>41759</v>
      </c>
      <c r="F11" s="539">
        <v>49064</v>
      </c>
      <c r="G11" s="1314">
        <v>200000</v>
      </c>
      <c r="H11" s="1314">
        <v>119954</v>
      </c>
      <c r="I11" s="1314"/>
      <c r="J11" s="1314">
        <v>0</v>
      </c>
      <c r="K11" s="1314">
        <v>8886</v>
      </c>
      <c r="L11" s="1314">
        <f t="shared" si="0"/>
        <v>111068</v>
      </c>
      <c r="M11" s="1314">
        <v>2492</v>
      </c>
      <c r="N11" s="1314">
        <v>8886</v>
      </c>
      <c r="O11" s="1314">
        <v>8886</v>
      </c>
      <c r="P11" s="1314">
        <v>8886</v>
      </c>
      <c r="Q11" s="1314">
        <f>L11-O11-P11-N11</f>
        <v>84410</v>
      </c>
      <c r="R11" s="1314">
        <v>2301</v>
      </c>
      <c r="S11" s="1314">
        <v>2111</v>
      </c>
      <c r="T11" s="1315">
        <v>1922</v>
      </c>
    </row>
    <row r="12" spans="1:20" ht="35.25" customHeight="1" x14ac:dyDescent="0.3">
      <c r="A12" s="528">
        <v>6</v>
      </c>
      <c r="B12" s="540" t="s">
        <v>131</v>
      </c>
      <c r="C12" s="541" t="s">
        <v>373</v>
      </c>
      <c r="D12" s="401" t="s">
        <v>327</v>
      </c>
      <c r="E12" s="542">
        <v>41759</v>
      </c>
      <c r="F12" s="542">
        <v>45285</v>
      </c>
      <c r="G12" s="1316">
        <v>151317</v>
      </c>
      <c r="H12" s="1316">
        <v>57842</v>
      </c>
      <c r="I12" s="1316"/>
      <c r="J12" s="1316">
        <v>0</v>
      </c>
      <c r="K12" s="1316">
        <v>19678</v>
      </c>
      <c r="L12" s="1316">
        <f t="shared" si="0"/>
        <v>38164</v>
      </c>
      <c r="M12" s="1316">
        <v>1140</v>
      </c>
      <c r="N12" s="1316">
        <v>19679</v>
      </c>
      <c r="O12" s="1316">
        <v>18485</v>
      </c>
      <c r="P12" s="1316"/>
      <c r="Q12" s="1314"/>
      <c r="R12" s="1316">
        <v>696</v>
      </c>
      <c r="S12" s="1316">
        <v>251</v>
      </c>
      <c r="T12" s="1317">
        <v>0</v>
      </c>
    </row>
    <row r="13" spans="1:20" ht="36" customHeight="1" x14ac:dyDescent="0.3">
      <c r="A13" s="528">
        <v>7</v>
      </c>
      <c r="B13" s="540" t="s">
        <v>213</v>
      </c>
      <c r="C13" s="541" t="s">
        <v>804</v>
      </c>
      <c r="D13" s="401" t="s">
        <v>327</v>
      </c>
      <c r="E13" s="542">
        <v>42943</v>
      </c>
      <c r="F13" s="542">
        <v>46568</v>
      </c>
      <c r="G13" s="1316">
        <v>99000</v>
      </c>
      <c r="H13" s="1316">
        <v>81000</v>
      </c>
      <c r="I13" s="1316"/>
      <c r="J13" s="1316">
        <v>0</v>
      </c>
      <c r="K13" s="1316">
        <v>12000</v>
      </c>
      <c r="L13" s="1316">
        <f t="shared" si="0"/>
        <v>69000</v>
      </c>
      <c r="M13" s="1316">
        <v>1584</v>
      </c>
      <c r="N13" s="1316">
        <v>12000</v>
      </c>
      <c r="O13" s="1316">
        <v>12000</v>
      </c>
      <c r="P13" s="1316">
        <v>12000</v>
      </c>
      <c r="Q13" s="1314">
        <f>L13-O13-P13-N13</f>
        <v>33000</v>
      </c>
      <c r="R13" s="1316">
        <v>1335</v>
      </c>
      <c r="S13" s="1316">
        <v>1087</v>
      </c>
      <c r="T13" s="1317">
        <v>838</v>
      </c>
    </row>
    <row r="14" spans="1:20" ht="33" customHeight="1" x14ac:dyDescent="0.3">
      <c r="A14" s="528">
        <v>8</v>
      </c>
      <c r="B14" s="1318" t="s">
        <v>332</v>
      </c>
      <c r="C14" s="541" t="s">
        <v>805</v>
      </c>
      <c r="D14" s="401" t="s">
        <v>327</v>
      </c>
      <c r="E14" s="1319">
        <v>43641</v>
      </c>
      <c r="F14" s="1319">
        <v>47299</v>
      </c>
      <c r="G14" s="1316">
        <v>1260000</v>
      </c>
      <c r="H14" s="1316">
        <v>645374</v>
      </c>
      <c r="I14" s="1316">
        <v>614626</v>
      </c>
      <c r="J14" s="1316">
        <v>0</v>
      </c>
      <c r="K14" s="1316">
        <v>76364</v>
      </c>
      <c r="L14" s="1316">
        <f t="shared" si="0"/>
        <v>1183636</v>
      </c>
      <c r="M14" s="1316">
        <v>22758</v>
      </c>
      <c r="N14" s="1316">
        <v>152728</v>
      </c>
      <c r="O14" s="1316">
        <v>152727</v>
      </c>
      <c r="P14" s="1316">
        <v>152727</v>
      </c>
      <c r="Q14" s="1316">
        <f>L14-O14-P14-N14</f>
        <v>725454</v>
      </c>
      <c r="R14" s="1316">
        <v>20500</v>
      </c>
      <c r="S14" s="1316">
        <v>17720</v>
      </c>
      <c r="T14" s="1317">
        <v>14941</v>
      </c>
    </row>
    <row r="15" spans="1:20" ht="33" customHeight="1" thickBot="1" x14ac:dyDescent="0.35">
      <c r="A15" s="528">
        <v>9</v>
      </c>
      <c r="B15" s="1320" t="s">
        <v>465</v>
      </c>
      <c r="C15" s="543" t="s">
        <v>806</v>
      </c>
      <c r="D15" s="606" t="s">
        <v>822</v>
      </c>
      <c r="E15" s="1321" t="s">
        <v>728</v>
      </c>
      <c r="F15" s="1321" t="s">
        <v>807</v>
      </c>
      <c r="G15" s="1322">
        <v>561891</v>
      </c>
      <c r="H15" s="1322">
        <v>0</v>
      </c>
      <c r="I15" s="1322"/>
      <c r="J15" s="1322">
        <v>561891</v>
      </c>
      <c r="K15" s="1322"/>
      <c r="L15" s="1322">
        <f>H15-K15+I15+J15</f>
        <v>561891</v>
      </c>
      <c r="M15" s="1322">
        <v>5000</v>
      </c>
      <c r="N15" s="1322"/>
      <c r="O15" s="1322">
        <v>34054</v>
      </c>
      <c r="P15" s="1322">
        <v>68108</v>
      </c>
      <c r="Q15" s="1322">
        <f>L15-O15-P15</f>
        <v>459729</v>
      </c>
      <c r="R15" s="1322">
        <v>15666</v>
      </c>
      <c r="S15" s="1322">
        <v>15372</v>
      </c>
      <c r="T15" s="1323">
        <v>13695</v>
      </c>
    </row>
    <row r="16" spans="1:20" s="531" customFormat="1" ht="30" customHeight="1" thickTop="1" thickBot="1" x14ac:dyDescent="0.25">
      <c r="A16" s="528">
        <v>10</v>
      </c>
      <c r="B16" s="544" t="s">
        <v>244</v>
      </c>
      <c r="C16" s="545" t="s">
        <v>333</v>
      </c>
      <c r="D16" s="545"/>
      <c r="E16" s="545"/>
      <c r="F16" s="545"/>
      <c r="G16" s="545"/>
      <c r="H16" s="545">
        <f>SUM(H8:H15)</f>
        <v>1034948</v>
      </c>
      <c r="I16" s="545">
        <f t="shared" ref="I16:T16" si="1">SUM(I8:I15)</f>
        <v>614626</v>
      </c>
      <c r="J16" s="545">
        <f t="shared" si="1"/>
        <v>561891</v>
      </c>
      <c r="K16" s="545">
        <f t="shared" si="1"/>
        <v>138187</v>
      </c>
      <c r="L16" s="545">
        <f t="shared" si="1"/>
        <v>2073278</v>
      </c>
      <c r="M16" s="545">
        <f t="shared" si="1"/>
        <v>51870</v>
      </c>
      <c r="N16" s="545">
        <f t="shared" si="1"/>
        <v>214551</v>
      </c>
      <c r="O16" s="545">
        <f t="shared" si="1"/>
        <v>237674</v>
      </c>
      <c r="P16" s="545">
        <f t="shared" si="1"/>
        <v>250639</v>
      </c>
      <c r="Q16" s="545">
        <f t="shared" si="1"/>
        <v>1370414</v>
      </c>
      <c r="R16" s="545">
        <f t="shared" si="1"/>
        <v>43473</v>
      </c>
      <c r="S16" s="545">
        <f t="shared" si="1"/>
        <v>39030</v>
      </c>
      <c r="T16" s="637">
        <f t="shared" si="1"/>
        <v>33602</v>
      </c>
    </row>
    <row r="17" spans="18:18" ht="30" customHeight="1" x14ac:dyDescent="0.3">
      <c r="R17" s="529"/>
    </row>
  </sheetData>
  <mergeCells count="7">
    <mergeCell ref="B1:F1"/>
    <mergeCell ref="B6:C6"/>
    <mergeCell ref="B7:C7"/>
    <mergeCell ref="B2:T2"/>
    <mergeCell ref="B3:T3"/>
    <mergeCell ref="B4:T4"/>
    <mergeCell ref="S5:T5"/>
  </mergeCells>
  <printOptions horizontalCentered="1"/>
  <pageMargins left="0.19685039370078741" right="0.19685039370078741" top="0.59055118110236227" bottom="0.59055118110236227" header="0.51181102362204722" footer="0.51181102362204722"/>
  <pageSetup paperSize="9" scale="60" fitToHeight="0" orientation="landscape" verticalDpi="300" r:id="rId1"/>
  <headerFooter>
    <oddFooter>&amp;C- &amp;P -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P34"/>
  <sheetViews>
    <sheetView view="pageBreakPreview" zoomScaleNormal="100" zoomScaleSheetLayoutView="100" workbookViewId="0">
      <selection activeCell="B1" sqref="B1:D1"/>
    </sheetView>
  </sheetViews>
  <sheetFormatPr defaultColWidth="3" defaultRowHeight="17.25" x14ac:dyDescent="0.3"/>
  <cols>
    <col min="1" max="1" width="3.28515625" style="588" bestFit="1" customWidth="1"/>
    <col min="2" max="2" width="5.140625" style="593" customWidth="1"/>
    <col min="3" max="3" width="4.42578125" style="594" customWidth="1"/>
    <col min="4" max="4" width="74" style="594" customWidth="1"/>
    <col min="5" max="5" width="20" style="592" customWidth="1"/>
    <col min="6" max="248" width="8" style="592" customWidth="1"/>
    <col min="249" max="249" width="3" style="592" bestFit="1" customWidth="1"/>
    <col min="250" max="16384" width="3" style="35"/>
  </cols>
  <sheetData>
    <row r="1" spans="1:250" ht="16.5" x14ac:dyDescent="0.3">
      <c r="B1" s="2202" t="s">
        <v>919</v>
      </c>
      <c r="C1" s="2202"/>
      <c r="D1" s="2203"/>
      <c r="E1" s="590"/>
      <c r="F1" s="590"/>
      <c r="G1" s="590"/>
      <c r="H1" s="590"/>
      <c r="I1" s="590"/>
      <c r="J1" s="590"/>
      <c r="K1" s="590"/>
      <c r="L1" s="590"/>
      <c r="M1" s="590"/>
      <c r="N1" s="590"/>
      <c r="O1" s="590"/>
      <c r="P1" s="590"/>
      <c r="Q1" s="590"/>
      <c r="R1" s="590"/>
      <c r="S1" s="590"/>
      <c r="T1" s="590"/>
      <c r="U1" s="590"/>
      <c r="V1" s="590"/>
      <c r="W1" s="590"/>
      <c r="X1" s="590"/>
      <c r="Y1" s="590"/>
      <c r="Z1" s="590"/>
      <c r="AA1" s="590"/>
      <c r="AB1" s="590"/>
      <c r="AC1" s="590"/>
      <c r="AD1" s="590"/>
      <c r="AE1" s="590"/>
      <c r="AF1" s="590"/>
      <c r="AG1" s="590"/>
      <c r="AH1" s="590"/>
      <c r="AI1" s="590"/>
      <c r="AJ1" s="590"/>
      <c r="AK1" s="590"/>
      <c r="AL1" s="590"/>
      <c r="AM1" s="590"/>
      <c r="AN1" s="590"/>
      <c r="AO1" s="590"/>
      <c r="AP1" s="590"/>
      <c r="AQ1" s="590"/>
      <c r="AR1" s="590"/>
      <c r="AS1" s="590"/>
      <c r="AT1" s="590"/>
      <c r="AU1" s="590"/>
      <c r="AV1" s="590"/>
      <c r="AW1" s="590"/>
      <c r="AX1" s="590"/>
      <c r="AY1" s="590"/>
      <c r="AZ1" s="590"/>
      <c r="BA1" s="590"/>
      <c r="BB1" s="590"/>
      <c r="BC1" s="590"/>
      <c r="BD1" s="590"/>
      <c r="BE1" s="590"/>
      <c r="BF1" s="590"/>
      <c r="BG1" s="590"/>
      <c r="BH1" s="590"/>
      <c r="BI1" s="590"/>
      <c r="BJ1" s="590"/>
      <c r="BK1" s="590"/>
      <c r="BL1" s="590"/>
      <c r="BM1" s="590"/>
      <c r="BN1" s="590"/>
      <c r="BO1" s="590"/>
      <c r="BP1" s="590"/>
      <c r="BQ1" s="590"/>
      <c r="BR1" s="590"/>
      <c r="BS1" s="590"/>
      <c r="BT1" s="590"/>
      <c r="BU1" s="590"/>
      <c r="BV1" s="590"/>
      <c r="BW1" s="590"/>
      <c r="BX1" s="590"/>
      <c r="BY1" s="590"/>
      <c r="BZ1" s="590"/>
      <c r="CA1" s="590"/>
      <c r="CB1" s="590"/>
      <c r="CC1" s="590"/>
      <c r="CD1" s="590"/>
      <c r="CE1" s="590"/>
      <c r="CF1" s="590"/>
      <c r="CG1" s="590"/>
      <c r="CH1" s="590"/>
      <c r="CI1" s="590"/>
      <c r="CJ1" s="590"/>
      <c r="CK1" s="590"/>
      <c r="CL1" s="590"/>
      <c r="CM1" s="590"/>
      <c r="CN1" s="590"/>
      <c r="CO1" s="590"/>
      <c r="CP1" s="590"/>
      <c r="CQ1" s="590"/>
      <c r="CR1" s="590"/>
      <c r="CS1" s="590"/>
      <c r="CT1" s="590"/>
      <c r="CU1" s="590"/>
      <c r="CV1" s="590"/>
      <c r="CW1" s="590"/>
      <c r="CX1" s="590"/>
      <c r="CY1" s="590"/>
      <c r="CZ1" s="590"/>
      <c r="DA1" s="590"/>
      <c r="DB1" s="590"/>
      <c r="DC1" s="590"/>
      <c r="DD1" s="590"/>
      <c r="DE1" s="590"/>
      <c r="DF1" s="590"/>
      <c r="DG1" s="590"/>
      <c r="DH1" s="590"/>
      <c r="DI1" s="590"/>
      <c r="DJ1" s="590"/>
      <c r="DK1" s="590"/>
      <c r="DL1" s="590"/>
      <c r="DM1" s="590"/>
      <c r="DN1" s="590"/>
      <c r="DO1" s="590"/>
      <c r="DP1" s="590"/>
      <c r="DQ1" s="590"/>
      <c r="DR1" s="590"/>
      <c r="DS1" s="590"/>
      <c r="DT1" s="590"/>
      <c r="DU1" s="590"/>
      <c r="DV1" s="590"/>
      <c r="DW1" s="590"/>
      <c r="DX1" s="590"/>
      <c r="DY1" s="590"/>
      <c r="DZ1" s="590"/>
      <c r="EA1" s="590"/>
      <c r="EB1" s="590"/>
      <c r="EC1" s="590"/>
      <c r="ED1" s="590"/>
      <c r="EE1" s="590"/>
      <c r="EF1" s="590"/>
      <c r="EG1" s="590"/>
      <c r="EH1" s="590"/>
      <c r="EI1" s="590"/>
      <c r="EJ1" s="590"/>
      <c r="EK1" s="590"/>
      <c r="EL1" s="590"/>
      <c r="EM1" s="590"/>
      <c r="EN1" s="590"/>
      <c r="EO1" s="590"/>
      <c r="EP1" s="590"/>
      <c r="EQ1" s="590"/>
      <c r="ER1" s="590"/>
      <c r="ES1" s="590"/>
      <c r="ET1" s="590"/>
      <c r="EU1" s="590"/>
      <c r="EV1" s="590"/>
      <c r="EW1" s="590"/>
      <c r="EX1" s="590"/>
      <c r="EY1" s="590"/>
      <c r="EZ1" s="590"/>
      <c r="FA1" s="590"/>
      <c r="FB1" s="590"/>
      <c r="FC1" s="590"/>
      <c r="FD1" s="590"/>
      <c r="FE1" s="590"/>
      <c r="FF1" s="590"/>
      <c r="FG1" s="590"/>
      <c r="FH1" s="590"/>
      <c r="FI1" s="590"/>
      <c r="FJ1" s="590"/>
      <c r="FK1" s="590"/>
      <c r="FL1" s="590"/>
      <c r="FM1" s="590"/>
      <c r="FN1" s="590"/>
      <c r="FO1" s="590"/>
      <c r="FP1" s="590"/>
      <c r="FQ1" s="590"/>
      <c r="FR1" s="590"/>
      <c r="FS1" s="590"/>
      <c r="FT1" s="590"/>
      <c r="FU1" s="590"/>
      <c r="FV1" s="590"/>
      <c r="FW1" s="590"/>
      <c r="FX1" s="590"/>
      <c r="FY1" s="590"/>
      <c r="FZ1" s="590"/>
      <c r="GA1" s="590"/>
      <c r="GB1" s="590"/>
      <c r="GC1" s="590"/>
      <c r="GD1" s="590"/>
      <c r="GE1" s="590"/>
      <c r="GF1" s="590"/>
      <c r="GG1" s="590"/>
      <c r="GH1" s="590"/>
      <c r="GI1" s="590"/>
      <c r="GJ1" s="590"/>
      <c r="GK1" s="590"/>
      <c r="GL1" s="590"/>
      <c r="GM1" s="590"/>
      <c r="GN1" s="590"/>
      <c r="GO1" s="590"/>
      <c r="GP1" s="590"/>
      <c r="GQ1" s="590"/>
      <c r="GR1" s="590"/>
      <c r="GS1" s="590"/>
      <c r="GT1" s="590"/>
      <c r="GU1" s="590"/>
      <c r="GV1" s="590"/>
      <c r="GW1" s="590"/>
      <c r="GX1" s="590"/>
      <c r="GY1" s="590"/>
      <c r="GZ1" s="590"/>
      <c r="HA1" s="590"/>
      <c r="HB1" s="590"/>
      <c r="HC1" s="590"/>
      <c r="HD1" s="590"/>
      <c r="HE1" s="590"/>
      <c r="HF1" s="590"/>
      <c r="HG1" s="590"/>
      <c r="HH1" s="590"/>
      <c r="HI1" s="590"/>
      <c r="HJ1" s="590"/>
      <c r="HK1" s="590"/>
      <c r="HL1" s="590"/>
      <c r="HM1" s="590"/>
      <c r="HN1" s="590"/>
      <c r="HO1" s="590"/>
      <c r="HP1" s="590"/>
      <c r="HQ1" s="590"/>
      <c r="HR1" s="590"/>
      <c r="HS1" s="590"/>
      <c r="HT1" s="590"/>
      <c r="HU1" s="590"/>
      <c r="HV1" s="590"/>
      <c r="HW1" s="590"/>
      <c r="HX1" s="590"/>
      <c r="HY1" s="590"/>
      <c r="HZ1" s="590"/>
      <c r="IA1" s="590"/>
      <c r="IB1" s="590"/>
      <c r="IC1" s="590"/>
      <c r="ID1" s="590"/>
      <c r="IE1" s="590"/>
      <c r="IF1" s="590"/>
      <c r="IG1" s="590"/>
      <c r="IH1" s="590"/>
      <c r="II1" s="590"/>
      <c r="IJ1" s="590"/>
      <c r="IK1" s="590"/>
      <c r="IL1" s="590"/>
      <c r="IM1" s="590"/>
      <c r="IN1" s="590"/>
      <c r="IO1" s="590"/>
      <c r="IP1" s="214"/>
    </row>
    <row r="2" spans="1:250" ht="16.5" x14ac:dyDescent="0.3">
      <c r="B2" s="1310"/>
      <c r="C2" s="1310"/>
      <c r="D2" s="1310"/>
      <c r="E2" s="590"/>
      <c r="F2" s="590"/>
      <c r="G2" s="590"/>
      <c r="H2" s="590"/>
      <c r="I2" s="590"/>
      <c r="J2" s="590"/>
      <c r="K2" s="590"/>
      <c r="L2" s="590"/>
      <c r="M2" s="590"/>
      <c r="N2" s="590"/>
      <c r="O2" s="590"/>
      <c r="P2" s="590"/>
      <c r="Q2" s="590"/>
      <c r="R2" s="590"/>
      <c r="S2" s="590"/>
      <c r="T2" s="590"/>
      <c r="U2" s="590"/>
      <c r="V2" s="590"/>
      <c r="W2" s="590"/>
      <c r="X2" s="590"/>
      <c r="Y2" s="590"/>
      <c r="Z2" s="590"/>
      <c r="AA2" s="590"/>
      <c r="AB2" s="590"/>
      <c r="AC2" s="590"/>
      <c r="AD2" s="590"/>
      <c r="AE2" s="590"/>
      <c r="AF2" s="590"/>
      <c r="AG2" s="590"/>
      <c r="AH2" s="590"/>
      <c r="AI2" s="590"/>
      <c r="AJ2" s="590"/>
      <c r="AK2" s="590"/>
      <c r="AL2" s="590"/>
      <c r="AM2" s="590"/>
      <c r="AN2" s="590"/>
      <c r="AO2" s="590"/>
      <c r="AP2" s="590"/>
      <c r="AQ2" s="590"/>
      <c r="AR2" s="590"/>
      <c r="AS2" s="590"/>
      <c r="AT2" s="590"/>
      <c r="AU2" s="590"/>
      <c r="AV2" s="590"/>
      <c r="AW2" s="590"/>
      <c r="AX2" s="590"/>
      <c r="AY2" s="590"/>
      <c r="AZ2" s="590"/>
      <c r="BA2" s="590"/>
      <c r="BB2" s="590"/>
      <c r="BC2" s="590"/>
      <c r="BD2" s="590"/>
      <c r="BE2" s="590"/>
      <c r="BF2" s="590"/>
      <c r="BG2" s="590"/>
      <c r="BH2" s="590"/>
      <c r="BI2" s="590"/>
      <c r="BJ2" s="590"/>
      <c r="BK2" s="590"/>
      <c r="BL2" s="590"/>
      <c r="BM2" s="590"/>
      <c r="BN2" s="590"/>
      <c r="BO2" s="590"/>
      <c r="BP2" s="590"/>
      <c r="BQ2" s="590"/>
      <c r="BR2" s="590"/>
      <c r="BS2" s="590"/>
      <c r="BT2" s="590"/>
      <c r="BU2" s="590"/>
      <c r="BV2" s="590"/>
      <c r="BW2" s="590"/>
      <c r="BX2" s="590"/>
      <c r="BY2" s="590"/>
      <c r="BZ2" s="590"/>
      <c r="CA2" s="590"/>
      <c r="CB2" s="590"/>
      <c r="CC2" s="590"/>
      <c r="CD2" s="590"/>
      <c r="CE2" s="590"/>
      <c r="CF2" s="590"/>
      <c r="CG2" s="590"/>
      <c r="CH2" s="590"/>
      <c r="CI2" s="590"/>
      <c r="CJ2" s="590"/>
      <c r="CK2" s="590"/>
      <c r="CL2" s="590"/>
      <c r="CM2" s="590"/>
      <c r="CN2" s="590"/>
      <c r="CO2" s="590"/>
      <c r="CP2" s="590"/>
      <c r="CQ2" s="590"/>
      <c r="CR2" s="590"/>
      <c r="CS2" s="590"/>
      <c r="CT2" s="590"/>
      <c r="CU2" s="590"/>
      <c r="CV2" s="590"/>
      <c r="CW2" s="590"/>
      <c r="CX2" s="590"/>
      <c r="CY2" s="590"/>
      <c r="CZ2" s="590"/>
      <c r="DA2" s="590"/>
      <c r="DB2" s="590"/>
      <c r="DC2" s="590"/>
      <c r="DD2" s="590"/>
      <c r="DE2" s="590"/>
      <c r="DF2" s="590"/>
      <c r="DG2" s="590"/>
      <c r="DH2" s="590"/>
      <c r="DI2" s="590"/>
      <c r="DJ2" s="590"/>
      <c r="DK2" s="590"/>
      <c r="DL2" s="590"/>
      <c r="DM2" s="590"/>
      <c r="DN2" s="590"/>
      <c r="DO2" s="590"/>
      <c r="DP2" s="590"/>
      <c r="DQ2" s="590"/>
      <c r="DR2" s="590"/>
      <c r="DS2" s="590"/>
      <c r="DT2" s="590"/>
      <c r="DU2" s="590"/>
      <c r="DV2" s="590"/>
      <c r="DW2" s="590"/>
      <c r="DX2" s="590"/>
      <c r="DY2" s="590"/>
      <c r="DZ2" s="590"/>
      <c r="EA2" s="590"/>
      <c r="EB2" s="590"/>
      <c r="EC2" s="590"/>
      <c r="ED2" s="590"/>
      <c r="EE2" s="590"/>
      <c r="EF2" s="590"/>
      <c r="EG2" s="590"/>
      <c r="EH2" s="590"/>
      <c r="EI2" s="590"/>
      <c r="EJ2" s="590"/>
      <c r="EK2" s="590"/>
      <c r="EL2" s="590"/>
      <c r="EM2" s="590"/>
      <c r="EN2" s="590"/>
      <c r="EO2" s="590"/>
      <c r="EP2" s="590"/>
      <c r="EQ2" s="590"/>
      <c r="ER2" s="590"/>
      <c r="ES2" s="590"/>
      <c r="ET2" s="590"/>
      <c r="EU2" s="590"/>
      <c r="EV2" s="590"/>
      <c r="EW2" s="590"/>
      <c r="EX2" s="590"/>
      <c r="EY2" s="590"/>
      <c r="EZ2" s="590"/>
      <c r="FA2" s="590"/>
      <c r="FB2" s="590"/>
      <c r="FC2" s="590"/>
      <c r="FD2" s="590"/>
      <c r="FE2" s="590"/>
      <c r="FF2" s="590"/>
      <c r="FG2" s="590"/>
      <c r="FH2" s="590"/>
      <c r="FI2" s="590"/>
      <c r="FJ2" s="590"/>
      <c r="FK2" s="590"/>
      <c r="FL2" s="590"/>
      <c r="FM2" s="590"/>
      <c r="FN2" s="590"/>
      <c r="FO2" s="590"/>
      <c r="FP2" s="590"/>
      <c r="FQ2" s="590"/>
      <c r="FR2" s="590"/>
      <c r="FS2" s="590"/>
      <c r="FT2" s="590"/>
      <c r="FU2" s="590"/>
      <c r="FV2" s="590"/>
      <c r="FW2" s="590"/>
      <c r="FX2" s="590"/>
      <c r="FY2" s="590"/>
      <c r="FZ2" s="590"/>
      <c r="GA2" s="590"/>
      <c r="GB2" s="590"/>
      <c r="GC2" s="590"/>
      <c r="GD2" s="590"/>
      <c r="GE2" s="590"/>
      <c r="GF2" s="590"/>
      <c r="GG2" s="590"/>
      <c r="GH2" s="590"/>
      <c r="GI2" s="590"/>
      <c r="GJ2" s="590"/>
      <c r="GK2" s="590"/>
      <c r="GL2" s="590"/>
      <c r="GM2" s="590"/>
      <c r="GN2" s="590"/>
      <c r="GO2" s="590"/>
      <c r="GP2" s="590"/>
      <c r="GQ2" s="590"/>
      <c r="GR2" s="590"/>
      <c r="GS2" s="590"/>
      <c r="GT2" s="590"/>
      <c r="GU2" s="590"/>
      <c r="GV2" s="590"/>
      <c r="GW2" s="590"/>
      <c r="GX2" s="590"/>
      <c r="GY2" s="590"/>
      <c r="GZ2" s="590"/>
      <c r="HA2" s="590"/>
      <c r="HB2" s="590"/>
      <c r="HC2" s="590"/>
      <c r="HD2" s="590"/>
      <c r="HE2" s="590"/>
      <c r="HF2" s="590"/>
      <c r="HG2" s="590"/>
      <c r="HH2" s="590"/>
      <c r="HI2" s="590"/>
      <c r="HJ2" s="590"/>
      <c r="HK2" s="590"/>
      <c r="HL2" s="590"/>
      <c r="HM2" s="590"/>
      <c r="HN2" s="590"/>
      <c r="HO2" s="590"/>
      <c r="HP2" s="590"/>
      <c r="HQ2" s="590"/>
      <c r="HR2" s="590"/>
      <c r="HS2" s="590"/>
      <c r="HT2" s="590"/>
      <c r="HU2" s="590"/>
      <c r="HV2" s="590"/>
      <c r="HW2" s="590"/>
      <c r="HX2" s="590"/>
      <c r="HY2" s="590"/>
      <c r="HZ2" s="590"/>
      <c r="IA2" s="590"/>
      <c r="IB2" s="590"/>
      <c r="IC2" s="590"/>
      <c r="ID2" s="590"/>
      <c r="IE2" s="590"/>
      <c r="IF2" s="590"/>
      <c r="IG2" s="590"/>
      <c r="IH2" s="590"/>
      <c r="II2" s="590"/>
      <c r="IJ2" s="590"/>
      <c r="IK2" s="590"/>
      <c r="IL2" s="590"/>
      <c r="IM2" s="590"/>
      <c r="IN2" s="590"/>
      <c r="IO2" s="590"/>
      <c r="IP2" s="214"/>
    </row>
    <row r="3" spans="1:250" ht="17.25" customHeight="1" x14ac:dyDescent="0.3">
      <c r="B3" s="2208" t="s">
        <v>823</v>
      </c>
      <c r="C3" s="2208"/>
      <c r="D3" s="2208"/>
      <c r="E3" s="2208"/>
      <c r="F3" s="591"/>
      <c r="G3" s="591"/>
      <c r="H3" s="591"/>
      <c r="I3" s="591"/>
      <c r="J3" s="591"/>
      <c r="K3" s="591"/>
      <c r="L3" s="591"/>
      <c r="M3" s="591"/>
      <c r="N3" s="591"/>
      <c r="O3" s="591"/>
      <c r="P3" s="591"/>
      <c r="Q3" s="591"/>
      <c r="R3" s="591"/>
      <c r="S3" s="591"/>
      <c r="T3" s="591"/>
      <c r="U3" s="591"/>
      <c r="V3" s="591"/>
      <c r="W3" s="591"/>
      <c r="X3" s="591"/>
      <c r="Y3" s="591"/>
      <c r="Z3" s="591"/>
      <c r="AA3" s="591"/>
      <c r="AB3" s="591"/>
      <c r="AC3" s="591"/>
      <c r="AD3" s="591"/>
      <c r="AE3" s="591"/>
      <c r="AF3" s="591"/>
      <c r="AG3" s="591"/>
      <c r="AH3" s="591"/>
      <c r="AI3" s="591"/>
      <c r="AJ3" s="591"/>
      <c r="AK3" s="591"/>
      <c r="AL3" s="591"/>
      <c r="AM3" s="591"/>
      <c r="AN3" s="591"/>
      <c r="AO3" s="591"/>
      <c r="AP3" s="591"/>
      <c r="AQ3" s="591"/>
      <c r="AR3" s="591"/>
      <c r="AS3" s="591"/>
      <c r="AT3" s="591"/>
      <c r="AU3" s="591"/>
      <c r="AV3" s="591"/>
      <c r="AW3" s="591"/>
      <c r="AX3" s="591"/>
      <c r="AY3" s="591"/>
      <c r="AZ3" s="591"/>
      <c r="BA3" s="591"/>
      <c r="BB3" s="591"/>
      <c r="BC3" s="591"/>
      <c r="BD3" s="591"/>
      <c r="BE3" s="591"/>
      <c r="BF3" s="591"/>
      <c r="BG3" s="591"/>
      <c r="BH3" s="591"/>
      <c r="BI3" s="591"/>
      <c r="BJ3" s="591"/>
      <c r="BK3" s="591"/>
      <c r="BL3" s="591"/>
      <c r="BM3" s="591"/>
      <c r="BN3" s="591"/>
      <c r="BO3" s="591"/>
      <c r="BP3" s="591"/>
      <c r="BQ3" s="591"/>
      <c r="BR3" s="591"/>
      <c r="BS3" s="591"/>
      <c r="BT3" s="591"/>
      <c r="BU3" s="591"/>
      <c r="BV3" s="591"/>
      <c r="BW3" s="591"/>
      <c r="BX3" s="591"/>
      <c r="BY3" s="591"/>
      <c r="BZ3" s="591"/>
      <c r="CA3" s="591"/>
      <c r="CB3" s="591"/>
      <c r="CC3" s="591"/>
      <c r="CD3" s="591"/>
      <c r="CE3" s="591"/>
      <c r="CF3" s="591"/>
      <c r="CG3" s="591"/>
      <c r="CH3" s="591"/>
      <c r="CI3" s="591"/>
      <c r="CJ3" s="591"/>
      <c r="CK3" s="591"/>
      <c r="CL3" s="591"/>
      <c r="CM3" s="591"/>
      <c r="CN3" s="591"/>
      <c r="CO3" s="591"/>
      <c r="CP3" s="591"/>
      <c r="CQ3" s="591"/>
      <c r="CR3" s="591"/>
      <c r="CS3" s="591"/>
      <c r="CT3" s="591"/>
      <c r="CU3" s="591"/>
      <c r="CV3" s="591"/>
      <c r="CW3" s="591"/>
      <c r="CX3" s="591"/>
      <c r="CY3" s="591"/>
      <c r="CZ3" s="591"/>
      <c r="DA3" s="591"/>
      <c r="DB3" s="591"/>
      <c r="DC3" s="591"/>
      <c r="DD3" s="591"/>
      <c r="DE3" s="591"/>
      <c r="DF3" s="591"/>
      <c r="DG3" s="591"/>
      <c r="DH3" s="591"/>
      <c r="DI3" s="591"/>
      <c r="DJ3" s="591"/>
      <c r="DK3" s="591"/>
      <c r="DL3" s="591"/>
      <c r="DM3" s="591"/>
      <c r="DN3" s="591"/>
      <c r="DO3" s="591"/>
      <c r="DP3" s="591"/>
      <c r="DQ3" s="591"/>
      <c r="DR3" s="591"/>
      <c r="DS3" s="591"/>
      <c r="DT3" s="591"/>
      <c r="DU3" s="591"/>
      <c r="DV3" s="591"/>
      <c r="DW3" s="591"/>
      <c r="DX3" s="591"/>
      <c r="DY3" s="591"/>
      <c r="DZ3" s="591"/>
      <c r="EA3" s="591"/>
      <c r="EB3" s="591"/>
      <c r="EC3" s="591"/>
      <c r="ED3" s="591"/>
      <c r="EE3" s="591"/>
      <c r="EF3" s="591"/>
      <c r="EG3" s="591"/>
      <c r="EH3" s="591"/>
      <c r="EI3" s="591"/>
      <c r="EJ3" s="591"/>
      <c r="EK3" s="591"/>
      <c r="EL3" s="591"/>
      <c r="EM3" s="591"/>
      <c r="EN3" s="591"/>
      <c r="EO3" s="591"/>
      <c r="EP3" s="591"/>
      <c r="EQ3" s="591"/>
      <c r="ER3" s="591"/>
      <c r="ES3" s="591"/>
      <c r="ET3" s="591"/>
      <c r="EU3" s="591"/>
      <c r="EV3" s="591"/>
      <c r="EW3" s="591"/>
      <c r="EX3" s="591"/>
      <c r="EY3" s="591"/>
      <c r="EZ3" s="591"/>
      <c r="FA3" s="591"/>
      <c r="FB3" s="591"/>
      <c r="FC3" s="591"/>
      <c r="FD3" s="591"/>
      <c r="FE3" s="591"/>
      <c r="FF3" s="591"/>
      <c r="FG3" s="591"/>
      <c r="FH3" s="591"/>
      <c r="FI3" s="591"/>
      <c r="FJ3" s="591"/>
      <c r="FK3" s="591"/>
      <c r="FL3" s="591"/>
      <c r="FM3" s="591"/>
      <c r="FN3" s="591"/>
      <c r="FO3" s="591"/>
      <c r="FP3" s="591"/>
      <c r="FQ3" s="591"/>
      <c r="FR3" s="591"/>
      <c r="FS3" s="591"/>
      <c r="FT3" s="591"/>
      <c r="FU3" s="591"/>
      <c r="FV3" s="591"/>
      <c r="FW3" s="591"/>
      <c r="FX3" s="591"/>
      <c r="FY3" s="591"/>
      <c r="FZ3" s="591"/>
      <c r="GA3" s="591"/>
      <c r="GB3" s="591"/>
      <c r="GC3" s="591"/>
      <c r="GD3" s="591"/>
      <c r="GE3" s="591"/>
      <c r="GF3" s="591"/>
      <c r="GG3" s="591"/>
      <c r="GH3" s="591"/>
      <c r="GI3" s="591"/>
      <c r="GJ3" s="591"/>
      <c r="GK3" s="591"/>
      <c r="GL3" s="591"/>
      <c r="GM3" s="591"/>
      <c r="GN3" s="591"/>
      <c r="GO3" s="591"/>
      <c r="GP3" s="591"/>
      <c r="GQ3" s="591"/>
      <c r="GR3" s="591"/>
      <c r="GS3" s="591"/>
      <c r="GT3" s="591"/>
      <c r="GU3" s="591"/>
      <c r="GV3" s="591"/>
      <c r="GW3" s="591"/>
      <c r="GX3" s="591"/>
      <c r="GY3" s="591"/>
      <c r="GZ3" s="591"/>
      <c r="HA3" s="591"/>
      <c r="HB3" s="591"/>
      <c r="HC3" s="591"/>
      <c r="HD3" s="591"/>
      <c r="HE3" s="591"/>
      <c r="HF3" s="591"/>
      <c r="HG3" s="591"/>
      <c r="HH3" s="591"/>
      <c r="HI3" s="591"/>
      <c r="HJ3" s="591"/>
      <c r="HK3" s="591"/>
      <c r="HL3" s="591"/>
      <c r="HM3" s="591"/>
      <c r="HN3" s="591"/>
      <c r="HO3" s="591"/>
      <c r="HP3" s="591"/>
      <c r="HQ3" s="591"/>
      <c r="HR3" s="591"/>
      <c r="HS3" s="591"/>
      <c r="HT3" s="591"/>
      <c r="HU3" s="591"/>
      <c r="HV3" s="591"/>
      <c r="HW3" s="591"/>
      <c r="HX3" s="591"/>
      <c r="HY3" s="591"/>
      <c r="HZ3" s="591"/>
      <c r="IA3" s="591"/>
      <c r="IB3" s="591"/>
      <c r="IC3" s="591"/>
      <c r="ID3" s="591"/>
      <c r="IE3" s="591"/>
      <c r="IF3" s="591"/>
      <c r="IG3" s="591"/>
      <c r="IH3" s="591"/>
      <c r="II3" s="591"/>
      <c r="IJ3" s="591"/>
      <c r="IK3" s="591"/>
      <c r="IL3" s="591"/>
      <c r="IM3" s="591"/>
      <c r="IN3" s="591"/>
      <c r="IO3" s="591"/>
      <c r="IP3" s="38"/>
    </row>
    <row r="4" spans="1:250" ht="17.25" customHeight="1" x14ac:dyDescent="0.3">
      <c r="B4" s="2208"/>
      <c r="C4" s="2208"/>
      <c r="D4" s="2208"/>
      <c r="E4" s="2208"/>
    </row>
    <row r="5" spans="1:250" x14ac:dyDescent="0.3">
      <c r="B5" s="1311"/>
      <c r="C5" s="1311"/>
      <c r="D5" s="1311"/>
      <c r="E5" s="1311"/>
    </row>
    <row r="6" spans="1:250" x14ac:dyDescent="0.3">
      <c r="B6" s="1311"/>
      <c r="C6" s="1311"/>
      <c r="D6" s="1311"/>
      <c r="E6" s="634" t="s">
        <v>0</v>
      </c>
    </row>
    <row r="7" spans="1:250" thickBot="1" x14ac:dyDescent="0.35">
      <c r="B7" s="2204" t="s">
        <v>1</v>
      </c>
      <c r="C7" s="2204"/>
      <c r="D7" s="2204"/>
      <c r="E7" s="605" t="s">
        <v>3</v>
      </c>
    </row>
    <row r="8" spans="1:250" ht="18" thickBot="1" x14ac:dyDescent="0.35">
      <c r="A8" s="1022">
        <v>1</v>
      </c>
      <c r="B8" s="2205" t="s">
        <v>590</v>
      </c>
      <c r="C8" s="2206"/>
      <c r="D8" s="2207"/>
      <c r="E8" s="1324" t="s">
        <v>808</v>
      </c>
      <c r="F8" s="605"/>
      <c r="G8" s="605"/>
      <c r="H8" s="605"/>
      <c r="I8" s="605"/>
      <c r="J8" s="605"/>
      <c r="K8" s="605"/>
      <c r="L8" s="605"/>
      <c r="M8" s="605"/>
      <c r="N8" s="605"/>
      <c r="O8" s="605"/>
      <c r="P8" s="605"/>
      <c r="Q8" s="605"/>
      <c r="R8" s="605"/>
      <c r="S8" s="605"/>
      <c r="T8" s="605"/>
      <c r="U8" s="605"/>
      <c r="V8" s="605"/>
      <c r="W8" s="605"/>
      <c r="X8" s="605"/>
      <c r="Y8" s="605"/>
      <c r="Z8" s="605"/>
      <c r="AA8" s="605"/>
      <c r="AB8" s="605"/>
      <c r="AC8" s="605"/>
      <c r="AD8" s="605"/>
      <c r="AE8" s="605"/>
      <c r="AF8" s="605"/>
      <c r="AG8" s="605"/>
      <c r="AH8" s="605"/>
      <c r="AI8" s="605"/>
      <c r="AJ8" s="605"/>
      <c r="AK8" s="605"/>
      <c r="AL8" s="605"/>
      <c r="AM8" s="605"/>
      <c r="AN8" s="605"/>
      <c r="AO8" s="605"/>
      <c r="AP8" s="605"/>
      <c r="AQ8" s="605"/>
      <c r="AR8" s="605"/>
      <c r="AS8" s="605"/>
      <c r="AT8" s="605"/>
      <c r="AU8" s="605"/>
      <c r="AV8" s="605"/>
      <c r="AW8" s="605"/>
      <c r="AX8" s="605"/>
      <c r="AY8" s="605"/>
      <c r="AZ8" s="605"/>
      <c r="BA8" s="605"/>
      <c r="BB8" s="605"/>
      <c r="BC8" s="605"/>
      <c r="BD8" s="605"/>
      <c r="BE8" s="605"/>
      <c r="BF8" s="605"/>
      <c r="BG8" s="605"/>
      <c r="BH8" s="605"/>
      <c r="BI8" s="605"/>
      <c r="BJ8" s="605"/>
      <c r="BK8" s="605"/>
      <c r="BL8" s="605"/>
      <c r="BM8" s="605"/>
      <c r="BN8" s="605"/>
      <c r="BO8" s="605"/>
      <c r="BP8" s="605"/>
      <c r="BQ8" s="605"/>
      <c r="BR8" s="605"/>
      <c r="BS8" s="605"/>
      <c r="BT8" s="605"/>
      <c r="BU8" s="605"/>
      <c r="BV8" s="605"/>
      <c r="BW8" s="605"/>
      <c r="BX8" s="605"/>
      <c r="BY8" s="605"/>
      <c r="BZ8" s="605"/>
      <c r="CA8" s="605"/>
      <c r="CB8" s="605"/>
      <c r="CC8" s="605"/>
      <c r="CD8" s="605"/>
      <c r="CE8" s="605"/>
      <c r="CF8" s="605"/>
      <c r="CG8" s="605"/>
      <c r="CH8" s="605"/>
      <c r="CI8" s="605"/>
      <c r="CJ8" s="605"/>
      <c r="CK8" s="605"/>
      <c r="CL8" s="605"/>
      <c r="CM8" s="605"/>
      <c r="CN8" s="605"/>
      <c r="CO8" s="605"/>
      <c r="CP8" s="605"/>
      <c r="CQ8" s="605"/>
      <c r="CR8" s="605"/>
      <c r="CS8" s="605"/>
      <c r="CT8" s="605"/>
      <c r="CU8" s="605"/>
      <c r="CV8" s="605"/>
      <c r="CW8" s="605"/>
      <c r="CX8" s="605"/>
      <c r="CY8" s="605"/>
      <c r="CZ8" s="605"/>
      <c r="DA8" s="605"/>
      <c r="DB8" s="605"/>
      <c r="DC8" s="605"/>
      <c r="DD8" s="605"/>
      <c r="DE8" s="605"/>
      <c r="DF8" s="605"/>
      <c r="DG8" s="605"/>
      <c r="DH8" s="605"/>
      <c r="DI8" s="605"/>
      <c r="DJ8" s="605"/>
      <c r="DK8" s="605"/>
      <c r="DL8" s="605"/>
      <c r="DM8" s="605"/>
      <c r="DN8" s="605"/>
      <c r="DO8" s="605"/>
      <c r="DP8" s="605"/>
      <c r="DQ8" s="605"/>
      <c r="DR8" s="605"/>
      <c r="DS8" s="605"/>
      <c r="DT8" s="605"/>
      <c r="DU8" s="605"/>
      <c r="DV8" s="605"/>
      <c r="DW8" s="605"/>
      <c r="DX8" s="605"/>
      <c r="DY8" s="605"/>
      <c r="DZ8" s="605"/>
      <c r="EA8" s="605"/>
      <c r="EB8" s="605"/>
      <c r="EC8" s="605"/>
      <c r="ED8" s="605"/>
      <c r="EE8" s="605"/>
      <c r="EF8" s="605"/>
      <c r="EG8" s="605"/>
      <c r="EH8" s="605"/>
      <c r="EI8" s="605"/>
      <c r="EJ8" s="605"/>
      <c r="EK8" s="605"/>
      <c r="EL8" s="605"/>
      <c r="EM8" s="605"/>
      <c r="EN8" s="605"/>
      <c r="EO8" s="605"/>
      <c r="EP8" s="605"/>
      <c r="EQ8" s="605"/>
      <c r="ER8" s="605"/>
      <c r="ES8" s="605"/>
      <c r="ET8" s="605"/>
      <c r="EU8" s="605"/>
      <c r="EV8" s="605"/>
      <c r="EW8" s="605"/>
      <c r="EX8" s="605"/>
      <c r="EY8" s="605"/>
      <c r="EZ8" s="605"/>
      <c r="FA8" s="605"/>
      <c r="FB8" s="605"/>
      <c r="FC8" s="605"/>
      <c r="FD8" s="605"/>
      <c r="FE8" s="605"/>
      <c r="FF8" s="605"/>
      <c r="FG8" s="605"/>
      <c r="FH8" s="605"/>
      <c r="FI8" s="605"/>
      <c r="FJ8" s="605"/>
      <c r="FK8" s="605"/>
      <c r="FL8" s="605"/>
      <c r="FM8" s="605"/>
      <c r="FN8" s="605"/>
      <c r="FO8" s="605"/>
      <c r="FP8" s="605"/>
      <c r="FQ8" s="605"/>
      <c r="FR8" s="605"/>
      <c r="FS8" s="605"/>
      <c r="FT8" s="605"/>
      <c r="FU8" s="605"/>
      <c r="FV8" s="605"/>
      <c r="FW8" s="605"/>
      <c r="FX8" s="605"/>
      <c r="FY8" s="605"/>
      <c r="FZ8" s="605"/>
      <c r="GA8" s="605"/>
      <c r="GB8" s="605"/>
      <c r="GC8" s="605"/>
      <c r="GD8" s="605"/>
      <c r="GE8" s="605"/>
      <c r="GF8" s="605"/>
      <c r="GG8" s="605"/>
      <c r="GH8" s="605"/>
      <c r="GI8" s="605"/>
      <c r="GJ8" s="605"/>
      <c r="GK8" s="605"/>
      <c r="GL8" s="605"/>
      <c r="GM8" s="605"/>
      <c r="GN8" s="605"/>
      <c r="GO8" s="605"/>
      <c r="GP8" s="605"/>
      <c r="GQ8" s="605"/>
      <c r="GR8" s="605"/>
      <c r="GS8" s="605"/>
      <c r="GT8" s="605"/>
      <c r="GU8" s="605"/>
      <c r="GV8" s="605"/>
      <c r="GW8" s="605"/>
      <c r="GX8" s="605"/>
      <c r="GY8" s="605"/>
      <c r="GZ8" s="605"/>
      <c r="HA8" s="605"/>
      <c r="HB8" s="605"/>
      <c r="HC8" s="605"/>
      <c r="HD8" s="605"/>
      <c r="HE8" s="605"/>
      <c r="HF8" s="605"/>
      <c r="HG8" s="605"/>
      <c r="HH8" s="605"/>
      <c r="HI8" s="605"/>
      <c r="HJ8" s="605"/>
      <c r="HK8" s="605"/>
      <c r="HL8" s="605"/>
      <c r="HM8" s="605"/>
      <c r="HN8" s="605"/>
      <c r="HO8" s="605"/>
      <c r="HP8" s="605"/>
      <c r="HQ8" s="605"/>
      <c r="HR8" s="605"/>
      <c r="HS8" s="605"/>
      <c r="HT8" s="605"/>
      <c r="HU8" s="605"/>
      <c r="HV8" s="605"/>
      <c r="HW8" s="605"/>
      <c r="HX8" s="605"/>
      <c r="HY8" s="605"/>
      <c r="HZ8" s="605"/>
      <c r="IA8" s="605"/>
      <c r="IB8" s="605"/>
      <c r="IC8" s="605"/>
      <c r="ID8" s="605"/>
      <c r="IE8" s="605"/>
      <c r="IF8" s="605"/>
      <c r="IG8" s="605"/>
      <c r="IH8" s="605"/>
      <c r="II8" s="605"/>
      <c r="IJ8" s="605"/>
      <c r="IK8" s="605"/>
      <c r="IL8" s="605"/>
      <c r="IM8" s="605"/>
      <c r="IN8" s="605"/>
      <c r="IO8" s="605"/>
      <c r="IP8" s="38"/>
    </row>
    <row r="9" spans="1:250" ht="53.25" customHeight="1" x14ac:dyDescent="0.3">
      <c r="A9" s="2194">
        <v>2</v>
      </c>
      <c r="B9" s="2195">
        <v>1</v>
      </c>
      <c r="C9" s="2197" t="s">
        <v>594</v>
      </c>
      <c r="D9" s="2198"/>
      <c r="E9" s="2192">
        <v>23783</v>
      </c>
    </row>
    <row r="10" spans="1:250" thickBot="1" x14ac:dyDescent="0.35">
      <c r="A10" s="2194"/>
      <c r="B10" s="2201"/>
      <c r="C10" s="1023"/>
      <c r="D10" s="1325" t="s">
        <v>538</v>
      </c>
      <c r="E10" s="2193"/>
      <c r="F10" s="591"/>
      <c r="G10" s="591"/>
      <c r="H10" s="591"/>
      <c r="I10" s="591"/>
      <c r="J10" s="591"/>
      <c r="K10" s="591"/>
      <c r="L10" s="591"/>
      <c r="M10" s="591"/>
      <c r="N10" s="591"/>
      <c r="O10" s="591"/>
      <c r="P10" s="591"/>
      <c r="Q10" s="591"/>
      <c r="R10" s="591"/>
      <c r="S10" s="591"/>
      <c r="T10" s="591"/>
      <c r="U10" s="591"/>
      <c r="V10" s="591"/>
      <c r="W10" s="591"/>
      <c r="X10" s="591"/>
      <c r="Y10" s="591"/>
      <c r="Z10" s="591"/>
      <c r="AA10" s="591"/>
      <c r="AB10" s="591"/>
      <c r="AC10" s="591"/>
      <c r="AD10" s="591"/>
      <c r="AE10" s="591"/>
      <c r="AF10" s="591"/>
      <c r="AG10" s="591"/>
      <c r="AH10" s="591"/>
      <c r="AI10" s="591"/>
      <c r="AJ10" s="591"/>
      <c r="AK10" s="591"/>
      <c r="AL10" s="591"/>
      <c r="AM10" s="591"/>
      <c r="AN10" s="591"/>
      <c r="AO10" s="591"/>
      <c r="AP10" s="591"/>
      <c r="AQ10" s="591"/>
      <c r="AR10" s="591"/>
      <c r="AS10" s="591"/>
      <c r="AT10" s="591"/>
      <c r="AU10" s="591"/>
      <c r="AV10" s="591"/>
      <c r="AW10" s="591"/>
      <c r="AX10" s="591"/>
      <c r="AY10" s="591"/>
      <c r="AZ10" s="591"/>
      <c r="BA10" s="591"/>
      <c r="BB10" s="591"/>
      <c r="BC10" s="591"/>
      <c r="BD10" s="591"/>
      <c r="BE10" s="591"/>
      <c r="BF10" s="591"/>
      <c r="BG10" s="591"/>
      <c r="BH10" s="591"/>
      <c r="BI10" s="591"/>
      <c r="BJ10" s="591"/>
      <c r="BK10" s="591"/>
      <c r="BL10" s="591"/>
      <c r="BM10" s="591"/>
      <c r="BN10" s="591"/>
      <c r="BO10" s="591"/>
      <c r="BP10" s="591"/>
      <c r="BQ10" s="591"/>
      <c r="BR10" s="591"/>
      <c r="BS10" s="591"/>
      <c r="BT10" s="591"/>
      <c r="BU10" s="591"/>
      <c r="BV10" s="591"/>
      <c r="BW10" s="591"/>
      <c r="BX10" s="591"/>
      <c r="BY10" s="591"/>
      <c r="BZ10" s="591"/>
      <c r="CA10" s="591"/>
      <c r="CB10" s="591"/>
      <c r="CC10" s="591"/>
      <c r="CD10" s="591"/>
      <c r="CE10" s="591"/>
      <c r="CF10" s="591"/>
      <c r="CG10" s="591"/>
      <c r="CH10" s="591"/>
      <c r="CI10" s="591"/>
      <c r="CJ10" s="591"/>
      <c r="CK10" s="591"/>
      <c r="CL10" s="591"/>
      <c r="CM10" s="591"/>
      <c r="CN10" s="591"/>
      <c r="CO10" s="591"/>
      <c r="CP10" s="591"/>
      <c r="CQ10" s="591"/>
      <c r="CR10" s="591"/>
      <c r="CS10" s="591"/>
      <c r="CT10" s="591"/>
      <c r="CU10" s="591"/>
      <c r="CV10" s="591"/>
      <c r="CW10" s="591"/>
      <c r="CX10" s="591"/>
      <c r="CY10" s="591"/>
      <c r="CZ10" s="591"/>
      <c r="DA10" s="591"/>
      <c r="DB10" s="591"/>
      <c r="DC10" s="591"/>
      <c r="DD10" s="591"/>
      <c r="DE10" s="591"/>
      <c r="DF10" s="591"/>
      <c r="DG10" s="591"/>
      <c r="DH10" s="591"/>
      <c r="DI10" s="591"/>
      <c r="DJ10" s="591"/>
      <c r="DK10" s="591"/>
      <c r="DL10" s="591"/>
      <c r="DM10" s="591"/>
      <c r="DN10" s="591"/>
      <c r="DO10" s="591"/>
      <c r="DP10" s="591"/>
      <c r="DQ10" s="591"/>
      <c r="DR10" s="591"/>
      <c r="DS10" s="591"/>
      <c r="DT10" s="591"/>
      <c r="DU10" s="591"/>
      <c r="DV10" s="591"/>
      <c r="DW10" s="591"/>
      <c r="DX10" s="591"/>
      <c r="DY10" s="591"/>
      <c r="DZ10" s="591"/>
      <c r="EA10" s="591"/>
      <c r="EB10" s="591"/>
      <c r="EC10" s="591"/>
      <c r="ED10" s="591"/>
      <c r="EE10" s="591"/>
      <c r="EF10" s="591"/>
      <c r="EG10" s="591"/>
      <c r="EH10" s="591"/>
      <c r="EI10" s="591"/>
      <c r="EJ10" s="591"/>
      <c r="EK10" s="591"/>
      <c r="EL10" s="591"/>
      <c r="EM10" s="591"/>
      <c r="EN10" s="591"/>
      <c r="EO10" s="591"/>
      <c r="EP10" s="591"/>
      <c r="EQ10" s="591"/>
      <c r="ER10" s="591"/>
      <c r="ES10" s="591"/>
      <c r="ET10" s="591"/>
      <c r="EU10" s="591"/>
      <c r="EV10" s="591"/>
      <c r="EW10" s="591"/>
      <c r="EX10" s="591"/>
      <c r="EY10" s="591"/>
      <c r="EZ10" s="591"/>
      <c r="FA10" s="591"/>
      <c r="FB10" s="591"/>
      <c r="FC10" s="591"/>
      <c r="FD10" s="591"/>
      <c r="FE10" s="591"/>
      <c r="FF10" s="591"/>
      <c r="FG10" s="591"/>
      <c r="FH10" s="591"/>
      <c r="FI10" s="591"/>
      <c r="FJ10" s="591"/>
      <c r="FK10" s="591"/>
      <c r="FL10" s="591"/>
      <c r="FM10" s="591"/>
      <c r="FN10" s="591"/>
      <c r="FO10" s="591"/>
      <c r="FP10" s="591"/>
      <c r="FQ10" s="591"/>
      <c r="FR10" s="591"/>
      <c r="FS10" s="591"/>
      <c r="FT10" s="591"/>
      <c r="FU10" s="591"/>
      <c r="FV10" s="591"/>
      <c r="FW10" s="591"/>
      <c r="FX10" s="591"/>
      <c r="FY10" s="591"/>
      <c r="FZ10" s="591"/>
      <c r="GA10" s="591"/>
      <c r="GB10" s="591"/>
      <c r="GC10" s="591"/>
      <c r="GD10" s="591"/>
      <c r="GE10" s="591"/>
      <c r="GF10" s="591"/>
      <c r="GG10" s="591"/>
      <c r="GH10" s="591"/>
      <c r="GI10" s="591"/>
      <c r="GJ10" s="591"/>
      <c r="GK10" s="591"/>
      <c r="GL10" s="591"/>
      <c r="GM10" s="591"/>
      <c r="GN10" s="591"/>
      <c r="GO10" s="591"/>
      <c r="GP10" s="591"/>
      <c r="GQ10" s="591"/>
      <c r="GR10" s="591"/>
      <c r="GS10" s="591"/>
      <c r="GT10" s="591"/>
      <c r="GU10" s="591"/>
      <c r="GV10" s="591"/>
      <c r="GW10" s="591"/>
      <c r="GX10" s="591"/>
      <c r="GY10" s="591"/>
      <c r="GZ10" s="591"/>
      <c r="HA10" s="591"/>
      <c r="HB10" s="591"/>
      <c r="HC10" s="591"/>
      <c r="HD10" s="591"/>
      <c r="HE10" s="591"/>
      <c r="HF10" s="591"/>
      <c r="HG10" s="591"/>
      <c r="HH10" s="591"/>
      <c r="HI10" s="591"/>
      <c r="HJ10" s="591"/>
      <c r="HK10" s="591"/>
      <c r="HL10" s="591"/>
      <c r="HM10" s="591"/>
      <c r="HN10" s="591"/>
      <c r="HO10" s="591"/>
      <c r="HP10" s="591"/>
      <c r="HQ10" s="591"/>
      <c r="HR10" s="591"/>
      <c r="HS10" s="591"/>
      <c r="HT10" s="591"/>
      <c r="HU10" s="591"/>
      <c r="HV10" s="591"/>
      <c r="HW10" s="591"/>
      <c r="HX10" s="591"/>
      <c r="HY10" s="591"/>
      <c r="HZ10" s="591"/>
      <c r="IA10" s="591"/>
      <c r="IB10" s="591"/>
      <c r="IC10" s="591"/>
      <c r="ID10" s="591"/>
      <c r="IE10" s="591"/>
      <c r="IF10" s="591"/>
      <c r="IG10" s="591"/>
      <c r="IH10" s="591"/>
      <c r="II10" s="591"/>
      <c r="IJ10" s="591"/>
      <c r="IK10" s="591"/>
      <c r="IL10" s="591"/>
      <c r="IM10" s="591"/>
      <c r="IN10" s="591"/>
      <c r="IO10" s="591"/>
      <c r="IP10" s="38"/>
    </row>
    <row r="11" spans="1:250" ht="39.75" customHeight="1" x14ac:dyDescent="0.3">
      <c r="A11" s="2194">
        <v>3</v>
      </c>
      <c r="B11" s="2195">
        <v>2</v>
      </c>
      <c r="C11" s="2197" t="s">
        <v>595</v>
      </c>
      <c r="D11" s="2198"/>
      <c r="E11" s="2192">
        <v>0</v>
      </c>
      <c r="F11" s="591"/>
      <c r="G11" s="591"/>
      <c r="H11" s="591"/>
      <c r="I11" s="591"/>
      <c r="J11" s="591"/>
      <c r="K11" s="591"/>
      <c r="L11" s="591" t="s">
        <v>242</v>
      </c>
      <c r="M11" s="591"/>
      <c r="N11" s="591"/>
      <c r="O11" s="591"/>
      <c r="P11" s="591"/>
      <c r="Q11" s="591"/>
      <c r="R11" s="591"/>
      <c r="S11" s="591"/>
      <c r="T11" s="591"/>
      <c r="U11" s="591"/>
      <c r="V11" s="591"/>
      <c r="W11" s="591"/>
      <c r="X11" s="591"/>
      <c r="Y11" s="591"/>
      <c r="Z11" s="591"/>
      <c r="AA11" s="591"/>
      <c r="AB11" s="591"/>
      <c r="AC11" s="591"/>
      <c r="AD11" s="591"/>
      <c r="AE11" s="591"/>
      <c r="AF11" s="591"/>
      <c r="AG11" s="591"/>
      <c r="AH11" s="591"/>
      <c r="AI11" s="591"/>
      <c r="AJ11" s="591"/>
      <c r="AK11" s="591"/>
      <c r="AL11" s="591"/>
      <c r="AM11" s="591"/>
      <c r="AN11" s="591"/>
      <c r="AO11" s="591"/>
      <c r="AP11" s="591"/>
      <c r="AQ11" s="591"/>
      <c r="AR11" s="591"/>
      <c r="AS11" s="591"/>
      <c r="AT11" s="591"/>
      <c r="AU11" s="591"/>
      <c r="AV11" s="591"/>
      <c r="AW11" s="591"/>
      <c r="AX11" s="591"/>
      <c r="AY11" s="591"/>
      <c r="AZ11" s="591"/>
      <c r="BA11" s="591"/>
      <c r="BB11" s="591"/>
      <c r="BC11" s="591"/>
      <c r="BD11" s="591"/>
      <c r="BE11" s="591"/>
      <c r="BF11" s="591"/>
      <c r="BG11" s="591"/>
      <c r="BH11" s="591"/>
      <c r="BI11" s="591"/>
      <c r="BJ11" s="591"/>
      <c r="BK11" s="591"/>
      <c r="BL11" s="591"/>
      <c r="BM11" s="591"/>
      <c r="BN11" s="591"/>
      <c r="BO11" s="591"/>
      <c r="BP11" s="591"/>
      <c r="BQ11" s="591"/>
      <c r="BR11" s="591"/>
      <c r="BS11" s="591"/>
      <c r="BT11" s="591"/>
      <c r="BU11" s="591"/>
      <c r="BV11" s="591"/>
      <c r="BW11" s="591"/>
      <c r="BX11" s="591"/>
      <c r="BY11" s="591"/>
      <c r="BZ11" s="591"/>
      <c r="CA11" s="591"/>
      <c r="CB11" s="591"/>
      <c r="CC11" s="591"/>
      <c r="CD11" s="591"/>
      <c r="CE11" s="591"/>
      <c r="CF11" s="591"/>
      <c r="CG11" s="591"/>
      <c r="CH11" s="591"/>
      <c r="CI11" s="591"/>
      <c r="CJ11" s="591"/>
      <c r="CK11" s="591"/>
      <c r="CL11" s="591"/>
      <c r="CM11" s="591"/>
      <c r="CN11" s="591"/>
      <c r="CO11" s="591"/>
      <c r="CP11" s="591"/>
      <c r="CQ11" s="591"/>
      <c r="CR11" s="591"/>
      <c r="CS11" s="591"/>
      <c r="CT11" s="591"/>
      <c r="CU11" s="591"/>
      <c r="CV11" s="591"/>
      <c r="CW11" s="591"/>
      <c r="CX11" s="591"/>
      <c r="CY11" s="591"/>
      <c r="CZ11" s="591"/>
      <c r="DA11" s="591"/>
      <c r="DB11" s="591"/>
      <c r="DC11" s="591"/>
      <c r="DD11" s="591"/>
      <c r="DE11" s="591"/>
      <c r="DF11" s="591"/>
      <c r="DG11" s="591"/>
      <c r="DH11" s="591"/>
      <c r="DI11" s="591"/>
      <c r="DJ11" s="591"/>
      <c r="DK11" s="591"/>
      <c r="DL11" s="591"/>
      <c r="DM11" s="591"/>
      <c r="DN11" s="591"/>
      <c r="DO11" s="591"/>
      <c r="DP11" s="591"/>
      <c r="DQ11" s="591"/>
      <c r="DR11" s="591"/>
      <c r="DS11" s="591"/>
      <c r="DT11" s="591"/>
      <c r="DU11" s="591"/>
      <c r="DV11" s="591"/>
      <c r="DW11" s="591"/>
      <c r="DX11" s="591"/>
      <c r="DY11" s="591"/>
      <c r="DZ11" s="591"/>
      <c r="EA11" s="591"/>
      <c r="EB11" s="591"/>
      <c r="EC11" s="591"/>
      <c r="ED11" s="591"/>
      <c r="EE11" s="591"/>
      <c r="EF11" s="591"/>
      <c r="EG11" s="591"/>
      <c r="EH11" s="591"/>
      <c r="EI11" s="591"/>
      <c r="EJ11" s="591"/>
      <c r="EK11" s="591"/>
      <c r="EL11" s="591"/>
      <c r="EM11" s="591"/>
      <c r="EN11" s="591"/>
      <c r="EO11" s="591"/>
      <c r="EP11" s="591"/>
      <c r="EQ11" s="591"/>
      <c r="ER11" s="591"/>
      <c r="ES11" s="591"/>
      <c r="ET11" s="591"/>
      <c r="EU11" s="591"/>
      <c r="EV11" s="591"/>
      <c r="EW11" s="591"/>
      <c r="EX11" s="591"/>
      <c r="EY11" s="591"/>
      <c r="EZ11" s="591"/>
      <c r="FA11" s="591"/>
      <c r="FB11" s="591"/>
      <c r="FC11" s="591"/>
      <c r="FD11" s="591"/>
      <c r="FE11" s="591"/>
      <c r="FF11" s="591"/>
      <c r="FG11" s="591"/>
      <c r="FH11" s="591"/>
      <c r="FI11" s="591"/>
      <c r="FJ11" s="591"/>
      <c r="FK11" s="591"/>
      <c r="FL11" s="591"/>
      <c r="FM11" s="591"/>
      <c r="FN11" s="591"/>
      <c r="FO11" s="591"/>
      <c r="FP11" s="591"/>
      <c r="FQ11" s="591"/>
      <c r="FR11" s="591"/>
      <c r="FS11" s="591"/>
      <c r="FT11" s="591"/>
      <c r="FU11" s="591"/>
      <c r="FV11" s="591"/>
      <c r="FW11" s="591"/>
      <c r="FX11" s="591"/>
      <c r="FY11" s="591"/>
      <c r="FZ11" s="591"/>
      <c r="GA11" s="591"/>
      <c r="GB11" s="591"/>
      <c r="GC11" s="591"/>
      <c r="GD11" s="591"/>
      <c r="GE11" s="591"/>
      <c r="GF11" s="591"/>
      <c r="GG11" s="591"/>
      <c r="GH11" s="591"/>
      <c r="GI11" s="591"/>
      <c r="GJ11" s="591"/>
      <c r="GK11" s="591"/>
      <c r="GL11" s="591"/>
      <c r="GM11" s="591"/>
      <c r="GN11" s="591"/>
      <c r="GO11" s="591"/>
      <c r="GP11" s="591"/>
      <c r="GQ11" s="591"/>
      <c r="GR11" s="591"/>
      <c r="GS11" s="591"/>
      <c r="GT11" s="591"/>
      <c r="GU11" s="591"/>
      <c r="GV11" s="591"/>
      <c r="GW11" s="591"/>
      <c r="GX11" s="591"/>
      <c r="GY11" s="591"/>
      <c r="GZ11" s="591"/>
      <c r="HA11" s="591"/>
      <c r="HB11" s="591"/>
      <c r="HC11" s="591"/>
      <c r="HD11" s="591"/>
      <c r="HE11" s="591"/>
      <c r="HF11" s="591"/>
      <c r="HG11" s="591"/>
      <c r="HH11" s="591"/>
      <c r="HI11" s="591"/>
      <c r="HJ11" s="591"/>
      <c r="HK11" s="591"/>
      <c r="HL11" s="591"/>
      <c r="HM11" s="591"/>
      <c r="HN11" s="591"/>
      <c r="HO11" s="591"/>
      <c r="HP11" s="591"/>
      <c r="HQ11" s="591"/>
      <c r="HR11" s="591"/>
      <c r="HS11" s="591"/>
      <c r="HT11" s="591"/>
      <c r="HU11" s="591"/>
      <c r="HV11" s="591"/>
      <c r="HW11" s="591"/>
      <c r="HX11" s="591"/>
      <c r="HY11" s="591"/>
      <c r="HZ11" s="591"/>
      <c r="IA11" s="591"/>
      <c r="IB11" s="591"/>
      <c r="IC11" s="591"/>
      <c r="ID11" s="591"/>
      <c r="IE11" s="591"/>
      <c r="IF11" s="591"/>
      <c r="IG11" s="591"/>
      <c r="IH11" s="591"/>
      <c r="II11" s="591"/>
      <c r="IJ11" s="591"/>
      <c r="IK11" s="591"/>
      <c r="IL11" s="591"/>
      <c r="IM11" s="591"/>
      <c r="IN11" s="591"/>
      <c r="IO11" s="591"/>
      <c r="IP11" s="38"/>
    </row>
    <row r="12" spans="1:250" ht="16.5" x14ac:dyDescent="0.3">
      <c r="A12" s="2194"/>
      <c r="B12" s="2196"/>
      <c r="C12" s="1024"/>
      <c r="D12" s="1326" t="s">
        <v>346</v>
      </c>
      <c r="E12" s="2193"/>
      <c r="F12" s="591"/>
      <c r="G12" s="591"/>
      <c r="H12" s="591"/>
      <c r="I12" s="591"/>
      <c r="J12" s="591"/>
      <c r="K12" s="591"/>
      <c r="L12" s="591"/>
      <c r="M12" s="591"/>
      <c r="N12" s="591"/>
      <c r="O12" s="591"/>
      <c r="P12" s="591"/>
      <c r="Q12" s="591"/>
      <c r="R12" s="591"/>
      <c r="S12" s="591"/>
      <c r="T12" s="591"/>
      <c r="U12" s="591"/>
      <c r="V12" s="591"/>
      <c r="W12" s="591"/>
      <c r="X12" s="591"/>
      <c r="Y12" s="591"/>
      <c r="Z12" s="591"/>
      <c r="AA12" s="591"/>
      <c r="AB12" s="591"/>
      <c r="AC12" s="591"/>
      <c r="AD12" s="591"/>
      <c r="AE12" s="591"/>
      <c r="AF12" s="591"/>
      <c r="AG12" s="591"/>
      <c r="AH12" s="591"/>
      <c r="AI12" s="591"/>
      <c r="AJ12" s="591"/>
      <c r="AK12" s="591"/>
      <c r="AL12" s="591"/>
      <c r="AM12" s="591"/>
      <c r="AN12" s="591"/>
      <c r="AO12" s="591"/>
      <c r="AP12" s="591"/>
      <c r="AQ12" s="591"/>
      <c r="AR12" s="591"/>
      <c r="AS12" s="591"/>
      <c r="AT12" s="591"/>
      <c r="AU12" s="591"/>
      <c r="AV12" s="591"/>
      <c r="AW12" s="591"/>
      <c r="AX12" s="591"/>
      <c r="AY12" s="591"/>
      <c r="AZ12" s="591"/>
      <c r="BA12" s="591"/>
      <c r="BB12" s="591"/>
      <c r="BC12" s="591"/>
      <c r="BD12" s="591"/>
      <c r="BE12" s="591"/>
      <c r="BF12" s="591"/>
      <c r="BG12" s="591"/>
      <c r="BH12" s="591"/>
      <c r="BI12" s="591"/>
      <c r="BJ12" s="591"/>
      <c r="BK12" s="591"/>
      <c r="BL12" s="591"/>
      <c r="BM12" s="591"/>
      <c r="BN12" s="591"/>
      <c r="BO12" s="591"/>
      <c r="BP12" s="591"/>
      <c r="BQ12" s="591"/>
      <c r="BR12" s="591"/>
      <c r="BS12" s="591"/>
      <c r="BT12" s="591"/>
      <c r="BU12" s="591"/>
      <c r="BV12" s="591"/>
      <c r="BW12" s="591"/>
      <c r="BX12" s="591"/>
      <c r="BY12" s="591"/>
      <c r="BZ12" s="591"/>
      <c r="CA12" s="591"/>
      <c r="CB12" s="591"/>
      <c r="CC12" s="591"/>
      <c r="CD12" s="591"/>
      <c r="CE12" s="591"/>
      <c r="CF12" s="591"/>
      <c r="CG12" s="591"/>
      <c r="CH12" s="591"/>
      <c r="CI12" s="591"/>
      <c r="CJ12" s="591"/>
      <c r="CK12" s="591"/>
      <c r="CL12" s="591"/>
      <c r="CM12" s="591"/>
      <c r="CN12" s="591"/>
      <c r="CO12" s="591"/>
      <c r="CP12" s="591"/>
      <c r="CQ12" s="591"/>
      <c r="CR12" s="591"/>
      <c r="CS12" s="591"/>
      <c r="CT12" s="591"/>
      <c r="CU12" s="591"/>
      <c r="CV12" s="591"/>
      <c r="CW12" s="591"/>
      <c r="CX12" s="591"/>
      <c r="CY12" s="591"/>
      <c r="CZ12" s="591"/>
      <c r="DA12" s="591"/>
      <c r="DB12" s="591"/>
      <c r="DC12" s="591"/>
      <c r="DD12" s="591"/>
      <c r="DE12" s="591"/>
      <c r="DF12" s="591"/>
      <c r="DG12" s="591"/>
      <c r="DH12" s="591"/>
      <c r="DI12" s="591"/>
      <c r="DJ12" s="591"/>
      <c r="DK12" s="591"/>
      <c r="DL12" s="591"/>
      <c r="DM12" s="591"/>
      <c r="DN12" s="591"/>
      <c r="DO12" s="591"/>
      <c r="DP12" s="591"/>
      <c r="DQ12" s="591"/>
      <c r="DR12" s="591"/>
      <c r="DS12" s="591"/>
      <c r="DT12" s="591"/>
      <c r="DU12" s="591"/>
      <c r="DV12" s="591"/>
      <c r="DW12" s="591"/>
      <c r="DX12" s="591"/>
      <c r="DY12" s="591"/>
      <c r="DZ12" s="591"/>
      <c r="EA12" s="591"/>
      <c r="EB12" s="591"/>
      <c r="EC12" s="591"/>
      <c r="ED12" s="591"/>
      <c r="EE12" s="591"/>
      <c r="EF12" s="591"/>
      <c r="EG12" s="591"/>
      <c r="EH12" s="591"/>
      <c r="EI12" s="591"/>
      <c r="EJ12" s="591"/>
      <c r="EK12" s="591"/>
      <c r="EL12" s="591"/>
      <c r="EM12" s="591"/>
      <c r="EN12" s="591"/>
      <c r="EO12" s="591"/>
      <c r="EP12" s="591"/>
      <c r="EQ12" s="591"/>
      <c r="ER12" s="591"/>
      <c r="ES12" s="591"/>
      <c r="ET12" s="591"/>
      <c r="EU12" s="591"/>
      <c r="EV12" s="591"/>
      <c r="EW12" s="591"/>
      <c r="EX12" s="591"/>
      <c r="EY12" s="591"/>
      <c r="EZ12" s="591"/>
      <c r="FA12" s="591"/>
      <c r="FB12" s="591"/>
      <c r="FC12" s="591"/>
      <c r="FD12" s="591"/>
      <c r="FE12" s="591"/>
      <c r="FF12" s="591"/>
      <c r="FG12" s="591"/>
      <c r="FH12" s="591"/>
      <c r="FI12" s="591"/>
      <c r="FJ12" s="591"/>
      <c r="FK12" s="591"/>
      <c r="FL12" s="591"/>
      <c r="FM12" s="591"/>
      <c r="FN12" s="591"/>
      <c r="FO12" s="591"/>
      <c r="FP12" s="591"/>
      <c r="FQ12" s="591"/>
      <c r="FR12" s="591"/>
      <c r="FS12" s="591"/>
      <c r="FT12" s="591"/>
      <c r="FU12" s="591"/>
      <c r="FV12" s="591"/>
      <c r="FW12" s="591"/>
      <c r="FX12" s="591"/>
      <c r="FY12" s="591"/>
      <c r="FZ12" s="591"/>
      <c r="GA12" s="591"/>
      <c r="GB12" s="591"/>
      <c r="GC12" s="591"/>
      <c r="GD12" s="591"/>
      <c r="GE12" s="591"/>
      <c r="GF12" s="591"/>
      <c r="GG12" s="591"/>
      <c r="GH12" s="591"/>
      <c r="GI12" s="591"/>
      <c r="GJ12" s="591"/>
      <c r="GK12" s="591"/>
      <c r="GL12" s="591"/>
      <c r="GM12" s="591"/>
      <c r="GN12" s="591"/>
      <c r="GO12" s="591"/>
      <c r="GP12" s="591"/>
      <c r="GQ12" s="591"/>
      <c r="GR12" s="591"/>
      <c r="GS12" s="591"/>
      <c r="GT12" s="591"/>
      <c r="GU12" s="591"/>
      <c r="GV12" s="591"/>
      <c r="GW12" s="591"/>
      <c r="GX12" s="591"/>
      <c r="GY12" s="591"/>
      <c r="GZ12" s="591"/>
      <c r="HA12" s="591"/>
      <c r="HB12" s="591"/>
      <c r="HC12" s="591"/>
      <c r="HD12" s="591"/>
      <c r="HE12" s="591"/>
      <c r="HF12" s="591"/>
      <c r="HG12" s="591"/>
      <c r="HH12" s="591"/>
      <c r="HI12" s="591"/>
      <c r="HJ12" s="591"/>
      <c r="HK12" s="591"/>
      <c r="HL12" s="591"/>
      <c r="HM12" s="591"/>
      <c r="HN12" s="591"/>
      <c r="HO12" s="591"/>
      <c r="HP12" s="591"/>
      <c r="HQ12" s="591"/>
      <c r="HR12" s="591"/>
      <c r="HS12" s="591"/>
      <c r="HT12" s="591"/>
      <c r="HU12" s="591"/>
      <c r="HV12" s="591"/>
      <c r="HW12" s="591"/>
      <c r="HX12" s="591"/>
      <c r="HY12" s="591"/>
      <c r="HZ12" s="591"/>
      <c r="IA12" s="591"/>
      <c r="IB12" s="591"/>
      <c r="IC12" s="591"/>
      <c r="ID12" s="591"/>
      <c r="IE12" s="591"/>
      <c r="IF12" s="591"/>
      <c r="IG12" s="591"/>
      <c r="IH12" s="591"/>
      <c r="II12" s="591"/>
      <c r="IJ12" s="591"/>
      <c r="IK12" s="591"/>
      <c r="IL12" s="591"/>
      <c r="IM12" s="591"/>
      <c r="IN12" s="591"/>
      <c r="IO12" s="591"/>
      <c r="IP12" s="38"/>
    </row>
    <row r="13" spans="1:250" thickBot="1" x14ac:dyDescent="0.35">
      <c r="A13" s="2194"/>
      <c r="B13" s="2201"/>
      <c r="C13" s="1023"/>
      <c r="D13" s="1325" t="s">
        <v>466</v>
      </c>
      <c r="E13" s="2199"/>
      <c r="IJ13" s="35"/>
      <c r="IK13" s="35"/>
      <c r="IL13" s="35"/>
      <c r="IM13" s="35"/>
      <c r="IN13" s="35"/>
      <c r="IO13" s="35"/>
    </row>
    <row r="14" spans="1:250" ht="36" customHeight="1" x14ac:dyDescent="0.3">
      <c r="A14" s="2194">
        <v>4</v>
      </c>
      <c r="B14" s="2195">
        <v>3</v>
      </c>
      <c r="C14" s="2200" t="s">
        <v>596</v>
      </c>
      <c r="D14" s="2198"/>
      <c r="E14" s="2192">
        <v>301000</v>
      </c>
    </row>
    <row r="15" spans="1:250" ht="23.25" customHeight="1" x14ac:dyDescent="0.3">
      <c r="A15" s="2194"/>
      <c r="B15" s="2196"/>
      <c r="C15" s="1024"/>
      <c r="D15" s="1326" t="s">
        <v>597</v>
      </c>
      <c r="E15" s="2193"/>
    </row>
    <row r="16" spans="1:250" ht="33" x14ac:dyDescent="0.3">
      <c r="A16" s="2194"/>
      <c r="B16" s="2196"/>
      <c r="C16" s="1024"/>
      <c r="D16" s="1326" t="s">
        <v>598</v>
      </c>
      <c r="E16" s="2193"/>
    </row>
    <row r="17" spans="1:5" ht="16.5" x14ac:dyDescent="0.3">
      <c r="A17" s="2194"/>
      <c r="B17" s="2196"/>
      <c r="C17" s="1024"/>
      <c r="D17" s="1326" t="s">
        <v>599</v>
      </c>
      <c r="E17" s="2193"/>
    </row>
    <row r="18" spans="1:5" ht="16.5" x14ac:dyDescent="0.3">
      <c r="A18" s="2194"/>
      <c r="B18" s="2196"/>
      <c r="C18" s="1024"/>
      <c r="D18" s="1326" t="s">
        <v>600</v>
      </c>
      <c r="E18" s="2193"/>
    </row>
    <row r="19" spans="1:5" thickBot="1" x14ac:dyDescent="0.35">
      <c r="A19" s="2194"/>
      <c r="B19" s="2201"/>
      <c r="C19" s="1023"/>
      <c r="D19" s="1325" t="s">
        <v>809</v>
      </c>
      <c r="E19" s="2199"/>
    </row>
    <row r="20" spans="1:5" ht="32.25" customHeight="1" x14ac:dyDescent="0.3">
      <c r="A20" s="2194">
        <v>5</v>
      </c>
      <c r="B20" s="2195">
        <v>4</v>
      </c>
      <c r="C20" s="2200" t="s">
        <v>601</v>
      </c>
      <c r="D20" s="2198"/>
      <c r="E20" s="2192">
        <v>44000</v>
      </c>
    </row>
    <row r="21" spans="1:5" ht="15.95" customHeight="1" x14ac:dyDescent="0.3">
      <c r="A21" s="2194"/>
      <c r="B21" s="2196"/>
      <c r="C21" s="1024"/>
      <c r="D21" s="1326" t="s">
        <v>602</v>
      </c>
      <c r="E21" s="2193"/>
    </row>
    <row r="22" spans="1:5" thickBot="1" x14ac:dyDescent="0.35">
      <c r="A22" s="2194"/>
      <c r="B22" s="2196"/>
      <c r="C22" s="1023"/>
      <c r="D22" s="1325" t="s">
        <v>603</v>
      </c>
      <c r="E22" s="2193"/>
    </row>
    <row r="23" spans="1:5" ht="60.75" customHeight="1" x14ac:dyDescent="0.3">
      <c r="A23" s="2194">
        <v>6</v>
      </c>
      <c r="B23" s="2195">
        <v>5</v>
      </c>
      <c r="C23" s="2197" t="s">
        <v>604</v>
      </c>
      <c r="D23" s="2198"/>
      <c r="E23" s="2192">
        <v>245843</v>
      </c>
    </row>
    <row r="24" spans="1:5" ht="16.5" x14ac:dyDescent="0.3">
      <c r="A24" s="2194"/>
      <c r="B24" s="2196"/>
      <c r="C24" s="1025"/>
      <c r="D24" s="1327" t="s">
        <v>605</v>
      </c>
      <c r="E24" s="2193"/>
    </row>
    <row r="25" spans="1:5" ht="33" x14ac:dyDescent="0.3">
      <c r="A25" s="2194"/>
      <c r="B25" s="2196"/>
      <c r="C25" s="1025"/>
      <c r="D25" s="1327" t="s">
        <v>543</v>
      </c>
      <c r="E25" s="2193"/>
    </row>
    <row r="26" spans="1:5" ht="16.5" x14ac:dyDescent="0.3">
      <c r="A26" s="2194"/>
      <c r="B26" s="2196"/>
      <c r="C26" s="1025"/>
      <c r="D26" s="1327" t="s">
        <v>606</v>
      </c>
      <c r="E26" s="2193"/>
    </row>
    <row r="27" spans="1:5" ht="16.5" x14ac:dyDescent="0.3">
      <c r="A27" s="2194"/>
      <c r="B27" s="2196"/>
      <c r="C27" s="1025"/>
      <c r="D27" s="1327" t="s">
        <v>607</v>
      </c>
      <c r="E27" s="2193"/>
    </row>
    <row r="28" spans="1:5" ht="16.5" x14ac:dyDescent="0.3">
      <c r="A28" s="2194"/>
      <c r="B28" s="2196"/>
      <c r="C28" s="1025"/>
      <c r="D28" s="1327" t="s">
        <v>546</v>
      </c>
      <c r="E28" s="2193"/>
    </row>
    <row r="29" spans="1:5" ht="16.5" x14ac:dyDescent="0.3">
      <c r="A29" s="2194"/>
      <c r="B29" s="2196"/>
      <c r="C29" s="1025"/>
      <c r="D29" s="1327" t="s">
        <v>537</v>
      </c>
      <c r="E29" s="2193"/>
    </row>
    <row r="30" spans="1:5" ht="16.5" x14ac:dyDescent="0.3">
      <c r="A30" s="2194"/>
      <c r="B30" s="2196"/>
      <c r="C30" s="1025"/>
      <c r="D30" s="1327" t="s">
        <v>539</v>
      </c>
      <c r="E30" s="2193"/>
    </row>
    <row r="31" spans="1:5" ht="16.5" x14ac:dyDescent="0.3">
      <c r="A31" s="2194"/>
      <c r="B31" s="2196"/>
      <c r="C31" s="1025"/>
      <c r="D31" s="1327" t="s">
        <v>454</v>
      </c>
      <c r="E31" s="2193"/>
    </row>
    <row r="32" spans="1:5" thickBot="1" x14ac:dyDescent="0.35">
      <c r="A32" s="2194"/>
      <c r="B32" s="2196"/>
      <c r="C32" s="1026"/>
      <c r="D32" s="1328" t="s">
        <v>513</v>
      </c>
      <c r="E32" s="2199"/>
    </row>
    <row r="33" spans="1:5" ht="32.25" customHeight="1" thickBot="1" x14ac:dyDescent="0.35">
      <c r="A33" s="1022">
        <v>7</v>
      </c>
      <c r="B33" s="2188" t="s">
        <v>120</v>
      </c>
      <c r="C33" s="2189"/>
      <c r="D33" s="2190"/>
      <c r="E33" s="1329">
        <f>SUM(E9:E32)</f>
        <v>614626</v>
      </c>
    </row>
    <row r="34" spans="1:5" ht="81" customHeight="1" x14ac:dyDescent="0.3">
      <c r="B34" s="2191" t="s">
        <v>810</v>
      </c>
      <c r="C34" s="2191"/>
      <c r="D34" s="2191"/>
      <c r="E34" s="2191"/>
    </row>
  </sheetData>
  <mergeCells count="26">
    <mergeCell ref="B1:D1"/>
    <mergeCell ref="B7:D7"/>
    <mergeCell ref="C14:D14"/>
    <mergeCell ref="B8:D8"/>
    <mergeCell ref="E9:E10"/>
    <mergeCell ref="E11:E13"/>
    <mergeCell ref="B3:E4"/>
    <mergeCell ref="E14:E19"/>
    <mergeCell ref="A9:A10"/>
    <mergeCell ref="B9:B10"/>
    <mergeCell ref="C9:D9"/>
    <mergeCell ref="A14:A19"/>
    <mergeCell ref="B14:B19"/>
    <mergeCell ref="A11:A13"/>
    <mergeCell ref="B11:B13"/>
    <mergeCell ref="C11:D11"/>
    <mergeCell ref="B33:D33"/>
    <mergeCell ref="B34:E34"/>
    <mergeCell ref="E20:E22"/>
    <mergeCell ref="A23:A32"/>
    <mergeCell ref="B23:B32"/>
    <mergeCell ref="C23:D23"/>
    <mergeCell ref="E23:E32"/>
    <mergeCell ref="A20:A22"/>
    <mergeCell ref="B20:B22"/>
    <mergeCell ref="C20:D20"/>
  </mergeCells>
  <printOptions horizontalCentered="1"/>
  <pageMargins left="0.19685039370078741" right="0.19685039370078741" top="0.59055118110236227" bottom="0.59055118110236227" header="0.51181102362204722" footer="0.51181102362204722"/>
  <pageSetup paperSize="9" scale="94" orientation="portrait" r:id="rId1"/>
  <headerFooter>
    <oddFooter>&amp;C-&amp;P -</oddFooter>
  </headerFooter>
  <rowBreaks count="1" manualBreakCount="1">
    <brk id="2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view="pageBreakPreview" zoomScaleNormal="100" zoomScaleSheetLayoutView="100" workbookViewId="0">
      <selection activeCell="B1" sqref="B1:C1"/>
    </sheetView>
  </sheetViews>
  <sheetFormatPr defaultColWidth="9.140625" defaultRowHeight="16.5" x14ac:dyDescent="0.3"/>
  <cols>
    <col min="1" max="1" width="3.7109375" style="193" customWidth="1"/>
    <col min="2" max="2" width="86.7109375" style="210" customWidth="1"/>
    <col min="3" max="4" width="13.7109375" style="211" customWidth="1"/>
    <col min="5" max="5" width="15.7109375" style="211" customWidth="1"/>
    <col min="6" max="6" width="13.7109375" style="211" customWidth="1"/>
    <col min="7" max="7" width="16.85546875" style="212" customWidth="1"/>
    <col min="8" max="16384" width="9.140625" style="212"/>
  </cols>
  <sheetData>
    <row r="1" spans="1:12" s="194" customFormat="1" ht="16.5" customHeight="1" x14ac:dyDescent="0.2">
      <c r="A1" s="193"/>
      <c r="B1" s="1906" t="s">
        <v>902</v>
      </c>
      <c r="C1" s="1906"/>
      <c r="D1" s="1907"/>
      <c r="E1" s="1907"/>
      <c r="F1" s="1249"/>
    </row>
    <row r="2" spans="1:12" s="196" customFormat="1" ht="24.75" customHeight="1" x14ac:dyDescent="0.35">
      <c r="A2" s="193"/>
      <c r="B2" s="1908" t="s">
        <v>781</v>
      </c>
      <c r="C2" s="1908"/>
      <c r="D2" s="1908"/>
      <c r="E2" s="1908"/>
      <c r="F2" s="195"/>
      <c r="G2" s="1899"/>
      <c r="H2" s="1899"/>
      <c r="I2" s="1899"/>
      <c r="J2" s="1899"/>
      <c r="K2" s="1899"/>
      <c r="L2" s="1899"/>
    </row>
    <row r="3" spans="1:12" s="194" customFormat="1" ht="24.75" customHeight="1" x14ac:dyDescent="0.2">
      <c r="A3" s="193"/>
      <c r="B3" s="1900" t="s">
        <v>898</v>
      </c>
      <c r="C3" s="1900"/>
      <c r="D3" s="1900"/>
      <c r="E3" s="1900"/>
      <c r="F3" s="197"/>
      <c r="G3" s="1901"/>
      <c r="H3" s="1901"/>
      <c r="I3" s="1901"/>
      <c r="J3" s="1901"/>
      <c r="K3" s="1901"/>
      <c r="L3" s="1901"/>
    </row>
    <row r="4" spans="1:12" s="754" customFormat="1" ht="15" x14ac:dyDescent="0.3">
      <c r="A4" s="198"/>
      <c r="B4" s="750"/>
      <c r="C4" s="751"/>
      <c r="D4" s="751"/>
      <c r="E4" s="752" t="s">
        <v>0</v>
      </c>
      <c r="F4" s="753"/>
    </row>
    <row r="5" spans="1:12" s="123" customFormat="1" ht="15" thickBot="1" x14ac:dyDescent="0.35">
      <c r="A5" s="198"/>
      <c r="B5" s="199" t="s">
        <v>1</v>
      </c>
      <c r="C5" s="200" t="s">
        <v>3</v>
      </c>
      <c r="D5" s="200" t="s">
        <v>2</v>
      </c>
      <c r="E5" s="57" t="s">
        <v>4</v>
      </c>
      <c r="F5" s="57"/>
    </row>
    <row r="6" spans="1:12" s="35" customFormat="1" ht="17.25" x14ac:dyDescent="0.35">
      <c r="A6" s="198"/>
      <c r="B6" s="1902" t="s">
        <v>6</v>
      </c>
      <c r="C6" s="1904" t="s">
        <v>476</v>
      </c>
      <c r="D6" s="1904" t="s">
        <v>477</v>
      </c>
      <c r="E6" s="201" t="s">
        <v>305</v>
      </c>
      <c r="F6" s="202"/>
    </row>
    <row r="7" spans="1:12" s="35" customFormat="1" ht="18" thickBot="1" x14ac:dyDescent="0.4">
      <c r="A7" s="198"/>
      <c r="B7" s="1903"/>
      <c r="C7" s="1905"/>
      <c r="D7" s="1905"/>
      <c r="E7" s="203" t="s">
        <v>782</v>
      </c>
      <c r="F7" s="202"/>
    </row>
    <row r="8" spans="1:12" s="1292" customFormat="1" ht="22.5" customHeight="1" x14ac:dyDescent="0.35">
      <c r="A8" s="198">
        <v>1</v>
      </c>
      <c r="B8" s="1287" t="s">
        <v>783</v>
      </c>
      <c r="C8" s="1288">
        <v>0</v>
      </c>
      <c r="D8" s="1288">
        <f>SUM(D9:D15)</f>
        <v>1209808</v>
      </c>
      <c r="E8" s="1289"/>
      <c r="F8" s="1290"/>
      <c r="G8" s="1291"/>
    </row>
    <row r="9" spans="1:12" s="35" customFormat="1" ht="18" customHeight="1" x14ac:dyDescent="0.3">
      <c r="A9" s="198">
        <v>2</v>
      </c>
      <c r="B9" s="1293" t="s">
        <v>784</v>
      </c>
      <c r="C9" s="1294"/>
      <c r="D9" s="1294">
        <v>776793</v>
      </c>
      <c r="E9" s="1295"/>
      <c r="F9" s="205"/>
    </row>
    <row r="10" spans="1:12" s="35" customFormat="1" ht="18" customHeight="1" x14ac:dyDescent="0.3">
      <c r="A10" s="198">
        <v>3</v>
      </c>
      <c r="B10" s="1293" t="s">
        <v>893</v>
      </c>
      <c r="C10" s="1294"/>
      <c r="D10" s="1294">
        <v>56808</v>
      </c>
      <c r="E10" s="1295"/>
      <c r="F10" s="205"/>
    </row>
    <row r="11" spans="1:12" s="35" customFormat="1" ht="18" customHeight="1" x14ac:dyDescent="0.3">
      <c r="A11" s="198">
        <v>4</v>
      </c>
      <c r="B11" s="1293" t="s">
        <v>894</v>
      </c>
      <c r="C11" s="1294"/>
      <c r="D11" s="1294">
        <v>120392</v>
      </c>
      <c r="E11" s="1295"/>
      <c r="F11" s="205"/>
    </row>
    <row r="12" spans="1:12" s="35" customFormat="1" ht="18" customHeight="1" x14ac:dyDescent="0.3">
      <c r="A12" s="198">
        <v>5</v>
      </c>
      <c r="B12" s="1293" t="s">
        <v>895</v>
      </c>
      <c r="C12" s="1294"/>
      <c r="D12" s="1294">
        <v>15072</v>
      </c>
      <c r="E12" s="1295"/>
      <c r="F12" s="205"/>
    </row>
    <row r="13" spans="1:12" s="35" customFormat="1" ht="18" customHeight="1" x14ac:dyDescent="0.3">
      <c r="A13" s="198">
        <v>6</v>
      </c>
      <c r="B13" s="1293" t="s">
        <v>896</v>
      </c>
      <c r="C13" s="1294"/>
      <c r="D13" s="1294">
        <v>91122</v>
      </c>
      <c r="E13" s="1295"/>
      <c r="F13" s="205"/>
    </row>
    <row r="14" spans="1:12" s="35" customFormat="1" ht="18" customHeight="1" x14ac:dyDescent="0.3">
      <c r="A14" s="198">
        <v>7</v>
      </c>
      <c r="B14" s="1293" t="s">
        <v>785</v>
      </c>
      <c r="C14" s="1294"/>
      <c r="D14" s="1294">
        <v>149167</v>
      </c>
      <c r="E14" s="1295"/>
      <c r="F14" s="205"/>
    </row>
    <row r="15" spans="1:12" s="35" customFormat="1" ht="18" customHeight="1" x14ac:dyDescent="0.3">
      <c r="A15" s="198">
        <v>8</v>
      </c>
      <c r="B15" s="1293" t="s">
        <v>786</v>
      </c>
      <c r="C15" s="1294"/>
      <c r="D15" s="1294">
        <v>454</v>
      </c>
      <c r="E15" s="1295"/>
      <c r="F15" s="205"/>
    </row>
    <row r="16" spans="1:12" s="1292" customFormat="1" ht="22.5" customHeight="1" x14ac:dyDescent="0.35">
      <c r="A16" s="198">
        <v>9</v>
      </c>
      <c r="B16" s="1296" t="s">
        <v>787</v>
      </c>
      <c r="C16" s="1297">
        <f>SUM(C17:C21)</f>
        <v>1125011</v>
      </c>
      <c r="D16" s="1297">
        <f>SUM(D17:D21)</f>
        <v>1198897</v>
      </c>
      <c r="E16" s="1289">
        <f t="shared" ref="E16:E43" si="0">(D16/C16)</f>
        <v>1.0656758022810444</v>
      </c>
      <c r="F16" s="1290"/>
    </row>
    <row r="17" spans="1:6" s="35" customFormat="1" ht="18" customHeight="1" x14ac:dyDescent="0.3">
      <c r="A17" s="198">
        <v>10</v>
      </c>
      <c r="B17" s="1293" t="s">
        <v>306</v>
      </c>
      <c r="C17" s="1294">
        <v>162239</v>
      </c>
      <c r="D17" s="1294">
        <v>151817</v>
      </c>
      <c r="E17" s="1295">
        <f t="shared" si="0"/>
        <v>0.93576143837178483</v>
      </c>
      <c r="F17" s="205"/>
    </row>
    <row r="18" spans="1:6" s="35" customFormat="1" ht="18" customHeight="1" x14ac:dyDescent="0.3">
      <c r="A18" s="198">
        <v>11</v>
      </c>
      <c r="B18" s="1293" t="s">
        <v>788</v>
      </c>
      <c r="C18" s="1294">
        <v>650042</v>
      </c>
      <c r="D18" s="1294">
        <v>680610</v>
      </c>
      <c r="E18" s="1295">
        <f>(D18/C18)</f>
        <v>1.0470246537916013</v>
      </c>
      <c r="F18" s="205"/>
    </row>
    <row r="19" spans="1:6" s="35" customFormat="1" ht="31.5" x14ac:dyDescent="0.3">
      <c r="A19" s="198">
        <v>12</v>
      </c>
      <c r="B19" s="1293" t="s">
        <v>789</v>
      </c>
      <c r="C19" s="1294">
        <v>30745</v>
      </c>
      <c r="D19" s="1294">
        <f>22032+11277+520+1820</f>
        <v>35649</v>
      </c>
      <c r="E19" s="1295">
        <f t="shared" si="0"/>
        <v>1.1595056106684014</v>
      </c>
      <c r="F19" s="205"/>
    </row>
    <row r="20" spans="1:6" s="35" customFormat="1" ht="18" customHeight="1" x14ac:dyDescent="0.3">
      <c r="A20" s="198">
        <v>13</v>
      </c>
      <c r="B20" s="1293" t="s">
        <v>440</v>
      </c>
      <c r="C20" s="1294">
        <v>4870</v>
      </c>
      <c r="D20" s="1294">
        <v>4870</v>
      </c>
      <c r="E20" s="1295">
        <f t="shared" si="0"/>
        <v>1</v>
      </c>
      <c r="F20" s="205"/>
    </row>
    <row r="21" spans="1:6" s="35" customFormat="1" ht="31.5" x14ac:dyDescent="0.3">
      <c r="A21" s="198">
        <v>14</v>
      </c>
      <c r="B21" s="1293" t="s">
        <v>790</v>
      </c>
      <c r="C21" s="1294">
        <v>277115</v>
      </c>
      <c r="D21" s="1294">
        <f>321090+4861</f>
        <v>325951</v>
      </c>
      <c r="E21" s="1295">
        <f>(D21/C21)</f>
        <v>1.1762300849827689</v>
      </c>
      <c r="F21" s="205"/>
    </row>
    <row r="22" spans="1:6" s="1292" customFormat="1" ht="22.5" customHeight="1" x14ac:dyDescent="0.35">
      <c r="A22" s="198">
        <v>15</v>
      </c>
      <c r="B22" s="1296" t="s">
        <v>791</v>
      </c>
      <c r="C22" s="1297">
        <f>SUM(C23:C33)</f>
        <v>978351</v>
      </c>
      <c r="D22" s="1297">
        <f>SUM(D23:D33)</f>
        <v>1080565</v>
      </c>
      <c r="E22" s="1289">
        <f t="shared" si="0"/>
        <v>1.1044757965188363</v>
      </c>
      <c r="F22" s="1290"/>
    </row>
    <row r="23" spans="1:6" s="35" customFormat="1" ht="18" customHeight="1" x14ac:dyDescent="0.3">
      <c r="A23" s="198">
        <v>16</v>
      </c>
      <c r="B23" s="1293" t="s">
        <v>356</v>
      </c>
      <c r="C23" s="1294">
        <v>35020</v>
      </c>
      <c r="D23" s="1294">
        <v>45100</v>
      </c>
      <c r="E23" s="1295">
        <f t="shared" si="0"/>
        <v>1.2878355225585381</v>
      </c>
      <c r="F23" s="205"/>
    </row>
    <row r="24" spans="1:6" s="35" customFormat="1" ht="18" customHeight="1" x14ac:dyDescent="0.3">
      <c r="A24" s="198">
        <v>17</v>
      </c>
      <c r="B24" s="1293" t="s">
        <v>357</v>
      </c>
      <c r="C24" s="1294">
        <v>39270</v>
      </c>
      <c r="D24" s="1294">
        <v>42705</v>
      </c>
      <c r="E24" s="1295">
        <f t="shared" si="0"/>
        <v>1.0874713521772346</v>
      </c>
      <c r="F24" s="205"/>
    </row>
    <row r="25" spans="1:6" s="35" customFormat="1" ht="18" customHeight="1" x14ac:dyDescent="0.3">
      <c r="A25" s="198">
        <v>18</v>
      </c>
      <c r="B25" s="1293" t="s">
        <v>307</v>
      </c>
      <c r="C25" s="1294">
        <v>49393</v>
      </c>
      <c r="D25" s="1294">
        <v>52046</v>
      </c>
      <c r="E25" s="1295">
        <f t="shared" si="0"/>
        <v>1.0537120644625757</v>
      </c>
      <c r="F25" s="205"/>
    </row>
    <row r="26" spans="1:6" s="35" customFormat="1" ht="18" customHeight="1" x14ac:dyDescent="0.3">
      <c r="A26" s="198">
        <v>19</v>
      </c>
      <c r="B26" s="1293" t="s">
        <v>308</v>
      </c>
      <c r="C26" s="1294">
        <v>65687</v>
      </c>
      <c r="D26" s="1294">
        <f>25+76920</f>
        <v>76945</v>
      </c>
      <c r="E26" s="1295">
        <f t="shared" si="0"/>
        <v>1.1713885548129768</v>
      </c>
      <c r="F26" s="205"/>
    </row>
    <row r="27" spans="1:6" s="35" customFormat="1" ht="18" customHeight="1" x14ac:dyDescent="0.3">
      <c r="A27" s="198">
        <v>20</v>
      </c>
      <c r="B27" s="1293" t="s">
        <v>309</v>
      </c>
      <c r="C27" s="1294">
        <v>39900</v>
      </c>
      <c r="D27" s="1294">
        <v>39711</v>
      </c>
      <c r="E27" s="1295">
        <f t="shared" si="0"/>
        <v>0.99526315789473685</v>
      </c>
      <c r="F27" s="205"/>
    </row>
    <row r="28" spans="1:6" s="35" customFormat="1" ht="18" customHeight="1" x14ac:dyDescent="0.3">
      <c r="A28" s="198">
        <v>21</v>
      </c>
      <c r="B28" s="1293" t="s">
        <v>358</v>
      </c>
      <c r="C28" s="1294">
        <v>32245</v>
      </c>
      <c r="D28" s="1294">
        <f>30744+3514</f>
        <v>34258</v>
      </c>
      <c r="E28" s="1295">
        <f t="shared" si="0"/>
        <v>1.0624282834547991</v>
      </c>
      <c r="F28" s="205"/>
    </row>
    <row r="29" spans="1:6" s="35" customFormat="1" ht="18" customHeight="1" x14ac:dyDescent="0.3">
      <c r="A29" s="198">
        <v>22</v>
      </c>
      <c r="B29" s="1293" t="s">
        <v>359</v>
      </c>
      <c r="C29" s="1294">
        <v>13780</v>
      </c>
      <c r="D29" s="1294">
        <v>15372</v>
      </c>
      <c r="E29" s="1295">
        <f t="shared" si="0"/>
        <v>1.1155297532656023</v>
      </c>
      <c r="F29" s="205"/>
    </row>
    <row r="30" spans="1:6" s="35" customFormat="1" ht="18" customHeight="1" x14ac:dyDescent="0.3">
      <c r="A30" s="198">
        <v>23</v>
      </c>
      <c r="B30" s="1293" t="s">
        <v>441</v>
      </c>
      <c r="C30" s="1294">
        <v>54612</v>
      </c>
      <c r="D30" s="1294">
        <v>55088</v>
      </c>
      <c r="E30" s="1295">
        <f t="shared" si="0"/>
        <v>1.008716033106277</v>
      </c>
      <c r="F30" s="205"/>
    </row>
    <row r="31" spans="1:6" s="35" customFormat="1" ht="18" customHeight="1" x14ac:dyDescent="0.3">
      <c r="A31" s="198">
        <v>24</v>
      </c>
      <c r="B31" s="1293" t="s">
        <v>792</v>
      </c>
      <c r="C31" s="1294">
        <v>456349</v>
      </c>
      <c r="D31" s="1294">
        <f>112200+260286+144439</f>
        <v>516925</v>
      </c>
      <c r="E31" s="1295">
        <f>(D31/C31)</f>
        <v>1.1327405121957099</v>
      </c>
      <c r="F31" s="205"/>
    </row>
    <row r="32" spans="1:6" s="35" customFormat="1" ht="18" customHeight="1" x14ac:dyDescent="0.3">
      <c r="A32" s="198">
        <v>25</v>
      </c>
      <c r="B32" s="1293" t="s">
        <v>793</v>
      </c>
      <c r="C32" s="1294">
        <v>19290</v>
      </c>
      <c r="D32" s="1294">
        <v>16936</v>
      </c>
      <c r="E32" s="1295">
        <f t="shared" si="0"/>
        <v>0.87796785899429752</v>
      </c>
      <c r="F32" s="205"/>
    </row>
    <row r="33" spans="1:6" s="35" customFormat="1" ht="18" customHeight="1" x14ac:dyDescent="0.3">
      <c r="A33" s="198">
        <v>26</v>
      </c>
      <c r="B33" s="1293" t="s">
        <v>310</v>
      </c>
      <c r="C33" s="1294">
        <f>142747+30058</f>
        <v>172805</v>
      </c>
      <c r="D33" s="1294">
        <f>152425+33054</f>
        <v>185479</v>
      </c>
      <c r="E33" s="1295">
        <f t="shared" si="0"/>
        <v>1.073342785220335</v>
      </c>
      <c r="F33" s="205"/>
    </row>
    <row r="34" spans="1:6" s="1292" customFormat="1" ht="22.5" customHeight="1" x14ac:dyDescent="0.35">
      <c r="A34" s="198">
        <v>27</v>
      </c>
      <c r="B34" s="1296" t="s">
        <v>794</v>
      </c>
      <c r="C34" s="1297">
        <f>SUM(C35:C36)</f>
        <v>501982</v>
      </c>
      <c r="D34" s="1297">
        <f>SUM(D35:D36)</f>
        <v>567989</v>
      </c>
      <c r="E34" s="1289">
        <f t="shared" si="0"/>
        <v>1.1314927626887019</v>
      </c>
      <c r="F34" s="1290"/>
    </row>
    <row r="35" spans="1:6" s="35" customFormat="1" ht="18" customHeight="1" x14ac:dyDescent="0.3">
      <c r="A35" s="198">
        <v>28</v>
      </c>
      <c r="B35" s="1293" t="s">
        <v>795</v>
      </c>
      <c r="C35" s="1294">
        <v>501906</v>
      </c>
      <c r="D35" s="1294">
        <f>243184+324805</f>
        <v>567989</v>
      </c>
      <c r="E35" s="1295">
        <f t="shared" si="0"/>
        <v>1.1316640964642781</v>
      </c>
      <c r="F35" s="205"/>
    </row>
    <row r="36" spans="1:6" s="35" customFormat="1" ht="18" customHeight="1" x14ac:dyDescent="0.3">
      <c r="A36" s="198">
        <v>29</v>
      </c>
      <c r="B36" s="1293" t="s">
        <v>311</v>
      </c>
      <c r="C36" s="1294">
        <v>76</v>
      </c>
      <c r="D36" s="1294">
        <v>0</v>
      </c>
      <c r="E36" s="1295">
        <f>(D36/C36)</f>
        <v>0</v>
      </c>
      <c r="F36" s="205"/>
    </row>
    <row r="37" spans="1:6" s="1302" customFormat="1" ht="22.5" customHeight="1" x14ac:dyDescent="0.35">
      <c r="A37" s="198">
        <v>30</v>
      </c>
      <c r="B37" s="1298" t="s">
        <v>796</v>
      </c>
      <c r="C37" s="1299">
        <f>SUM(C38:C42)</f>
        <v>461283</v>
      </c>
      <c r="D37" s="1299">
        <f>SUM(D38:D42)</f>
        <v>487700</v>
      </c>
      <c r="E37" s="1300">
        <f t="shared" si="0"/>
        <v>1.0572685314654995</v>
      </c>
      <c r="F37" s="1301"/>
    </row>
    <row r="38" spans="1:6" s="548" customFormat="1" ht="18" customHeight="1" x14ac:dyDescent="0.2">
      <c r="A38" s="198">
        <v>31</v>
      </c>
      <c r="B38" s="1303" t="s">
        <v>312</v>
      </c>
      <c r="C38" s="1304">
        <v>120660</v>
      </c>
      <c r="D38" s="1304">
        <v>120660</v>
      </c>
      <c r="E38" s="1305">
        <f t="shared" si="0"/>
        <v>1</v>
      </c>
      <c r="F38" s="547"/>
    </row>
    <row r="39" spans="1:6" s="548" customFormat="1" ht="18" customHeight="1" x14ac:dyDescent="0.2">
      <c r="A39" s="198">
        <v>32</v>
      </c>
      <c r="B39" s="1303" t="s">
        <v>313</v>
      </c>
      <c r="C39" s="1304">
        <v>140200</v>
      </c>
      <c r="D39" s="1304">
        <v>140200</v>
      </c>
      <c r="E39" s="1305">
        <f t="shared" si="0"/>
        <v>1</v>
      </c>
      <c r="F39" s="547"/>
    </row>
    <row r="40" spans="1:6" s="548" customFormat="1" ht="18" customHeight="1" x14ac:dyDescent="0.2">
      <c r="A40" s="198">
        <v>33</v>
      </c>
      <c r="B40" s="1303" t="s">
        <v>314</v>
      </c>
      <c r="C40" s="1304">
        <v>25675</v>
      </c>
      <c r="D40" s="1304">
        <v>52485</v>
      </c>
      <c r="E40" s="1305">
        <f t="shared" si="0"/>
        <v>2.0442064264849074</v>
      </c>
      <c r="F40" s="547"/>
    </row>
    <row r="41" spans="1:6" s="548" customFormat="1" ht="18" customHeight="1" x14ac:dyDescent="0.2">
      <c r="A41" s="198">
        <v>34</v>
      </c>
      <c r="B41" s="1303" t="s">
        <v>315</v>
      </c>
      <c r="C41" s="1304">
        <v>150648</v>
      </c>
      <c r="D41" s="1304">
        <v>150255</v>
      </c>
      <c r="E41" s="1305">
        <f t="shared" si="0"/>
        <v>0.99739126971483194</v>
      </c>
      <c r="F41" s="547"/>
    </row>
    <row r="42" spans="1:6" s="548" customFormat="1" ht="18" customHeight="1" thickBot="1" x14ac:dyDescent="0.25">
      <c r="A42" s="198">
        <v>35</v>
      </c>
      <c r="B42" s="1303" t="s">
        <v>316</v>
      </c>
      <c r="C42" s="1304">
        <v>24100</v>
      </c>
      <c r="D42" s="1304">
        <v>24100</v>
      </c>
      <c r="E42" s="1305">
        <f t="shared" si="0"/>
        <v>1</v>
      </c>
      <c r="F42" s="547"/>
    </row>
    <row r="43" spans="1:6" s="209" customFormat="1" ht="36" customHeight="1" thickBot="1" x14ac:dyDescent="0.25">
      <c r="A43" s="198">
        <v>36</v>
      </c>
      <c r="B43" s="206" t="s">
        <v>13</v>
      </c>
      <c r="C43" s="207">
        <f>SUM(C8,C16,C22,C34,C37)</f>
        <v>3066627</v>
      </c>
      <c r="D43" s="207">
        <f>SUM(D8,D16,D22,D34,D37)</f>
        <v>4544959</v>
      </c>
      <c r="E43" s="208">
        <f t="shared" si="0"/>
        <v>1.4820710180925167</v>
      </c>
      <c r="F43" s="204"/>
    </row>
  </sheetData>
  <mergeCells count="9">
    <mergeCell ref="B1:C1"/>
    <mergeCell ref="D1:E1"/>
    <mergeCell ref="B2:E2"/>
    <mergeCell ref="G2:L2"/>
    <mergeCell ref="B3:E3"/>
    <mergeCell ref="G3:L3"/>
    <mergeCell ref="B6:B7"/>
    <mergeCell ref="C6:C7"/>
    <mergeCell ref="D6:D7"/>
  </mergeCells>
  <printOptions horizontalCentered="1"/>
  <pageMargins left="0.19685039370078741" right="0.19685039370078741" top="0.59055118110236227" bottom="0.59055118110236227" header="0.51181102362204722" footer="0.51181102362204722"/>
  <pageSetup paperSize="9" scale="76" fitToHeight="2" orientation="portrait" r:id="rId1"/>
  <headerFooter alignWithMargins="0">
    <oddFooter>&amp;C- &amp;P -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30"/>
  <sheetViews>
    <sheetView view="pageBreakPreview" zoomScaleNormal="100" zoomScaleSheetLayoutView="100" workbookViewId="0">
      <selection activeCell="B1" sqref="B1"/>
    </sheetView>
  </sheetViews>
  <sheetFormatPr defaultColWidth="3" defaultRowHeight="17.25" x14ac:dyDescent="0.3"/>
  <cols>
    <col min="1" max="3" width="4.42578125" style="588" customWidth="1"/>
    <col min="4" max="4" width="60.7109375" style="594" customWidth="1"/>
    <col min="5" max="5" width="16" style="595" customWidth="1"/>
    <col min="6" max="252" width="8" style="592" customWidth="1"/>
    <col min="253" max="253" width="3" style="592" bestFit="1" customWidth="1"/>
    <col min="254" max="16384" width="3" style="35"/>
  </cols>
  <sheetData>
    <row r="1" spans="1:254" x14ac:dyDescent="0.3">
      <c r="B1" s="1" t="s">
        <v>920</v>
      </c>
      <c r="D1" s="1"/>
      <c r="E1" s="589"/>
      <c r="F1" s="590"/>
      <c r="G1" s="590"/>
      <c r="H1" s="590"/>
      <c r="I1" s="590"/>
      <c r="J1" s="590"/>
      <c r="K1" s="590"/>
      <c r="L1" s="590"/>
      <c r="M1" s="590"/>
      <c r="N1" s="590"/>
      <c r="O1" s="590"/>
      <c r="P1" s="590"/>
      <c r="Q1" s="590"/>
      <c r="R1" s="590"/>
      <c r="S1" s="590"/>
      <c r="T1" s="590"/>
      <c r="U1" s="590"/>
      <c r="V1" s="590"/>
      <c r="W1" s="590"/>
      <c r="X1" s="590"/>
      <c r="Y1" s="590"/>
      <c r="Z1" s="590"/>
      <c r="AA1" s="590"/>
      <c r="AB1" s="590"/>
      <c r="AC1" s="590"/>
      <c r="AD1" s="590"/>
      <c r="AE1" s="590"/>
      <c r="AF1" s="590"/>
      <c r="AG1" s="590"/>
      <c r="AH1" s="590"/>
      <c r="AI1" s="590"/>
      <c r="AJ1" s="590"/>
      <c r="AK1" s="590"/>
      <c r="AL1" s="590"/>
      <c r="AM1" s="590"/>
      <c r="AN1" s="590"/>
      <c r="AO1" s="590"/>
      <c r="AP1" s="590"/>
      <c r="AQ1" s="590"/>
      <c r="AR1" s="590"/>
      <c r="AS1" s="590"/>
      <c r="AT1" s="590"/>
      <c r="AU1" s="590"/>
      <c r="AV1" s="590"/>
      <c r="AW1" s="590"/>
      <c r="AX1" s="590"/>
      <c r="AY1" s="590"/>
      <c r="AZ1" s="590"/>
      <c r="BA1" s="590"/>
      <c r="BB1" s="590"/>
      <c r="BC1" s="590"/>
      <c r="BD1" s="590"/>
      <c r="BE1" s="590"/>
      <c r="BF1" s="590"/>
      <c r="BG1" s="590"/>
      <c r="BH1" s="590"/>
      <c r="BI1" s="590"/>
      <c r="BJ1" s="590"/>
      <c r="BK1" s="590"/>
      <c r="BL1" s="590"/>
      <c r="BM1" s="590"/>
      <c r="BN1" s="590"/>
      <c r="BO1" s="590"/>
      <c r="BP1" s="590"/>
      <c r="BQ1" s="590"/>
      <c r="BR1" s="590"/>
      <c r="BS1" s="590"/>
      <c r="BT1" s="590"/>
      <c r="BU1" s="590"/>
      <c r="BV1" s="590"/>
      <c r="BW1" s="590"/>
      <c r="BX1" s="590"/>
      <c r="BY1" s="590"/>
      <c r="BZ1" s="590"/>
      <c r="CA1" s="590"/>
      <c r="CB1" s="590"/>
      <c r="CC1" s="590"/>
      <c r="CD1" s="590"/>
      <c r="CE1" s="590"/>
      <c r="CF1" s="590"/>
      <c r="CG1" s="590"/>
      <c r="CH1" s="590"/>
      <c r="CI1" s="590"/>
      <c r="CJ1" s="590"/>
      <c r="CK1" s="590"/>
      <c r="CL1" s="590"/>
      <c r="CM1" s="590"/>
      <c r="CN1" s="590"/>
      <c r="CO1" s="590"/>
      <c r="CP1" s="590"/>
      <c r="CQ1" s="590"/>
      <c r="CR1" s="590"/>
      <c r="CS1" s="590"/>
      <c r="CT1" s="590"/>
      <c r="CU1" s="590"/>
      <c r="CV1" s="590"/>
      <c r="CW1" s="590"/>
      <c r="CX1" s="590"/>
      <c r="CY1" s="590"/>
      <c r="CZ1" s="590"/>
      <c r="DA1" s="590"/>
      <c r="DB1" s="590"/>
      <c r="DC1" s="590"/>
      <c r="DD1" s="590"/>
      <c r="DE1" s="590"/>
      <c r="DF1" s="590"/>
      <c r="DG1" s="590"/>
      <c r="DH1" s="590"/>
      <c r="DI1" s="590"/>
      <c r="DJ1" s="590"/>
      <c r="DK1" s="590"/>
      <c r="DL1" s="590"/>
      <c r="DM1" s="590"/>
      <c r="DN1" s="590"/>
      <c r="DO1" s="590"/>
      <c r="DP1" s="590"/>
      <c r="DQ1" s="590"/>
      <c r="DR1" s="590"/>
      <c r="DS1" s="590"/>
      <c r="DT1" s="590"/>
      <c r="DU1" s="590"/>
      <c r="DV1" s="590"/>
      <c r="DW1" s="590"/>
      <c r="DX1" s="590"/>
      <c r="DY1" s="590"/>
      <c r="DZ1" s="590"/>
      <c r="EA1" s="590"/>
      <c r="EB1" s="590"/>
      <c r="EC1" s="590"/>
      <c r="ED1" s="590"/>
      <c r="EE1" s="590"/>
      <c r="EF1" s="590"/>
      <c r="EG1" s="590"/>
      <c r="EH1" s="590"/>
      <c r="EI1" s="590"/>
      <c r="EJ1" s="590"/>
      <c r="EK1" s="590"/>
      <c r="EL1" s="590"/>
      <c r="EM1" s="590"/>
      <c r="EN1" s="590"/>
      <c r="EO1" s="590"/>
      <c r="EP1" s="590"/>
      <c r="EQ1" s="590"/>
      <c r="ER1" s="590"/>
      <c r="ES1" s="590"/>
      <c r="ET1" s="590"/>
      <c r="EU1" s="590"/>
      <c r="EV1" s="590"/>
      <c r="EW1" s="590"/>
      <c r="EX1" s="590"/>
      <c r="EY1" s="590"/>
      <c r="EZ1" s="590"/>
      <c r="FA1" s="590"/>
      <c r="FB1" s="590"/>
      <c r="FC1" s="590"/>
      <c r="FD1" s="590"/>
      <c r="FE1" s="590"/>
      <c r="FF1" s="590"/>
      <c r="FG1" s="590"/>
      <c r="FH1" s="590"/>
      <c r="FI1" s="590"/>
      <c r="FJ1" s="590"/>
      <c r="FK1" s="590"/>
      <c r="FL1" s="590"/>
      <c r="FM1" s="590"/>
      <c r="FN1" s="590"/>
      <c r="FO1" s="590"/>
      <c r="FP1" s="590"/>
      <c r="FQ1" s="590"/>
      <c r="FR1" s="590"/>
      <c r="FS1" s="590"/>
      <c r="FT1" s="590"/>
      <c r="FU1" s="590"/>
      <c r="FV1" s="590"/>
      <c r="FW1" s="590"/>
      <c r="FX1" s="590"/>
      <c r="FY1" s="590"/>
      <c r="FZ1" s="590"/>
      <c r="GA1" s="590"/>
      <c r="GB1" s="590"/>
      <c r="GC1" s="590"/>
      <c r="GD1" s="590"/>
      <c r="GE1" s="590"/>
      <c r="GF1" s="590"/>
      <c r="GG1" s="590"/>
      <c r="GH1" s="590"/>
      <c r="GI1" s="590"/>
      <c r="GJ1" s="590"/>
      <c r="GK1" s="590"/>
      <c r="GL1" s="590"/>
      <c r="GM1" s="590"/>
      <c r="GN1" s="590"/>
      <c r="GO1" s="590"/>
      <c r="GP1" s="590"/>
      <c r="GQ1" s="590"/>
      <c r="GR1" s="590"/>
      <c r="GS1" s="590"/>
      <c r="GT1" s="590"/>
      <c r="GU1" s="590"/>
      <c r="GV1" s="590"/>
      <c r="GW1" s="590"/>
      <c r="GX1" s="590"/>
      <c r="GY1" s="590"/>
      <c r="GZ1" s="590"/>
      <c r="HA1" s="590"/>
      <c r="HB1" s="590"/>
      <c r="HC1" s="590"/>
      <c r="HD1" s="590"/>
      <c r="HE1" s="590"/>
      <c r="HF1" s="590"/>
      <c r="HG1" s="590"/>
      <c r="HH1" s="590"/>
      <c r="HI1" s="590"/>
      <c r="HJ1" s="590"/>
      <c r="HK1" s="590"/>
      <c r="HL1" s="590"/>
      <c r="HM1" s="590"/>
      <c r="HN1" s="590"/>
      <c r="HO1" s="590"/>
      <c r="HP1" s="590"/>
      <c r="HQ1" s="590"/>
      <c r="HR1" s="590"/>
      <c r="HS1" s="590"/>
      <c r="HT1" s="590"/>
      <c r="HU1" s="590"/>
      <c r="HV1" s="590"/>
      <c r="HW1" s="590"/>
      <c r="HX1" s="590"/>
      <c r="HY1" s="590"/>
      <c r="HZ1" s="590"/>
      <c r="IA1" s="590"/>
      <c r="IB1" s="590"/>
      <c r="IC1" s="590"/>
      <c r="ID1" s="590"/>
      <c r="IE1" s="590"/>
      <c r="IF1" s="590"/>
      <c r="IG1" s="590"/>
      <c r="IH1" s="590"/>
      <c r="II1" s="590"/>
      <c r="IJ1" s="590"/>
      <c r="IK1" s="590"/>
      <c r="IL1" s="590"/>
      <c r="IM1" s="590"/>
      <c r="IN1" s="590"/>
      <c r="IO1" s="590"/>
      <c r="IP1" s="590"/>
      <c r="IQ1" s="590"/>
      <c r="IR1" s="590"/>
      <c r="IS1" s="590"/>
      <c r="IT1" s="214"/>
    </row>
    <row r="2" spans="1:254" x14ac:dyDescent="0.3">
      <c r="D2" s="1309"/>
      <c r="E2" s="589"/>
      <c r="F2" s="590"/>
      <c r="G2" s="590"/>
      <c r="H2" s="590"/>
      <c r="I2" s="590"/>
      <c r="J2" s="590"/>
      <c r="K2" s="590"/>
      <c r="L2" s="590"/>
      <c r="M2" s="590"/>
      <c r="N2" s="590"/>
      <c r="O2" s="590"/>
      <c r="P2" s="590"/>
      <c r="Q2" s="590"/>
      <c r="R2" s="590"/>
      <c r="S2" s="590"/>
      <c r="T2" s="590"/>
      <c r="U2" s="590"/>
      <c r="V2" s="590"/>
      <c r="W2" s="590"/>
      <c r="X2" s="590"/>
      <c r="Y2" s="590"/>
      <c r="Z2" s="590"/>
      <c r="AA2" s="590"/>
      <c r="AB2" s="590"/>
      <c r="AC2" s="590"/>
      <c r="AD2" s="590"/>
      <c r="AE2" s="590"/>
      <c r="AF2" s="590"/>
      <c r="AG2" s="590"/>
      <c r="AH2" s="590"/>
      <c r="AI2" s="590"/>
      <c r="AJ2" s="590"/>
      <c r="AK2" s="590"/>
      <c r="AL2" s="590"/>
      <c r="AM2" s="590"/>
      <c r="AN2" s="590"/>
      <c r="AO2" s="590"/>
      <c r="AP2" s="590"/>
      <c r="AQ2" s="590"/>
      <c r="AR2" s="590"/>
      <c r="AS2" s="590"/>
      <c r="AT2" s="590"/>
      <c r="AU2" s="590"/>
      <c r="AV2" s="590"/>
      <c r="AW2" s="590"/>
      <c r="AX2" s="590"/>
      <c r="AY2" s="590"/>
      <c r="AZ2" s="590"/>
      <c r="BA2" s="590"/>
      <c r="BB2" s="590"/>
      <c r="BC2" s="590"/>
      <c r="BD2" s="590"/>
      <c r="BE2" s="590"/>
      <c r="BF2" s="590"/>
      <c r="BG2" s="590"/>
      <c r="BH2" s="590"/>
      <c r="BI2" s="590"/>
      <c r="BJ2" s="590"/>
      <c r="BK2" s="590"/>
      <c r="BL2" s="590"/>
      <c r="BM2" s="590"/>
      <c r="BN2" s="590"/>
      <c r="BO2" s="590"/>
      <c r="BP2" s="590"/>
      <c r="BQ2" s="590"/>
      <c r="BR2" s="590"/>
      <c r="BS2" s="590"/>
      <c r="BT2" s="590"/>
      <c r="BU2" s="590"/>
      <c r="BV2" s="590"/>
      <c r="BW2" s="590"/>
      <c r="BX2" s="590"/>
      <c r="BY2" s="590"/>
      <c r="BZ2" s="590"/>
      <c r="CA2" s="590"/>
      <c r="CB2" s="590"/>
      <c r="CC2" s="590"/>
      <c r="CD2" s="590"/>
      <c r="CE2" s="590"/>
      <c r="CF2" s="590"/>
      <c r="CG2" s="590"/>
      <c r="CH2" s="590"/>
      <c r="CI2" s="590"/>
      <c r="CJ2" s="590"/>
      <c r="CK2" s="590"/>
      <c r="CL2" s="590"/>
      <c r="CM2" s="590"/>
      <c r="CN2" s="590"/>
      <c r="CO2" s="590"/>
      <c r="CP2" s="590"/>
      <c r="CQ2" s="590"/>
      <c r="CR2" s="590"/>
      <c r="CS2" s="590"/>
      <c r="CT2" s="590"/>
      <c r="CU2" s="590"/>
      <c r="CV2" s="590"/>
      <c r="CW2" s="590"/>
      <c r="CX2" s="590"/>
      <c r="CY2" s="590"/>
      <c r="CZ2" s="590"/>
      <c r="DA2" s="590"/>
      <c r="DB2" s="590"/>
      <c r="DC2" s="590"/>
      <c r="DD2" s="590"/>
      <c r="DE2" s="590"/>
      <c r="DF2" s="590"/>
      <c r="DG2" s="590"/>
      <c r="DH2" s="590"/>
      <c r="DI2" s="590"/>
      <c r="DJ2" s="590"/>
      <c r="DK2" s="590"/>
      <c r="DL2" s="590"/>
      <c r="DM2" s="590"/>
      <c r="DN2" s="590"/>
      <c r="DO2" s="590"/>
      <c r="DP2" s="590"/>
      <c r="DQ2" s="590"/>
      <c r="DR2" s="590"/>
      <c r="DS2" s="590"/>
      <c r="DT2" s="590"/>
      <c r="DU2" s="590"/>
      <c r="DV2" s="590"/>
      <c r="DW2" s="590"/>
      <c r="DX2" s="590"/>
      <c r="DY2" s="590"/>
      <c r="DZ2" s="590"/>
      <c r="EA2" s="590"/>
      <c r="EB2" s="590"/>
      <c r="EC2" s="590"/>
      <c r="ED2" s="590"/>
      <c r="EE2" s="590"/>
      <c r="EF2" s="590"/>
      <c r="EG2" s="590"/>
      <c r="EH2" s="590"/>
      <c r="EI2" s="590"/>
      <c r="EJ2" s="590"/>
      <c r="EK2" s="590"/>
      <c r="EL2" s="590"/>
      <c r="EM2" s="590"/>
      <c r="EN2" s="590"/>
      <c r="EO2" s="590"/>
      <c r="EP2" s="590"/>
      <c r="EQ2" s="590"/>
      <c r="ER2" s="590"/>
      <c r="ES2" s="590"/>
      <c r="ET2" s="590"/>
      <c r="EU2" s="590"/>
      <c r="EV2" s="590"/>
      <c r="EW2" s="590"/>
      <c r="EX2" s="590"/>
      <c r="EY2" s="590"/>
      <c r="EZ2" s="590"/>
      <c r="FA2" s="590"/>
      <c r="FB2" s="590"/>
      <c r="FC2" s="590"/>
      <c r="FD2" s="590"/>
      <c r="FE2" s="590"/>
      <c r="FF2" s="590"/>
      <c r="FG2" s="590"/>
      <c r="FH2" s="590"/>
      <c r="FI2" s="590"/>
      <c r="FJ2" s="590"/>
      <c r="FK2" s="590"/>
      <c r="FL2" s="590"/>
      <c r="FM2" s="590"/>
      <c r="FN2" s="590"/>
      <c r="FO2" s="590"/>
      <c r="FP2" s="590"/>
      <c r="FQ2" s="590"/>
      <c r="FR2" s="590"/>
      <c r="FS2" s="590"/>
      <c r="FT2" s="590"/>
      <c r="FU2" s="590"/>
      <c r="FV2" s="590"/>
      <c r="FW2" s="590"/>
      <c r="FX2" s="590"/>
      <c r="FY2" s="590"/>
      <c r="FZ2" s="590"/>
      <c r="GA2" s="590"/>
      <c r="GB2" s="590"/>
      <c r="GC2" s="590"/>
      <c r="GD2" s="590"/>
      <c r="GE2" s="590"/>
      <c r="GF2" s="590"/>
      <c r="GG2" s="590"/>
      <c r="GH2" s="590"/>
      <c r="GI2" s="590"/>
      <c r="GJ2" s="590"/>
      <c r="GK2" s="590"/>
      <c r="GL2" s="590"/>
      <c r="GM2" s="590"/>
      <c r="GN2" s="590"/>
      <c r="GO2" s="590"/>
      <c r="GP2" s="590"/>
      <c r="GQ2" s="590"/>
      <c r="GR2" s="590"/>
      <c r="GS2" s="590"/>
      <c r="GT2" s="590"/>
      <c r="GU2" s="590"/>
      <c r="GV2" s="590"/>
      <c r="GW2" s="590"/>
      <c r="GX2" s="590"/>
      <c r="GY2" s="590"/>
      <c r="GZ2" s="590"/>
      <c r="HA2" s="590"/>
      <c r="HB2" s="590"/>
      <c r="HC2" s="590"/>
      <c r="HD2" s="590"/>
      <c r="HE2" s="590"/>
      <c r="HF2" s="590"/>
      <c r="HG2" s="590"/>
      <c r="HH2" s="590"/>
      <c r="HI2" s="590"/>
      <c r="HJ2" s="590"/>
      <c r="HK2" s="590"/>
      <c r="HL2" s="590"/>
      <c r="HM2" s="590"/>
      <c r="HN2" s="590"/>
      <c r="HO2" s="590"/>
      <c r="HP2" s="590"/>
      <c r="HQ2" s="590"/>
      <c r="HR2" s="590"/>
      <c r="HS2" s="590"/>
      <c r="HT2" s="590"/>
      <c r="HU2" s="590"/>
      <c r="HV2" s="590"/>
      <c r="HW2" s="590"/>
      <c r="HX2" s="590"/>
      <c r="HY2" s="590"/>
      <c r="HZ2" s="590"/>
      <c r="IA2" s="590"/>
      <c r="IB2" s="590"/>
      <c r="IC2" s="590"/>
      <c r="ID2" s="590"/>
      <c r="IE2" s="590"/>
      <c r="IF2" s="590"/>
      <c r="IG2" s="590"/>
      <c r="IH2" s="590"/>
      <c r="II2" s="590"/>
      <c r="IJ2" s="590"/>
      <c r="IK2" s="590"/>
      <c r="IL2" s="590"/>
      <c r="IM2" s="590"/>
      <c r="IN2" s="590"/>
      <c r="IO2" s="590"/>
      <c r="IP2" s="590"/>
      <c r="IQ2" s="590"/>
      <c r="IR2" s="590"/>
      <c r="IS2" s="590"/>
      <c r="IT2" s="214"/>
    </row>
    <row r="3" spans="1:254" x14ac:dyDescent="0.35">
      <c r="A3" s="2221" t="s">
        <v>811</v>
      </c>
      <c r="B3" s="2221"/>
      <c r="C3" s="2221"/>
      <c r="D3" s="2221"/>
      <c r="E3" s="2221"/>
      <c r="F3" s="591"/>
      <c r="G3" s="591"/>
      <c r="H3" s="591"/>
      <c r="I3" s="591"/>
      <c r="J3" s="591"/>
      <c r="K3" s="591"/>
      <c r="L3" s="591"/>
      <c r="M3" s="591"/>
      <c r="N3" s="591"/>
      <c r="O3" s="591"/>
      <c r="P3" s="591"/>
      <c r="Q3" s="591"/>
      <c r="R3" s="591"/>
      <c r="S3" s="591"/>
      <c r="T3" s="591"/>
      <c r="U3" s="591"/>
      <c r="V3" s="591"/>
      <c r="W3" s="591"/>
      <c r="X3" s="591"/>
      <c r="Y3" s="591"/>
      <c r="Z3" s="591"/>
      <c r="AA3" s="591"/>
      <c r="AB3" s="591"/>
      <c r="AC3" s="591"/>
      <c r="AD3" s="591"/>
      <c r="AE3" s="591"/>
      <c r="AF3" s="591"/>
      <c r="AG3" s="591"/>
      <c r="AH3" s="591"/>
      <c r="AI3" s="591"/>
      <c r="AJ3" s="591"/>
      <c r="AK3" s="591"/>
      <c r="AL3" s="591"/>
      <c r="AM3" s="591"/>
      <c r="AN3" s="591"/>
      <c r="AO3" s="591"/>
      <c r="AP3" s="591"/>
      <c r="AQ3" s="591"/>
      <c r="AR3" s="591"/>
      <c r="AS3" s="591"/>
      <c r="AT3" s="591"/>
      <c r="AU3" s="591"/>
      <c r="AV3" s="591"/>
      <c r="AW3" s="591"/>
      <c r="AX3" s="591"/>
      <c r="AY3" s="591"/>
      <c r="AZ3" s="591"/>
      <c r="BA3" s="591"/>
      <c r="BB3" s="591"/>
      <c r="BC3" s="591"/>
      <c r="BD3" s="591"/>
      <c r="BE3" s="591"/>
      <c r="BF3" s="591"/>
      <c r="BG3" s="591"/>
      <c r="BH3" s="591"/>
      <c r="BI3" s="591"/>
      <c r="BJ3" s="591"/>
      <c r="BK3" s="591"/>
      <c r="BL3" s="591"/>
      <c r="BM3" s="591"/>
      <c r="BN3" s="591"/>
      <c r="BO3" s="591"/>
      <c r="BP3" s="591"/>
      <c r="BQ3" s="591"/>
      <c r="BR3" s="591"/>
      <c r="BS3" s="591"/>
      <c r="BT3" s="591"/>
      <c r="BU3" s="591"/>
      <c r="BV3" s="591"/>
      <c r="BW3" s="591"/>
      <c r="BX3" s="591"/>
      <c r="BY3" s="591"/>
      <c r="BZ3" s="591"/>
      <c r="CA3" s="591"/>
      <c r="CB3" s="591"/>
      <c r="CC3" s="591"/>
      <c r="CD3" s="591"/>
      <c r="CE3" s="591"/>
      <c r="CF3" s="591"/>
      <c r="CG3" s="591"/>
      <c r="CH3" s="591"/>
      <c r="CI3" s="591"/>
      <c r="CJ3" s="591"/>
      <c r="CK3" s="591"/>
      <c r="CL3" s="591"/>
      <c r="CM3" s="591"/>
      <c r="CN3" s="591"/>
      <c r="CO3" s="591"/>
      <c r="CP3" s="591"/>
      <c r="CQ3" s="591"/>
      <c r="CR3" s="591"/>
      <c r="CS3" s="591"/>
      <c r="CT3" s="591"/>
      <c r="CU3" s="591"/>
      <c r="CV3" s="591"/>
      <c r="CW3" s="591"/>
      <c r="CX3" s="591"/>
      <c r="CY3" s="591"/>
      <c r="CZ3" s="591"/>
      <c r="DA3" s="591"/>
      <c r="DB3" s="591"/>
      <c r="DC3" s="591"/>
      <c r="DD3" s="591"/>
      <c r="DE3" s="591"/>
      <c r="DF3" s="591"/>
      <c r="DG3" s="591"/>
      <c r="DH3" s="591"/>
      <c r="DI3" s="591"/>
      <c r="DJ3" s="591"/>
      <c r="DK3" s="591"/>
      <c r="DL3" s="591"/>
      <c r="DM3" s="591"/>
      <c r="DN3" s="591"/>
      <c r="DO3" s="591"/>
      <c r="DP3" s="591"/>
      <c r="DQ3" s="591"/>
      <c r="DR3" s="591"/>
      <c r="DS3" s="591"/>
      <c r="DT3" s="591"/>
      <c r="DU3" s="591"/>
      <c r="DV3" s="591"/>
      <c r="DW3" s="591"/>
      <c r="DX3" s="591"/>
      <c r="DY3" s="591"/>
      <c r="DZ3" s="591"/>
      <c r="EA3" s="591"/>
      <c r="EB3" s="591"/>
      <c r="EC3" s="591"/>
      <c r="ED3" s="591"/>
      <c r="EE3" s="591"/>
      <c r="EF3" s="591"/>
      <c r="EG3" s="591"/>
      <c r="EH3" s="591"/>
      <c r="EI3" s="591"/>
      <c r="EJ3" s="591"/>
      <c r="EK3" s="591"/>
      <c r="EL3" s="591"/>
      <c r="EM3" s="591"/>
      <c r="EN3" s="591"/>
      <c r="EO3" s="591"/>
      <c r="EP3" s="591"/>
      <c r="EQ3" s="591"/>
      <c r="ER3" s="591"/>
      <c r="ES3" s="591"/>
      <c r="ET3" s="591"/>
      <c r="EU3" s="591"/>
      <c r="EV3" s="591"/>
      <c r="EW3" s="591"/>
      <c r="EX3" s="591"/>
      <c r="EY3" s="591"/>
      <c r="EZ3" s="591"/>
      <c r="FA3" s="591"/>
      <c r="FB3" s="591"/>
      <c r="FC3" s="591"/>
      <c r="FD3" s="591"/>
      <c r="FE3" s="591"/>
      <c r="FF3" s="591"/>
      <c r="FG3" s="591"/>
      <c r="FH3" s="591"/>
      <c r="FI3" s="591"/>
      <c r="FJ3" s="591"/>
      <c r="FK3" s="591"/>
      <c r="FL3" s="591"/>
      <c r="FM3" s="591"/>
      <c r="FN3" s="591"/>
      <c r="FO3" s="591"/>
      <c r="FP3" s="591"/>
      <c r="FQ3" s="591"/>
      <c r="FR3" s="591"/>
      <c r="FS3" s="591"/>
      <c r="FT3" s="591"/>
      <c r="FU3" s="591"/>
      <c r="FV3" s="591"/>
      <c r="FW3" s="591"/>
      <c r="FX3" s="591"/>
      <c r="FY3" s="591"/>
      <c r="FZ3" s="591"/>
      <c r="GA3" s="591"/>
      <c r="GB3" s="591"/>
      <c r="GC3" s="591"/>
      <c r="GD3" s="591"/>
      <c r="GE3" s="591"/>
      <c r="GF3" s="591"/>
      <c r="GG3" s="591"/>
      <c r="GH3" s="591"/>
      <c r="GI3" s="591"/>
      <c r="GJ3" s="591"/>
      <c r="GK3" s="591"/>
      <c r="GL3" s="591"/>
      <c r="GM3" s="591"/>
      <c r="GN3" s="591"/>
      <c r="GO3" s="591"/>
      <c r="GP3" s="591"/>
      <c r="GQ3" s="591"/>
      <c r="GR3" s="591"/>
      <c r="GS3" s="591"/>
      <c r="GT3" s="591"/>
      <c r="GU3" s="591"/>
      <c r="GV3" s="591"/>
      <c r="GW3" s="591"/>
      <c r="GX3" s="591"/>
      <c r="GY3" s="591"/>
      <c r="GZ3" s="591"/>
      <c r="HA3" s="591"/>
      <c r="HB3" s="591"/>
      <c r="HC3" s="591"/>
      <c r="HD3" s="591"/>
      <c r="HE3" s="591"/>
      <c r="HF3" s="591"/>
      <c r="HG3" s="591"/>
      <c r="HH3" s="591"/>
      <c r="HI3" s="591"/>
      <c r="HJ3" s="591"/>
      <c r="HK3" s="591"/>
      <c r="HL3" s="591"/>
      <c r="HM3" s="591"/>
      <c r="HN3" s="591"/>
      <c r="HO3" s="591"/>
      <c r="HP3" s="591"/>
      <c r="HQ3" s="591"/>
      <c r="HR3" s="591"/>
      <c r="HS3" s="591"/>
      <c r="HT3" s="591"/>
      <c r="HU3" s="591"/>
      <c r="HV3" s="591"/>
      <c r="HW3" s="591"/>
      <c r="HX3" s="591"/>
      <c r="HY3" s="591"/>
      <c r="HZ3" s="591"/>
      <c r="IA3" s="591"/>
      <c r="IB3" s="591"/>
      <c r="IC3" s="591"/>
      <c r="ID3" s="591"/>
      <c r="IE3" s="591"/>
      <c r="IF3" s="591"/>
      <c r="IG3" s="591"/>
      <c r="IH3" s="591"/>
      <c r="II3" s="591"/>
      <c r="IJ3" s="591"/>
      <c r="IK3" s="591"/>
      <c r="IL3" s="591"/>
      <c r="IM3" s="591"/>
      <c r="IN3" s="591"/>
      <c r="IO3" s="591"/>
      <c r="IP3" s="591"/>
      <c r="IQ3" s="591"/>
      <c r="IR3" s="591"/>
      <c r="IS3" s="591"/>
      <c r="IT3" s="38"/>
    </row>
    <row r="4" spans="1:254" x14ac:dyDescent="0.3">
      <c r="A4" s="2222" t="s">
        <v>624</v>
      </c>
      <c r="B4" s="2222"/>
      <c r="C4" s="2222"/>
      <c r="D4" s="2222"/>
      <c r="E4" s="2222"/>
    </row>
    <row r="5" spans="1:254" x14ac:dyDescent="0.3">
      <c r="D5" s="1311"/>
      <c r="E5" s="1311"/>
    </row>
    <row r="6" spans="1:254" ht="40.5" customHeight="1" x14ac:dyDescent="0.3">
      <c r="A6" s="2237" t="s">
        <v>475</v>
      </c>
      <c r="B6" s="2237"/>
      <c r="C6" s="2237"/>
      <c r="D6" s="2237"/>
      <c r="E6" s="2237"/>
    </row>
    <row r="7" spans="1:254" ht="17.25" customHeight="1" x14ac:dyDescent="0.3">
      <c r="D7" s="1312"/>
      <c r="E7" s="1312"/>
    </row>
    <row r="8" spans="1:254" x14ac:dyDescent="0.3">
      <c r="D8" s="1312"/>
      <c r="E8" s="634" t="s">
        <v>0</v>
      </c>
    </row>
    <row r="9" spans="1:254" thickBot="1" x14ac:dyDescent="0.35">
      <c r="D9" s="605" t="s">
        <v>1</v>
      </c>
      <c r="E9" s="596" t="s">
        <v>3</v>
      </c>
      <c r="F9" s="605"/>
      <c r="G9" s="605"/>
      <c r="H9" s="605"/>
      <c r="I9" s="605"/>
      <c r="J9" s="605"/>
      <c r="K9" s="605"/>
      <c r="L9" s="605"/>
      <c r="M9" s="605"/>
      <c r="N9" s="605"/>
      <c r="O9" s="605"/>
      <c r="P9" s="605"/>
      <c r="Q9" s="605"/>
      <c r="R9" s="605"/>
      <c r="S9" s="605"/>
      <c r="T9" s="605"/>
      <c r="U9" s="605"/>
      <c r="V9" s="605"/>
      <c r="W9" s="605"/>
      <c r="X9" s="605"/>
      <c r="Y9" s="605"/>
      <c r="Z9" s="605"/>
      <c r="AA9" s="605"/>
      <c r="AB9" s="605"/>
      <c r="AC9" s="605"/>
      <c r="AD9" s="605"/>
      <c r="AE9" s="605"/>
      <c r="AF9" s="605"/>
      <c r="AG9" s="605"/>
      <c r="AH9" s="605"/>
      <c r="AI9" s="605"/>
      <c r="AJ9" s="605"/>
      <c r="AK9" s="605"/>
      <c r="AL9" s="605"/>
      <c r="AM9" s="605"/>
      <c r="AN9" s="605"/>
      <c r="AO9" s="605"/>
      <c r="AP9" s="605"/>
      <c r="AQ9" s="605"/>
      <c r="AR9" s="605"/>
      <c r="AS9" s="605"/>
      <c r="AT9" s="605"/>
      <c r="AU9" s="605"/>
      <c r="AV9" s="605"/>
      <c r="AW9" s="605"/>
      <c r="AX9" s="605"/>
      <c r="AY9" s="605"/>
      <c r="AZ9" s="605"/>
      <c r="BA9" s="605"/>
      <c r="BB9" s="605"/>
      <c r="BC9" s="605"/>
      <c r="BD9" s="605"/>
      <c r="BE9" s="605"/>
      <c r="BF9" s="605"/>
      <c r="BG9" s="605"/>
      <c r="BH9" s="605"/>
      <c r="BI9" s="605"/>
      <c r="BJ9" s="605"/>
      <c r="BK9" s="605"/>
      <c r="BL9" s="605"/>
      <c r="BM9" s="605"/>
      <c r="BN9" s="605"/>
      <c r="BO9" s="605"/>
      <c r="BP9" s="605"/>
      <c r="BQ9" s="605"/>
      <c r="BR9" s="605"/>
      <c r="BS9" s="605"/>
      <c r="BT9" s="605"/>
      <c r="BU9" s="605"/>
      <c r="BV9" s="605"/>
      <c r="BW9" s="605"/>
      <c r="BX9" s="605"/>
      <c r="BY9" s="605"/>
      <c r="BZ9" s="605"/>
      <c r="CA9" s="605"/>
      <c r="CB9" s="605"/>
      <c r="CC9" s="605"/>
      <c r="CD9" s="605"/>
      <c r="CE9" s="605"/>
      <c r="CF9" s="605"/>
      <c r="CG9" s="605"/>
      <c r="CH9" s="605"/>
      <c r="CI9" s="605"/>
      <c r="CJ9" s="605"/>
      <c r="CK9" s="605"/>
      <c r="CL9" s="605"/>
      <c r="CM9" s="605"/>
      <c r="CN9" s="605"/>
      <c r="CO9" s="605"/>
      <c r="CP9" s="605"/>
      <c r="CQ9" s="605"/>
      <c r="CR9" s="605"/>
      <c r="CS9" s="605"/>
      <c r="CT9" s="605"/>
      <c r="CU9" s="605"/>
      <c r="CV9" s="605"/>
      <c r="CW9" s="605"/>
      <c r="CX9" s="605"/>
      <c r="CY9" s="605"/>
      <c r="CZ9" s="605"/>
      <c r="DA9" s="605"/>
      <c r="DB9" s="605"/>
      <c r="DC9" s="605"/>
      <c r="DD9" s="605"/>
      <c r="DE9" s="605"/>
      <c r="DF9" s="605"/>
      <c r="DG9" s="605"/>
      <c r="DH9" s="605"/>
      <c r="DI9" s="605"/>
      <c r="DJ9" s="605"/>
      <c r="DK9" s="605"/>
      <c r="DL9" s="605"/>
      <c r="DM9" s="605"/>
      <c r="DN9" s="605"/>
      <c r="DO9" s="605"/>
      <c r="DP9" s="605"/>
      <c r="DQ9" s="605"/>
      <c r="DR9" s="605"/>
      <c r="DS9" s="605"/>
      <c r="DT9" s="605"/>
      <c r="DU9" s="605"/>
      <c r="DV9" s="605"/>
      <c r="DW9" s="605"/>
      <c r="DX9" s="605"/>
      <c r="DY9" s="605"/>
      <c r="DZ9" s="605"/>
      <c r="EA9" s="605"/>
      <c r="EB9" s="605"/>
      <c r="EC9" s="605"/>
      <c r="ED9" s="605"/>
      <c r="EE9" s="605"/>
      <c r="EF9" s="605"/>
      <c r="EG9" s="605"/>
      <c r="EH9" s="605"/>
      <c r="EI9" s="605"/>
      <c r="EJ9" s="605"/>
      <c r="EK9" s="605"/>
      <c r="EL9" s="605"/>
      <c r="EM9" s="605"/>
      <c r="EN9" s="605"/>
      <c r="EO9" s="605"/>
      <c r="EP9" s="605"/>
      <c r="EQ9" s="605"/>
      <c r="ER9" s="605"/>
      <c r="ES9" s="605"/>
      <c r="ET9" s="605"/>
      <c r="EU9" s="605"/>
      <c r="EV9" s="605"/>
      <c r="EW9" s="605"/>
      <c r="EX9" s="605"/>
      <c r="EY9" s="605"/>
      <c r="EZ9" s="605"/>
      <c r="FA9" s="605"/>
      <c r="FB9" s="605"/>
      <c r="FC9" s="605"/>
      <c r="FD9" s="605"/>
      <c r="FE9" s="605"/>
      <c r="FF9" s="605"/>
      <c r="FG9" s="605"/>
      <c r="FH9" s="605"/>
      <c r="FI9" s="605"/>
      <c r="FJ9" s="605"/>
      <c r="FK9" s="605"/>
      <c r="FL9" s="605"/>
      <c r="FM9" s="605"/>
      <c r="FN9" s="605"/>
      <c r="FO9" s="605"/>
      <c r="FP9" s="605"/>
      <c r="FQ9" s="605"/>
      <c r="FR9" s="605"/>
      <c r="FS9" s="605"/>
      <c r="FT9" s="605"/>
      <c r="FU9" s="605"/>
      <c r="FV9" s="605"/>
      <c r="FW9" s="605"/>
      <c r="FX9" s="605"/>
      <c r="FY9" s="605"/>
      <c r="FZ9" s="605"/>
      <c r="GA9" s="605"/>
      <c r="GB9" s="605"/>
      <c r="GC9" s="605"/>
      <c r="GD9" s="605"/>
      <c r="GE9" s="605"/>
      <c r="GF9" s="605"/>
      <c r="GG9" s="605"/>
      <c r="GH9" s="605"/>
      <c r="GI9" s="605"/>
      <c r="GJ9" s="605"/>
      <c r="GK9" s="605"/>
      <c r="GL9" s="605"/>
      <c r="GM9" s="605"/>
      <c r="GN9" s="605"/>
      <c r="GO9" s="605"/>
      <c r="GP9" s="605"/>
      <c r="GQ9" s="605"/>
      <c r="GR9" s="605"/>
      <c r="GS9" s="605"/>
      <c r="GT9" s="605"/>
      <c r="GU9" s="605"/>
      <c r="GV9" s="605"/>
      <c r="GW9" s="605"/>
      <c r="GX9" s="605"/>
      <c r="GY9" s="605"/>
      <c r="GZ9" s="605"/>
      <c r="HA9" s="605"/>
      <c r="HB9" s="605"/>
      <c r="HC9" s="605"/>
      <c r="HD9" s="605"/>
      <c r="HE9" s="605"/>
      <c r="HF9" s="605"/>
      <c r="HG9" s="605"/>
      <c r="HH9" s="605"/>
      <c r="HI9" s="605"/>
      <c r="HJ9" s="605"/>
      <c r="HK9" s="605"/>
      <c r="HL9" s="605"/>
      <c r="HM9" s="605"/>
      <c r="HN9" s="605"/>
      <c r="HO9" s="605"/>
      <c r="HP9" s="605"/>
      <c r="HQ9" s="605"/>
      <c r="HR9" s="605"/>
      <c r="HS9" s="605"/>
      <c r="HT9" s="605"/>
      <c r="HU9" s="605"/>
      <c r="HV9" s="605"/>
      <c r="HW9" s="605"/>
      <c r="HX9" s="605"/>
      <c r="HY9" s="605"/>
      <c r="HZ9" s="605"/>
      <c r="IA9" s="605"/>
      <c r="IB9" s="605"/>
      <c r="IC9" s="605"/>
      <c r="ID9" s="605"/>
      <c r="IE9" s="605"/>
      <c r="IF9" s="605"/>
      <c r="IG9" s="605"/>
      <c r="IH9" s="605"/>
      <c r="II9" s="605"/>
      <c r="IJ9" s="605"/>
      <c r="IK9" s="605"/>
      <c r="IL9" s="605"/>
      <c r="IM9" s="605"/>
      <c r="IN9" s="605"/>
      <c r="IO9" s="605"/>
      <c r="IP9" s="605"/>
      <c r="IQ9" s="605"/>
      <c r="IR9" s="605"/>
      <c r="IS9" s="605"/>
      <c r="IT9" s="38"/>
    </row>
    <row r="10" spans="1:254" ht="35.25" thickBot="1" x14ac:dyDescent="0.35">
      <c r="A10" s="593">
        <v>1</v>
      </c>
      <c r="B10" s="2229" t="s">
        <v>590</v>
      </c>
      <c r="C10" s="2230"/>
      <c r="D10" s="2231"/>
      <c r="E10" s="1330" t="s">
        <v>812</v>
      </c>
    </row>
    <row r="11" spans="1:254" ht="36.75" customHeight="1" x14ac:dyDescent="0.3">
      <c r="A11" s="2212">
        <v>2</v>
      </c>
      <c r="B11" s="2232">
        <v>1</v>
      </c>
      <c r="C11" s="2234" t="s">
        <v>813</v>
      </c>
      <c r="D11" s="2235"/>
      <c r="E11" s="2236">
        <v>21891</v>
      </c>
      <c r="F11" s="591"/>
      <c r="G11" s="591"/>
      <c r="H11" s="591"/>
      <c r="I11" s="591"/>
      <c r="J11" s="591"/>
      <c r="K11" s="591"/>
      <c r="L11" s="591"/>
      <c r="M11" s="591"/>
      <c r="N11" s="591"/>
      <c r="O11" s="591"/>
      <c r="P11" s="591"/>
      <c r="Q11" s="591"/>
      <c r="R11" s="591"/>
      <c r="S11" s="591"/>
      <c r="T11" s="591"/>
      <c r="U11" s="591"/>
      <c r="V11" s="591"/>
      <c r="W11" s="591"/>
      <c r="X11" s="591"/>
      <c r="Y11" s="591"/>
      <c r="Z11" s="591"/>
      <c r="AA11" s="591"/>
      <c r="AB11" s="591"/>
      <c r="AC11" s="591"/>
      <c r="AD11" s="591"/>
      <c r="AE11" s="591"/>
      <c r="AF11" s="591"/>
      <c r="AG11" s="591"/>
      <c r="AH11" s="591"/>
      <c r="AI11" s="591"/>
      <c r="AJ11" s="591"/>
      <c r="AK11" s="591"/>
      <c r="AL11" s="591"/>
      <c r="AM11" s="591"/>
      <c r="AN11" s="591"/>
      <c r="AO11" s="591"/>
      <c r="AP11" s="591"/>
      <c r="AQ11" s="591"/>
      <c r="AR11" s="591"/>
      <c r="AS11" s="591"/>
      <c r="AT11" s="591"/>
      <c r="AU11" s="591"/>
      <c r="AV11" s="591"/>
      <c r="AW11" s="591"/>
      <c r="AX11" s="591"/>
      <c r="AY11" s="591"/>
      <c r="AZ11" s="591"/>
      <c r="BA11" s="591"/>
      <c r="BB11" s="591"/>
      <c r="BC11" s="591"/>
      <c r="BD11" s="591"/>
      <c r="BE11" s="591"/>
      <c r="BF11" s="591"/>
      <c r="BG11" s="591"/>
      <c r="BH11" s="591"/>
      <c r="BI11" s="591"/>
      <c r="BJ11" s="591"/>
      <c r="BK11" s="591"/>
      <c r="BL11" s="591"/>
      <c r="BM11" s="591"/>
      <c r="BN11" s="591"/>
      <c r="BO11" s="591"/>
      <c r="BP11" s="591"/>
      <c r="BQ11" s="591"/>
      <c r="BR11" s="591"/>
      <c r="BS11" s="591"/>
      <c r="BT11" s="591"/>
      <c r="BU11" s="591"/>
      <c r="BV11" s="591"/>
      <c r="BW11" s="591"/>
      <c r="BX11" s="591"/>
      <c r="BY11" s="591"/>
      <c r="BZ11" s="591"/>
      <c r="CA11" s="591"/>
      <c r="CB11" s="591"/>
      <c r="CC11" s="591"/>
      <c r="CD11" s="591"/>
      <c r="CE11" s="591"/>
      <c r="CF11" s="591"/>
      <c r="CG11" s="591"/>
      <c r="CH11" s="591"/>
      <c r="CI11" s="591"/>
      <c r="CJ11" s="591"/>
      <c r="CK11" s="591"/>
      <c r="CL11" s="591"/>
      <c r="CM11" s="591"/>
      <c r="CN11" s="591"/>
      <c r="CO11" s="591"/>
      <c r="CP11" s="591"/>
      <c r="CQ11" s="591"/>
      <c r="CR11" s="591"/>
      <c r="CS11" s="591"/>
      <c r="CT11" s="591"/>
      <c r="CU11" s="591"/>
      <c r="CV11" s="591"/>
      <c r="CW11" s="591"/>
      <c r="CX11" s="591"/>
      <c r="CY11" s="591"/>
      <c r="CZ11" s="591"/>
      <c r="DA11" s="591"/>
      <c r="DB11" s="591"/>
      <c r="DC11" s="591"/>
      <c r="DD11" s="591"/>
      <c r="DE11" s="591"/>
      <c r="DF11" s="591"/>
      <c r="DG11" s="591"/>
      <c r="DH11" s="591"/>
      <c r="DI11" s="591"/>
      <c r="DJ11" s="591"/>
      <c r="DK11" s="591"/>
      <c r="DL11" s="591"/>
      <c r="DM11" s="591"/>
      <c r="DN11" s="591"/>
      <c r="DO11" s="591"/>
      <c r="DP11" s="591"/>
      <c r="DQ11" s="591"/>
      <c r="DR11" s="591"/>
      <c r="DS11" s="591"/>
      <c r="DT11" s="591"/>
      <c r="DU11" s="591"/>
      <c r="DV11" s="591"/>
      <c r="DW11" s="591"/>
      <c r="DX11" s="591"/>
      <c r="DY11" s="591"/>
      <c r="DZ11" s="591"/>
      <c r="EA11" s="591"/>
      <c r="EB11" s="591"/>
      <c r="EC11" s="591"/>
      <c r="ED11" s="591"/>
      <c r="EE11" s="591"/>
      <c r="EF11" s="591"/>
      <c r="EG11" s="591"/>
      <c r="EH11" s="591"/>
      <c r="EI11" s="591"/>
      <c r="EJ11" s="591"/>
      <c r="EK11" s="591"/>
      <c r="EL11" s="591"/>
      <c r="EM11" s="591"/>
      <c r="EN11" s="591"/>
      <c r="EO11" s="591"/>
      <c r="EP11" s="591"/>
      <c r="EQ11" s="591"/>
      <c r="ER11" s="591"/>
      <c r="ES11" s="591"/>
      <c r="ET11" s="591"/>
      <c r="EU11" s="591"/>
      <c r="EV11" s="591"/>
      <c r="EW11" s="591"/>
      <c r="EX11" s="591"/>
      <c r="EY11" s="591"/>
      <c r="EZ11" s="591"/>
      <c r="FA11" s="591"/>
      <c r="FB11" s="591"/>
      <c r="FC11" s="591"/>
      <c r="FD11" s="591"/>
      <c r="FE11" s="591"/>
      <c r="FF11" s="591"/>
      <c r="FG11" s="591"/>
      <c r="FH11" s="591"/>
      <c r="FI11" s="591"/>
      <c r="FJ11" s="591"/>
      <c r="FK11" s="591"/>
      <c r="FL11" s="591"/>
      <c r="FM11" s="591"/>
      <c r="FN11" s="591"/>
      <c r="FO11" s="591"/>
      <c r="FP11" s="591"/>
      <c r="FQ11" s="591"/>
      <c r="FR11" s="591"/>
      <c r="FS11" s="591"/>
      <c r="FT11" s="591"/>
      <c r="FU11" s="591"/>
      <c r="FV11" s="591"/>
      <c r="FW11" s="591"/>
      <c r="FX11" s="591"/>
      <c r="FY11" s="591"/>
      <c r="FZ11" s="591"/>
      <c r="GA11" s="591"/>
      <c r="GB11" s="591"/>
      <c r="GC11" s="591"/>
      <c r="GD11" s="591"/>
      <c r="GE11" s="591"/>
      <c r="GF11" s="591"/>
      <c r="GG11" s="591"/>
      <c r="GH11" s="591"/>
      <c r="GI11" s="591"/>
      <c r="GJ11" s="591"/>
      <c r="GK11" s="591"/>
      <c r="GL11" s="591"/>
      <c r="GM11" s="591"/>
      <c r="GN11" s="591"/>
      <c r="GO11" s="591"/>
      <c r="GP11" s="591"/>
      <c r="GQ11" s="591"/>
      <c r="GR11" s="591"/>
      <c r="GS11" s="591"/>
      <c r="GT11" s="591"/>
      <c r="GU11" s="591"/>
      <c r="GV11" s="591"/>
      <c r="GW11" s="591"/>
      <c r="GX11" s="591"/>
      <c r="GY11" s="591"/>
      <c r="GZ11" s="591"/>
      <c r="HA11" s="591"/>
      <c r="HB11" s="591"/>
      <c r="HC11" s="591"/>
      <c r="HD11" s="591"/>
      <c r="HE11" s="591"/>
      <c r="HF11" s="591"/>
      <c r="HG11" s="591"/>
      <c r="HH11" s="591"/>
      <c r="HI11" s="591"/>
      <c r="HJ11" s="591"/>
      <c r="HK11" s="591"/>
      <c r="HL11" s="591"/>
      <c r="HM11" s="591"/>
      <c r="HN11" s="591"/>
      <c r="HO11" s="591"/>
      <c r="HP11" s="591"/>
      <c r="HQ11" s="591"/>
      <c r="HR11" s="591"/>
      <c r="HS11" s="591"/>
      <c r="HT11" s="591"/>
      <c r="HU11" s="591"/>
      <c r="HV11" s="591"/>
      <c r="HW11" s="591"/>
      <c r="HX11" s="591"/>
      <c r="HY11" s="591"/>
      <c r="HZ11" s="591"/>
      <c r="IA11" s="591"/>
      <c r="IB11" s="591"/>
      <c r="IC11" s="591"/>
      <c r="ID11" s="591"/>
      <c r="IE11" s="591"/>
      <c r="IF11" s="591"/>
      <c r="IG11" s="591"/>
      <c r="IH11" s="591"/>
      <c r="II11" s="591"/>
      <c r="IJ11" s="591"/>
      <c r="IK11" s="591"/>
      <c r="IL11" s="591"/>
      <c r="IM11" s="591"/>
      <c r="IN11" s="591"/>
      <c r="IO11" s="591"/>
      <c r="IP11" s="591"/>
      <c r="IQ11" s="591"/>
      <c r="IR11" s="591"/>
      <c r="IS11" s="591"/>
      <c r="IT11" s="38"/>
    </row>
    <row r="12" spans="1:254" ht="36.75" customHeight="1" x14ac:dyDescent="0.3">
      <c r="A12" s="2212"/>
      <c r="B12" s="2233"/>
      <c r="C12" s="1331"/>
      <c r="D12" s="1332" t="s">
        <v>560</v>
      </c>
      <c r="E12" s="2224"/>
      <c r="F12" s="591"/>
      <c r="G12" s="591"/>
      <c r="H12" s="591"/>
      <c r="I12" s="591"/>
      <c r="J12" s="591"/>
      <c r="K12" s="591"/>
      <c r="L12" s="591"/>
      <c r="M12" s="591"/>
      <c r="N12" s="591"/>
      <c r="O12" s="591"/>
      <c r="P12" s="591"/>
      <c r="Q12" s="591"/>
      <c r="R12" s="591"/>
      <c r="S12" s="591"/>
      <c r="T12" s="591"/>
      <c r="U12" s="591"/>
      <c r="V12" s="591"/>
      <c r="W12" s="591"/>
      <c r="X12" s="591"/>
      <c r="Y12" s="591"/>
      <c r="Z12" s="591"/>
      <c r="AA12" s="591"/>
      <c r="AB12" s="591"/>
      <c r="AC12" s="591"/>
      <c r="AD12" s="591"/>
      <c r="AE12" s="591"/>
      <c r="AF12" s="591"/>
      <c r="AG12" s="591"/>
      <c r="AH12" s="591"/>
      <c r="AI12" s="591"/>
      <c r="AJ12" s="591"/>
      <c r="AK12" s="591"/>
      <c r="AL12" s="591"/>
      <c r="AM12" s="591"/>
      <c r="AN12" s="591"/>
      <c r="AO12" s="591"/>
      <c r="AP12" s="591"/>
      <c r="AQ12" s="591"/>
      <c r="AR12" s="591"/>
      <c r="AS12" s="591"/>
      <c r="AT12" s="591"/>
      <c r="AU12" s="591"/>
      <c r="AV12" s="591"/>
      <c r="AW12" s="591"/>
      <c r="AX12" s="591"/>
      <c r="AY12" s="591"/>
      <c r="AZ12" s="591"/>
      <c r="BA12" s="591"/>
      <c r="BB12" s="591"/>
      <c r="BC12" s="591"/>
      <c r="BD12" s="591"/>
      <c r="BE12" s="591"/>
      <c r="BF12" s="591"/>
      <c r="BG12" s="591"/>
      <c r="BH12" s="591"/>
      <c r="BI12" s="591"/>
      <c r="BJ12" s="591"/>
      <c r="BK12" s="591"/>
      <c r="BL12" s="591"/>
      <c r="BM12" s="591"/>
      <c r="BN12" s="591"/>
      <c r="BO12" s="591"/>
      <c r="BP12" s="591"/>
      <c r="BQ12" s="591"/>
      <c r="BR12" s="591"/>
      <c r="BS12" s="591"/>
      <c r="BT12" s="591"/>
      <c r="BU12" s="591"/>
      <c r="BV12" s="591"/>
      <c r="BW12" s="591"/>
      <c r="BX12" s="591"/>
      <c r="BY12" s="591"/>
      <c r="BZ12" s="591"/>
      <c r="CA12" s="591"/>
      <c r="CB12" s="591"/>
      <c r="CC12" s="591"/>
      <c r="CD12" s="591"/>
      <c r="CE12" s="591"/>
      <c r="CF12" s="591"/>
      <c r="CG12" s="591"/>
      <c r="CH12" s="591"/>
      <c r="CI12" s="591"/>
      <c r="CJ12" s="591"/>
      <c r="CK12" s="591"/>
      <c r="CL12" s="591"/>
      <c r="CM12" s="591"/>
      <c r="CN12" s="591"/>
      <c r="CO12" s="591"/>
      <c r="CP12" s="591"/>
      <c r="CQ12" s="591"/>
      <c r="CR12" s="591"/>
      <c r="CS12" s="591"/>
      <c r="CT12" s="591"/>
      <c r="CU12" s="591"/>
      <c r="CV12" s="591"/>
      <c r="CW12" s="591"/>
      <c r="CX12" s="591"/>
      <c r="CY12" s="591"/>
      <c r="CZ12" s="591"/>
      <c r="DA12" s="591"/>
      <c r="DB12" s="591"/>
      <c r="DC12" s="591"/>
      <c r="DD12" s="591"/>
      <c r="DE12" s="591"/>
      <c r="DF12" s="591"/>
      <c r="DG12" s="591"/>
      <c r="DH12" s="591"/>
      <c r="DI12" s="591"/>
      <c r="DJ12" s="591"/>
      <c r="DK12" s="591"/>
      <c r="DL12" s="591"/>
      <c r="DM12" s="591"/>
      <c r="DN12" s="591"/>
      <c r="DO12" s="591"/>
      <c r="DP12" s="591"/>
      <c r="DQ12" s="591"/>
      <c r="DR12" s="591"/>
      <c r="DS12" s="591"/>
      <c r="DT12" s="591"/>
      <c r="DU12" s="591"/>
      <c r="DV12" s="591"/>
      <c r="DW12" s="591"/>
      <c r="DX12" s="591"/>
      <c r="DY12" s="591"/>
      <c r="DZ12" s="591"/>
      <c r="EA12" s="591"/>
      <c r="EB12" s="591"/>
      <c r="EC12" s="591"/>
      <c r="ED12" s="591"/>
      <c r="EE12" s="591"/>
      <c r="EF12" s="591"/>
      <c r="EG12" s="591"/>
      <c r="EH12" s="591"/>
      <c r="EI12" s="591"/>
      <c r="EJ12" s="591"/>
      <c r="EK12" s="591"/>
      <c r="EL12" s="591"/>
      <c r="EM12" s="591"/>
      <c r="EN12" s="591"/>
      <c r="EO12" s="591"/>
      <c r="EP12" s="591"/>
      <c r="EQ12" s="591"/>
      <c r="ER12" s="591"/>
      <c r="ES12" s="591"/>
      <c r="ET12" s="591"/>
      <c r="EU12" s="591"/>
      <c r="EV12" s="591"/>
      <c r="EW12" s="591"/>
      <c r="EX12" s="591"/>
      <c r="EY12" s="591"/>
      <c r="EZ12" s="591"/>
      <c r="FA12" s="591"/>
      <c r="FB12" s="591"/>
      <c r="FC12" s="591"/>
      <c r="FD12" s="591"/>
      <c r="FE12" s="591"/>
      <c r="FF12" s="591"/>
      <c r="FG12" s="591"/>
      <c r="FH12" s="591"/>
      <c r="FI12" s="591"/>
      <c r="FJ12" s="591"/>
      <c r="FK12" s="591"/>
      <c r="FL12" s="591"/>
      <c r="FM12" s="591"/>
      <c r="FN12" s="591"/>
      <c r="FO12" s="591"/>
      <c r="FP12" s="591"/>
      <c r="FQ12" s="591"/>
      <c r="FR12" s="591"/>
      <c r="FS12" s="591"/>
      <c r="FT12" s="591"/>
      <c r="FU12" s="591"/>
      <c r="FV12" s="591"/>
      <c r="FW12" s="591"/>
      <c r="FX12" s="591"/>
      <c r="FY12" s="591"/>
      <c r="FZ12" s="591"/>
      <c r="GA12" s="591"/>
      <c r="GB12" s="591"/>
      <c r="GC12" s="591"/>
      <c r="GD12" s="591"/>
      <c r="GE12" s="591"/>
      <c r="GF12" s="591"/>
      <c r="GG12" s="591"/>
      <c r="GH12" s="591"/>
      <c r="GI12" s="591"/>
      <c r="GJ12" s="591"/>
      <c r="GK12" s="591"/>
      <c r="GL12" s="591"/>
      <c r="GM12" s="591"/>
      <c r="GN12" s="591"/>
      <c r="GO12" s="591"/>
      <c r="GP12" s="591"/>
      <c r="GQ12" s="591"/>
      <c r="GR12" s="591"/>
      <c r="GS12" s="591"/>
      <c r="GT12" s="591"/>
      <c r="GU12" s="591"/>
      <c r="GV12" s="591"/>
      <c r="GW12" s="591"/>
      <c r="GX12" s="591"/>
      <c r="GY12" s="591"/>
      <c r="GZ12" s="591"/>
      <c r="HA12" s="591"/>
      <c r="HB12" s="591"/>
      <c r="HC12" s="591"/>
      <c r="HD12" s="591"/>
      <c r="HE12" s="591"/>
      <c r="HF12" s="591"/>
      <c r="HG12" s="591"/>
      <c r="HH12" s="591"/>
      <c r="HI12" s="591"/>
      <c r="HJ12" s="591"/>
      <c r="HK12" s="591"/>
      <c r="HL12" s="591"/>
      <c r="HM12" s="591"/>
      <c r="HN12" s="591"/>
      <c r="HO12" s="591"/>
      <c r="HP12" s="591"/>
      <c r="HQ12" s="591"/>
      <c r="HR12" s="591"/>
      <c r="HS12" s="591"/>
      <c r="HT12" s="591"/>
      <c r="HU12" s="591"/>
      <c r="HV12" s="591"/>
      <c r="HW12" s="591"/>
      <c r="HX12" s="591"/>
      <c r="HY12" s="591"/>
      <c r="HZ12" s="591"/>
      <c r="IA12" s="591"/>
      <c r="IB12" s="591"/>
      <c r="IC12" s="591"/>
      <c r="ID12" s="591"/>
      <c r="IE12" s="591"/>
      <c r="IF12" s="591"/>
      <c r="IG12" s="591"/>
      <c r="IH12" s="591"/>
      <c r="II12" s="591"/>
      <c r="IJ12" s="591"/>
      <c r="IK12" s="591"/>
      <c r="IL12" s="591"/>
      <c r="IM12" s="591"/>
      <c r="IN12" s="591"/>
      <c r="IO12" s="591"/>
      <c r="IP12" s="591"/>
      <c r="IQ12" s="591"/>
      <c r="IR12" s="591"/>
      <c r="IS12" s="591"/>
      <c r="IT12" s="38"/>
    </row>
    <row r="13" spans="1:254" ht="16.5" x14ac:dyDescent="0.3">
      <c r="A13" s="2212">
        <v>3</v>
      </c>
      <c r="B13" s="2217">
        <v>2</v>
      </c>
      <c r="C13" s="2219" t="s">
        <v>814</v>
      </c>
      <c r="D13" s="2220"/>
      <c r="E13" s="2223">
        <v>288000</v>
      </c>
      <c r="F13" s="591"/>
      <c r="G13" s="591"/>
      <c r="H13" s="591"/>
      <c r="I13" s="591"/>
      <c r="J13" s="591"/>
      <c r="K13" s="591"/>
      <c r="L13" s="591"/>
      <c r="M13" s="591"/>
      <c r="N13" s="591"/>
      <c r="O13" s="591"/>
      <c r="P13" s="591"/>
      <c r="Q13" s="591"/>
      <c r="R13" s="591"/>
      <c r="S13" s="591"/>
      <c r="T13" s="591"/>
      <c r="U13" s="591"/>
      <c r="V13" s="591"/>
      <c r="W13" s="591"/>
      <c r="X13" s="591"/>
      <c r="Y13" s="591"/>
      <c r="Z13" s="591"/>
      <c r="AA13" s="591"/>
      <c r="AB13" s="591"/>
      <c r="AC13" s="591"/>
      <c r="AD13" s="591"/>
      <c r="AE13" s="591"/>
      <c r="AF13" s="591"/>
      <c r="AG13" s="591"/>
      <c r="AH13" s="591"/>
      <c r="AI13" s="591"/>
      <c r="AJ13" s="591"/>
      <c r="AK13" s="591"/>
      <c r="AL13" s="591"/>
      <c r="AM13" s="591"/>
      <c r="AN13" s="591"/>
      <c r="AO13" s="591"/>
      <c r="AP13" s="591"/>
      <c r="AQ13" s="591"/>
      <c r="AR13" s="591"/>
      <c r="AS13" s="591"/>
      <c r="AT13" s="591"/>
      <c r="AU13" s="591"/>
      <c r="AV13" s="591"/>
      <c r="AW13" s="591"/>
      <c r="AX13" s="591"/>
      <c r="AY13" s="591"/>
      <c r="AZ13" s="591"/>
      <c r="BA13" s="591"/>
      <c r="BB13" s="591"/>
      <c r="BC13" s="591"/>
      <c r="BD13" s="591"/>
      <c r="BE13" s="591"/>
      <c r="BF13" s="591"/>
      <c r="BG13" s="591"/>
      <c r="BH13" s="591"/>
      <c r="BI13" s="591"/>
      <c r="BJ13" s="591"/>
      <c r="BK13" s="591"/>
      <c r="BL13" s="591"/>
      <c r="BM13" s="591"/>
      <c r="BN13" s="591"/>
      <c r="BO13" s="591"/>
      <c r="BP13" s="591"/>
      <c r="BQ13" s="591"/>
      <c r="BR13" s="591"/>
      <c r="BS13" s="591"/>
      <c r="BT13" s="591"/>
      <c r="BU13" s="591"/>
      <c r="BV13" s="591"/>
      <c r="BW13" s="591"/>
      <c r="BX13" s="591"/>
      <c r="BY13" s="591"/>
      <c r="BZ13" s="591"/>
      <c r="CA13" s="591"/>
      <c r="CB13" s="591"/>
      <c r="CC13" s="591"/>
      <c r="CD13" s="591"/>
      <c r="CE13" s="591"/>
      <c r="CF13" s="591"/>
      <c r="CG13" s="591"/>
      <c r="CH13" s="591"/>
      <c r="CI13" s="591"/>
      <c r="CJ13" s="591"/>
      <c r="CK13" s="591"/>
      <c r="CL13" s="591"/>
      <c r="CM13" s="591"/>
      <c r="CN13" s="591"/>
      <c r="CO13" s="591"/>
      <c r="CP13" s="591"/>
      <c r="CQ13" s="591"/>
      <c r="CR13" s="591"/>
      <c r="CS13" s="591"/>
      <c r="CT13" s="591"/>
      <c r="CU13" s="591"/>
      <c r="CV13" s="591"/>
      <c r="CW13" s="591"/>
      <c r="CX13" s="591"/>
      <c r="CY13" s="591"/>
      <c r="CZ13" s="591"/>
      <c r="DA13" s="591"/>
      <c r="DB13" s="591"/>
      <c r="DC13" s="591"/>
      <c r="DD13" s="591"/>
      <c r="DE13" s="591"/>
      <c r="DF13" s="591"/>
      <c r="DG13" s="591"/>
      <c r="DH13" s="591"/>
      <c r="DI13" s="591"/>
      <c r="DJ13" s="591"/>
      <c r="DK13" s="591"/>
      <c r="DL13" s="591"/>
      <c r="DM13" s="591"/>
      <c r="DN13" s="591"/>
      <c r="DO13" s="591"/>
      <c r="DP13" s="591"/>
      <c r="DQ13" s="591"/>
      <c r="DR13" s="591"/>
      <c r="DS13" s="591"/>
      <c r="DT13" s="591"/>
      <c r="DU13" s="591"/>
      <c r="DV13" s="591"/>
      <c r="DW13" s="591"/>
      <c r="DX13" s="591"/>
      <c r="DY13" s="591"/>
      <c r="DZ13" s="591"/>
      <c r="EA13" s="591"/>
      <c r="EB13" s="591"/>
      <c r="EC13" s="591"/>
      <c r="ED13" s="591"/>
      <c r="EE13" s="591"/>
      <c r="EF13" s="591"/>
      <c r="EG13" s="591"/>
      <c r="EH13" s="591"/>
      <c r="EI13" s="591"/>
      <c r="EJ13" s="591"/>
      <c r="EK13" s="591"/>
      <c r="EL13" s="591"/>
      <c r="EM13" s="591"/>
      <c r="EN13" s="591"/>
      <c r="EO13" s="591"/>
      <c r="EP13" s="591"/>
      <c r="EQ13" s="591"/>
      <c r="ER13" s="591"/>
      <c r="ES13" s="591"/>
      <c r="ET13" s="591"/>
      <c r="EU13" s="591"/>
      <c r="EV13" s="591"/>
      <c r="EW13" s="591"/>
      <c r="EX13" s="591"/>
      <c r="EY13" s="591"/>
      <c r="EZ13" s="591"/>
      <c r="FA13" s="591"/>
      <c r="FB13" s="591"/>
      <c r="FC13" s="591"/>
      <c r="FD13" s="591"/>
      <c r="FE13" s="591"/>
      <c r="FF13" s="591"/>
      <c r="FG13" s="591"/>
      <c r="FH13" s="591"/>
      <c r="FI13" s="591"/>
      <c r="FJ13" s="591"/>
      <c r="FK13" s="591"/>
      <c r="FL13" s="591"/>
      <c r="FM13" s="591"/>
      <c r="FN13" s="591"/>
      <c r="FO13" s="591"/>
      <c r="FP13" s="591"/>
      <c r="FQ13" s="591"/>
      <c r="FR13" s="591"/>
      <c r="FS13" s="591"/>
      <c r="FT13" s="591"/>
      <c r="FU13" s="591"/>
      <c r="FV13" s="591"/>
      <c r="FW13" s="591"/>
      <c r="FX13" s="591"/>
      <c r="FY13" s="591"/>
      <c r="FZ13" s="591"/>
      <c r="GA13" s="591"/>
      <c r="GB13" s="591"/>
      <c r="GC13" s="591"/>
      <c r="GD13" s="591"/>
      <c r="GE13" s="591"/>
      <c r="GF13" s="591"/>
      <c r="GG13" s="591"/>
      <c r="GH13" s="591"/>
      <c r="GI13" s="591"/>
      <c r="GJ13" s="591"/>
      <c r="GK13" s="591"/>
      <c r="GL13" s="591"/>
      <c r="GM13" s="591"/>
      <c r="GN13" s="591"/>
      <c r="GO13" s="591"/>
      <c r="GP13" s="591"/>
      <c r="GQ13" s="591"/>
      <c r="GR13" s="591"/>
      <c r="GS13" s="591"/>
      <c r="GT13" s="591"/>
      <c r="GU13" s="591"/>
      <c r="GV13" s="591"/>
      <c r="GW13" s="591"/>
      <c r="GX13" s="591"/>
      <c r="GY13" s="591"/>
      <c r="GZ13" s="591"/>
      <c r="HA13" s="591"/>
      <c r="HB13" s="591"/>
      <c r="HC13" s="591"/>
      <c r="HD13" s="591"/>
      <c r="HE13" s="591"/>
      <c r="HF13" s="591"/>
      <c r="HG13" s="591"/>
      <c r="HH13" s="591"/>
      <c r="HI13" s="591"/>
      <c r="HJ13" s="591"/>
      <c r="HK13" s="591"/>
      <c r="HL13" s="591"/>
      <c r="HM13" s="591"/>
      <c r="HN13" s="591"/>
      <c r="HO13" s="591"/>
      <c r="HP13" s="591"/>
      <c r="HQ13" s="591"/>
      <c r="HR13" s="591"/>
      <c r="HS13" s="591"/>
      <c r="HT13" s="591"/>
      <c r="HU13" s="591"/>
      <c r="HV13" s="591"/>
      <c r="HW13" s="591"/>
      <c r="HX13" s="591"/>
      <c r="HY13" s="591"/>
      <c r="HZ13" s="591"/>
      <c r="IA13" s="591"/>
      <c r="IB13" s="591"/>
      <c r="IC13" s="591"/>
      <c r="ID13" s="591"/>
      <c r="IE13" s="591"/>
      <c r="IF13" s="591"/>
      <c r="IG13" s="591"/>
      <c r="IH13" s="591"/>
      <c r="II13" s="591"/>
      <c r="IJ13" s="591"/>
      <c r="IK13" s="591"/>
      <c r="IL13" s="591"/>
      <c r="IM13" s="591"/>
      <c r="IN13" s="591"/>
      <c r="IO13" s="591"/>
      <c r="IP13" s="591"/>
      <c r="IQ13" s="591"/>
      <c r="IR13" s="591"/>
      <c r="IS13" s="591"/>
      <c r="IT13" s="38"/>
    </row>
    <row r="14" spans="1:254" ht="49.5" x14ac:dyDescent="0.3">
      <c r="A14" s="2212"/>
      <c r="B14" s="2218"/>
      <c r="C14" s="1331"/>
      <c r="D14" s="1333" t="s">
        <v>516</v>
      </c>
      <c r="E14" s="2224"/>
      <c r="F14" s="591"/>
      <c r="G14" s="591"/>
      <c r="H14" s="591"/>
      <c r="I14" s="591"/>
      <c r="J14" s="591"/>
      <c r="K14" s="591"/>
      <c r="L14" s="591"/>
      <c r="M14" s="591"/>
      <c r="N14" s="591"/>
      <c r="O14" s="591"/>
      <c r="P14" s="591"/>
      <c r="Q14" s="591"/>
      <c r="R14" s="591"/>
      <c r="S14" s="591"/>
      <c r="T14" s="591"/>
      <c r="U14" s="591"/>
      <c r="V14" s="591"/>
      <c r="W14" s="591"/>
      <c r="X14" s="591"/>
      <c r="Y14" s="591"/>
      <c r="Z14" s="591"/>
      <c r="AA14" s="591"/>
      <c r="AB14" s="591"/>
      <c r="AC14" s="591"/>
      <c r="AD14" s="591"/>
      <c r="AE14" s="591"/>
      <c r="AF14" s="591"/>
      <c r="AG14" s="591"/>
      <c r="AH14" s="591"/>
      <c r="AI14" s="591"/>
      <c r="AJ14" s="591"/>
      <c r="AK14" s="591"/>
      <c r="AL14" s="591"/>
      <c r="AM14" s="591"/>
      <c r="AN14" s="591"/>
      <c r="AO14" s="591"/>
      <c r="AP14" s="591"/>
      <c r="AQ14" s="591"/>
      <c r="AR14" s="591"/>
      <c r="AS14" s="591"/>
      <c r="AT14" s="591"/>
      <c r="AU14" s="591"/>
      <c r="AV14" s="591"/>
      <c r="AW14" s="591"/>
      <c r="AX14" s="591"/>
      <c r="AY14" s="591"/>
      <c r="AZ14" s="591"/>
      <c r="BA14" s="591"/>
      <c r="BB14" s="591"/>
      <c r="BC14" s="591"/>
      <c r="BD14" s="591"/>
      <c r="BE14" s="591"/>
      <c r="BF14" s="591"/>
      <c r="BG14" s="591"/>
      <c r="BH14" s="591"/>
      <c r="BI14" s="591"/>
      <c r="BJ14" s="591"/>
      <c r="BK14" s="591"/>
      <c r="BL14" s="591"/>
      <c r="BM14" s="591"/>
      <c r="BN14" s="591"/>
      <c r="BO14" s="591"/>
      <c r="BP14" s="591"/>
      <c r="BQ14" s="591"/>
      <c r="BR14" s="591"/>
      <c r="BS14" s="591"/>
      <c r="BT14" s="591"/>
      <c r="BU14" s="591"/>
      <c r="BV14" s="591"/>
      <c r="BW14" s="591"/>
      <c r="BX14" s="591"/>
      <c r="BY14" s="591"/>
      <c r="BZ14" s="591"/>
      <c r="CA14" s="591"/>
      <c r="CB14" s="591"/>
      <c r="CC14" s="591"/>
      <c r="CD14" s="591"/>
      <c r="CE14" s="591"/>
      <c r="CF14" s="591"/>
      <c r="CG14" s="591"/>
      <c r="CH14" s="591"/>
      <c r="CI14" s="591"/>
      <c r="CJ14" s="591"/>
      <c r="CK14" s="591"/>
      <c r="CL14" s="591"/>
      <c r="CM14" s="591"/>
      <c r="CN14" s="591"/>
      <c r="CO14" s="591"/>
      <c r="CP14" s="591"/>
      <c r="CQ14" s="591"/>
      <c r="CR14" s="591"/>
      <c r="CS14" s="591"/>
      <c r="CT14" s="591"/>
      <c r="CU14" s="591"/>
      <c r="CV14" s="591"/>
      <c r="CW14" s="591"/>
      <c r="CX14" s="591"/>
      <c r="CY14" s="591"/>
      <c r="CZ14" s="591"/>
      <c r="DA14" s="591"/>
      <c r="DB14" s="591"/>
      <c r="DC14" s="591"/>
      <c r="DD14" s="591"/>
      <c r="DE14" s="591"/>
      <c r="DF14" s="591"/>
      <c r="DG14" s="591"/>
      <c r="DH14" s="591"/>
      <c r="DI14" s="591"/>
      <c r="DJ14" s="591"/>
      <c r="DK14" s="591"/>
      <c r="DL14" s="591"/>
      <c r="DM14" s="591"/>
      <c r="DN14" s="591"/>
      <c r="DO14" s="591"/>
      <c r="DP14" s="591"/>
      <c r="DQ14" s="591"/>
      <c r="DR14" s="591"/>
      <c r="DS14" s="591"/>
      <c r="DT14" s="591"/>
      <c r="DU14" s="591"/>
      <c r="DV14" s="591"/>
      <c r="DW14" s="591"/>
      <c r="DX14" s="591"/>
      <c r="DY14" s="591"/>
      <c r="DZ14" s="591"/>
      <c r="EA14" s="591"/>
      <c r="EB14" s="591"/>
      <c r="EC14" s="591"/>
      <c r="ED14" s="591"/>
      <c r="EE14" s="591"/>
      <c r="EF14" s="591"/>
      <c r="EG14" s="591"/>
      <c r="EH14" s="591"/>
      <c r="EI14" s="591"/>
      <c r="EJ14" s="591"/>
      <c r="EK14" s="591"/>
      <c r="EL14" s="591"/>
      <c r="EM14" s="591"/>
      <c r="EN14" s="591"/>
      <c r="EO14" s="591"/>
      <c r="EP14" s="591"/>
      <c r="EQ14" s="591"/>
      <c r="ER14" s="591"/>
      <c r="ES14" s="591"/>
      <c r="ET14" s="591"/>
      <c r="EU14" s="591"/>
      <c r="EV14" s="591"/>
      <c r="EW14" s="591"/>
      <c r="EX14" s="591"/>
      <c r="EY14" s="591"/>
      <c r="EZ14" s="591"/>
      <c r="FA14" s="591"/>
      <c r="FB14" s="591"/>
      <c r="FC14" s="591"/>
      <c r="FD14" s="591"/>
      <c r="FE14" s="591"/>
      <c r="FF14" s="591"/>
      <c r="FG14" s="591"/>
      <c r="FH14" s="591"/>
      <c r="FI14" s="591"/>
      <c r="FJ14" s="591"/>
      <c r="FK14" s="591"/>
      <c r="FL14" s="591"/>
      <c r="FM14" s="591"/>
      <c r="FN14" s="591"/>
      <c r="FO14" s="591"/>
      <c r="FP14" s="591"/>
      <c r="FQ14" s="591"/>
      <c r="FR14" s="591"/>
      <c r="FS14" s="591"/>
      <c r="FT14" s="591"/>
      <c r="FU14" s="591"/>
      <c r="FV14" s="591"/>
      <c r="FW14" s="591"/>
      <c r="FX14" s="591"/>
      <c r="FY14" s="591"/>
      <c r="FZ14" s="591"/>
      <c r="GA14" s="591"/>
      <c r="GB14" s="591"/>
      <c r="GC14" s="591"/>
      <c r="GD14" s="591"/>
      <c r="GE14" s="591"/>
      <c r="GF14" s="591"/>
      <c r="GG14" s="591"/>
      <c r="GH14" s="591"/>
      <c r="GI14" s="591"/>
      <c r="GJ14" s="591"/>
      <c r="GK14" s="591"/>
      <c r="GL14" s="591"/>
      <c r="GM14" s="591"/>
      <c r="GN14" s="591"/>
      <c r="GO14" s="591"/>
      <c r="GP14" s="591"/>
      <c r="GQ14" s="591"/>
      <c r="GR14" s="591"/>
      <c r="GS14" s="591"/>
      <c r="GT14" s="591"/>
      <c r="GU14" s="591"/>
      <c r="GV14" s="591"/>
      <c r="GW14" s="591"/>
      <c r="GX14" s="591"/>
      <c r="GY14" s="591"/>
      <c r="GZ14" s="591"/>
      <c r="HA14" s="591"/>
      <c r="HB14" s="591"/>
      <c r="HC14" s="591"/>
      <c r="HD14" s="591"/>
      <c r="HE14" s="591"/>
      <c r="HF14" s="591"/>
      <c r="HG14" s="591"/>
      <c r="HH14" s="591"/>
      <c r="HI14" s="591"/>
      <c r="HJ14" s="591"/>
      <c r="HK14" s="591"/>
      <c r="HL14" s="591"/>
      <c r="HM14" s="591"/>
      <c r="HN14" s="591"/>
      <c r="HO14" s="591"/>
      <c r="HP14" s="591"/>
      <c r="HQ14" s="591"/>
      <c r="HR14" s="591"/>
      <c r="HS14" s="591"/>
      <c r="HT14" s="591"/>
      <c r="HU14" s="591"/>
      <c r="HV14" s="591"/>
      <c r="HW14" s="591"/>
      <c r="HX14" s="591"/>
      <c r="HY14" s="591"/>
      <c r="HZ14" s="591"/>
      <c r="IA14" s="591"/>
      <c r="IB14" s="591"/>
      <c r="IC14" s="591"/>
      <c r="ID14" s="591"/>
      <c r="IE14" s="591"/>
      <c r="IF14" s="591"/>
      <c r="IG14" s="591"/>
      <c r="IH14" s="591"/>
      <c r="II14" s="591"/>
      <c r="IJ14" s="591"/>
      <c r="IK14" s="591"/>
      <c r="IL14" s="591"/>
      <c r="IM14" s="591"/>
      <c r="IN14" s="591"/>
      <c r="IO14" s="591"/>
      <c r="IP14" s="591"/>
      <c r="IQ14" s="591"/>
      <c r="IR14" s="591"/>
      <c r="IS14" s="591"/>
      <c r="IT14" s="38"/>
    </row>
    <row r="15" spans="1:254" ht="16.5" customHeight="1" x14ac:dyDescent="0.3">
      <c r="A15" s="2212">
        <v>4</v>
      </c>
      <c r="B15" s="2213">
        <v>3</v>
      </c>
      <c r="C15" s="2215" t="s">
        <v>591</v>
      </c>
      <c r="D15" s="2216"/>
      <c r="E15" s="2223">
        <v>217000</v>
      </c>
      <c r="F15" s="591"/>
      <c r="G15" s="591"/>
      <c r="H15" s="591"/>
      <c r="I15" s="591"/>
      <c r="J15" s="591"/>
      <c r="K15" s="591"/>
      <c r="L15" s="591"/>
      <c r="M15" s="591"/>
      <c r="N15" s="591"/>
      <c r="O15" s="591"/>
      <c r="P15" s="591"/>
      <c r="Q15" s="591"/>
      <c r="R15" s="591"/>
      <c r="S15" s="591"/>
      <c r="T15" s="591"/>
      <c r="U15" s="591"/>
      <c r="V15" s="591"/>
      <c r="W15" s="591"/>
      <c r="X15" s="591"/>
      <c r="Y15" s="591"/>
      <c r="Z15" s="591"/>
      <c r="AA15" s="591"/>
      <c r="AB15" s="591"/>
      <c r="AC15" s="591"/>
      <c r="AD15" s="591"/>
      <c r="AE15" s="591"/>
      <c r="AF15" s="591"/>
      <c r="AG15" s="591"/>
      <c r="AH15" s="591"/>
      <c r="AI15" s="591"/>
      <c r="AJ15" s="591"/>
      <c r="AK15" s="591"/>
      <c r="AL15" s="591"/>
      <c r="AM15" s="591"/>
      <c r="AN15" s="591"/>
      <c r="AO15" s="591"/>
      <c r="AP15" s="591"/>
      <c r="AQ15" s="591"/>
      <c r="AR15" s="591"/>
      <c r="AS15" s="591"/>
      <c r="AT15" s="591"/>
      <c r="AU15" s="591"/>
      <c r="AV15" s="591"/>
      <c r="AW15" s="591"/>
      <c r="AX15" s="591"/>
      <c r="AY15" s="591"/>
      <c r="AZ15" s="591"/>
      <c r="BA15" s="591"/>
      <c r="BB15" s="591"/>
      <c r="BC15" s="591"/>
      <c r="BD15" s="591"/>
      <c r="BE15" s="591"/>
      <c r="BF15" s="591"/>
      <c r="BG15" s="591"/>
      <c r="BH15" s="591"/>
      <c r="BI15" s="591"/>
      <c r="BJ15" s="591"/>
      <c r="BK15" s="591"/>
      <c r="BL15" s="591"/>
      <c r="BM15" s="591"/>
      <c r="BN15" s="591"/>
      <c r="BO15" s="591"/>
      <c r="BP15" s="591"/>
      <c r="BQ15" s="591"/>
      <c r="BR15" s="591"/>
      <c r="BS15" s="591"/>
      <c r="BT15" s="591"/>
      <c r="BU15" s="591"/>
      <c r="BV15" s="591"/>
      <c r="BW15" s="591"/>
      <c r="BX15" s="591"/>
      <c r="BY15" s="591"/>
      <c r="BZ15" s="591"/>
      <c r="CA15" s="591"/>
      <c r="CB15" s="591"/>
      <c r="CC15" s="591"/>
      <c r="CD15" s="591"/>
      <c r="CE15" s="591"/>
      <c r="CF15" s="591"/>
      <c r="CG15" s="591"/>
      <c r="CH15" s="591"/>
      <c r="CI15" s="591"/>
      <c r="CJ15" s="591"/>
      <c r="CK15" s="591"/>
      <c r="CL15" s="591"/>
      <c r="CM15" s="591"/>
      <c r="CN15" s="591"/>
      <c r="CO15" s="591"/>
      <c r="CP15" s="591"/>
      <c r="CQ15" s="591"/>
      <c r="CR15" s="591"/>
      <c r="CS15" s="591"/>
      <c r="CT15" s="591"/>
      <c r="CU15" s="591"/>
      <c r="CV15" s="591"/>
      <c r="CW15" s="591"/>
      <c r="CX15" s="591"/>
      <c r="CY15" s="591"/>
      <c r="CZ15" s="591"/>
      <c r="DA15" s="591"/>
      <c r="DB15" s="591"/>
      <c r="DC15" s="591"/>
      <c r="DD15" s="591"/>
      <c r="DE15" s="591"/>
      <c r="DF15" s="591"/>
      <c r="DG15" s="591"/>
      <c r="DH15" s="591"/>
      <c r="DI15" s="591"/>
      <c r="DJ15" s="591"/>
      <c r="DK15" s="591"/>
      <c r="DL15" s="591"/>
      <c r="DM15" s="591"/>
      <c r="DN15" s="591"/>
      <c r="DO15" s="591"/>
      <c r="DP15" s="591"/>
      <c r="DQ15" s="591"/>
      <c r="DR15" s="591"/>
      <c r="DS15" s="591"/>
      <c r="DT15" s="591"/>
      <c r="DU15" s="591"/>
      <c r="DV15" s="591"/>
      <c r="DW15" s="591"/>
      <c r="DX15" s="591"/>
      <c r="DY15" s="591"/>
      <c r="DZ15" s="591"/>
      <c r="EA15" s="591"/>
      <c r="EB15" s="591"/>
      <c r="EC15" s="591"/>
      <c r="ED15" s="591"/>
      <c r="EE15" s="591"/>
      <c r="EF15" s="591"/>
      <c r="EG15" s="591"/>
      <c r="EH15" s="591"/>
      <c r="EI15" s="591"/>
      <c r="EJ15" s="591"/>
      <c r="EK15" s="591"/>
      <c r="EL15" s="591"/>
      <c r="EM15" s="591"/>
      <c r="EN15" s="591"/>
      <c r="EO15" s="591"/>
      <c r="EP15" s="591"/>
      <c r="EQ15" s="591"/>
      <c r="ER15" s="591"/>
      <c r="ES15" s="591"/>
      <c r="ET15" s="591"/>
      <c r="EU15" s="591"/>
      <c r="EV15" s="591"/>
      <c r="EW15" s="591"/>
      <c r="EX15" s="591"/>
      <c r="EY15" s="591"/>
      <c r="EZ15" s="591"/>
      <c r="FA15" s="591"/>
      <c r="FB15" s="591"/>
      <c r="FC15" s="591"/>
      <c r="FD15" s="591"/>
      <c r="FE15" s="591"/>
      <c r="FF15" s="591"/>
      <c r="FG15" s="591"/>
      <c r="FH15" s="591"/>
      <c r="FI15" s="591"/>
      <c r="FJ15" s="591"/>
      <c r="FK15" s="591"/>
      <c r="FL15" s="591"/>
      <c r="FM15" s="591"/>
      <c r="FN15" s="591"/>
      <c r="FO15" s="591"/>
      <c r="FP15" s="591"/>
      <c r="FQ15" s="591"/>
      <c r="FR15" s="591"/>
      <c r="FS15" s="591"/>
      <c r="FT15" s="591"/>
      <c r="FU15" s="591"/>
      <c r="FV15" s="591"/>
      <c r="FW15" s="591"/>
      <c r="FX15" s="591"/>
      <c r="FY15" s="591"/>
      <c r="FZ15" s="591"/>
      <c r="GA15" s="591"/>
      <c r="GB15" s="591"/>
      <c r="GC15" s="591"/>
      <c r="GD15" s="591"/>
      <c r="GE15" s="591"/>
      <c r="GF15" s="591"/>
      <c r="GG15" s="591"/>
      <c r="GH15" s="591"/>
      <c r="GI15" s="591"/>
      <c r="GJ15" s="591"/>
      <c r="GK15" s="591"/>
      <c r="GL15" s="591"/>
      <c r="GM15" s="591"/>
      <c r="GN15" s="591"/>
      <c r="GO15" s="591"/>
      <c r="GP15" s="591"/>
      <c r="GQ15" s="591"/>
      <c r="GR15" s="591"/>
      <c r="GS15" s="591"/>
      <c r="GT15" s="591"/>
      <c r="GU15" s="591"/>
      <c r="GV15" s="591"/>
      <c r="GW15" s="591"/>
      <c r="GX15" s="591"/>
      <c r="GY15" s="591"/>
      <c r="GZ15" s="591"/>
      <c r="HA15" s="591"/>
      <c r="HB15" s="591"/>
      <c r="HC15" s="591"/>
      <c r="HD15" s="591"/>
      <c r="HE15" s="591"/>
      <c r="HF15" s="591"/>
      <c r="HG15" s="591"/>
      <c r="HH15" s="591"/>
      <c r="HI15" s="591"/>
      <c r="HJ15" s="591"/>
      <c r="HK15" s="591"/>
      <c r="HL15" s="591"/>
      <c r="HM15" s="591"/>
      <c r="HN15" s="591"/>
      <c r="HO15" s="591"/>
      <c r="HP15" s="591"/>
      <c r="HQ15" s="591"/>
      <c r="HR15" s="591"/>
      <c r="HS15" s="591"/>
      <c r="HT15" s="591"/>
      <c r="HU15" s="591"/>
      <c r="HV15" s="591"/>
      <c r="HW15" s="591"/>
      <c r="HX15" s="591"/>
      <c r="HY15" s="591"/>
      <c r="HZ15" s="591"/>
      <c r="IA15" s="591"/>
      <c r="IB15" s="591"/>
      <c r="IC15" s="591"/>
      <c r="ID15" s="591"/>
      <c r="IE15" s="591"/>
      <c r="IF15" s="591"/>
      <c r="IG15" s="591"/>
      <c r="IH15" s="591"/>
      <c r="II15" s="591"/>
      <c r="IJ15" s="591"/>
      <c r="IK15" s="591"/>
      <c r="IL15" s="591"/>
      <c r="IM15" s="591"/>
      <c r="IN15" s="591"/>
      <c r="IO15" s="591"/>
      <c r="IP15" s="591"/>
      <c r="IQ15" s="591"/>
      <c r="IR15" s="591"/>
      <c r="IS15" s="591"/>
      <c r="IT15" s="38"/>
    </row>
    <row r="16" spans="1:254" ht="16.5" x14ac:dyDescent="0.3">
      <c r="A16" s="2212"/>
      <c r="B16" s="2214"/>
      <c r="C16" s="1331"/>
      <c r="D16" s="1334" t="s">
        <v>815</v>
      </c>
      <c r="E16" s="2224"/>
      <c r="F16" s="591"/>
      <c r="G16" s="591"/>
      <c r="H16" s="591"/>
      <c r="I16" s="591"/>
      <c r="J16" s="591"/>
      <c r="K16" s="591"/>
      <c r="L16" s="591"/>
      <c r="M16" s="591"/>
      <c r="N16" s="591"/>
      <c r="O16" s="591"/>
      <c r="P16" s="591"/>
      <c r="Q16" s="591"/>
      <c r="R16" s="591"/>
      <c r="S16" s="591"/>
      <c r="T16" s="591"/>
      <c r="U16" s="591"/>
      <c r="V16" s="591"/>
      <c r="W16" s="591"/>
      <c r="X16" s="591"/>
      <c r="Y16" s="591"/>
      <c r="Z16" s="591"/>
      <c r="AA16" s="591"/>
      <c r="AB16" s="591"/>
      <c r="AC16" s="591"/>
      <c r="AD16" s="591"/>
      <c r="AE16" s="591"/>
      <c r="AF16" s="591"/>
      <c r="AG16" s="591"/>
      <c r="AH16" s="591"/>
      <c r="AI16" s="591"/>
      <c r="AJ16" s="591"/>
      <c r="AK16" s="591"/>
      <c r="AL16" s="591"/>
      <c r="AM16" s="591"/>
      <c r="AN16" s="591"/>
      <c r="AO16" s="591"/>
      <c r="AP16" s="591"/>
      <c r="AQ16" s="591"/>
      <c r="AR16" s="591"/>
      <c r="AS16" s="591"/>
      <c r="AT16" s="591"/>
      <c r="AU16" s="591"/>
      <c r="AV16" s="591"/>
      <c r="AW16" s="591"/>
      <c r="AX16" s="591"/>
      <c r="AY16" s="591"/>
      <c r="AZ16" s="591"/>
      <c r="BA16" s="591"/>
      <c r="BB16" s="591"/>
      <c r="BC16" s="591"/>
      <c r="BD16" s="591"/>
      <c r="BE16" s="591"/>
      <c r="BF16" s="591"/>
      <c r="BG16" s="591"/>
      <c r="BH16" s="591"/>
      <c r="BI16" s="591"/>
      <c r="BJ16" s="591"/>
      <c r="BK16" s="591"/>
      <c r="BL16" s="591"/>
      <c r="BM16" s="591"/>
      <c r="BN16" s="591"/>
      <c r="BO16" s="591"/>
      <c r="BP16" s="591"/>
      <c r="BQ16" s="591"/>
      <c r="BR16" s="591"/>
      <c r="BS16" s="591"/>
      <c r="BT16" s="591"/>
      <c r="BU16" s="591"/>
      <c r="BV16" s="591"/>
      <c r="BW16" s="591"/>
      <c r="BX16" s="591"/>
      <c r="BY16" s="591"/>
      <c r="BZ16" s="591"/>
      <c r="CA16" s="591"/>
      <c r="CB16" s="591"/>
      <c r="CC16" s="591"/>
      <c r="CD16" s="591"/>
      <c r="CE16" s="591"/>
      <c r="CF16" s="591"/>
      <c r="CG16" s="591"/>
      <c r="CH16" s="591"/>
      <c r="CI16" s="591"/>
      <c r="CJ16" s="591"/>
      <c r="CK16" s="591"/>
      <c r="CL16" s="591"/>
      <c r="CM16" s="591"/>
      <c r="CN16" s="591"/>
      <c r="CO16" s="591"/>
      <c r="CP16" s="591"/>
      <c r="CQ16" s="591"/>
      <c r="CR16" s="591"/>
      <c r="CS16" s="591"/>
      <c r="CT16" s="591"/>
      <c r="CU16" s="591"/>
      <c r="CV16" s="591"/>
      <c r="CW16" s="591"/>
      <c r="CX16" s="591"/>
      <c r="CY16" s="591"/>
      <c r="CZ16" s="591"/>
      <c r="DA16" s="591"/>
      <c r="DB16" s="591"/>
      <c r="DC16" s="591"/>
      <c r="DD16" s="591"/>
      <c r="DE16" s="591"/>
      <c r="DF16" s="591"/>
      <c r="DG16" s="591"/>
      <c r="DH16" s="591"/>
      <c r="DI16" s="591"/>
      <c r="DJ16" s="591"/>
      <c r="DK16" s="591"/>
      <c r="DL16" s="591"/>
      <c r="DM16" s="591"/>
      <c r="DN16" s="591"/>
      <c r="DO16" s="591"/>
      <c r="DP16" s="591"/>
      <c r="DQ16" s="591"/>
      <c r="DR16" s="591"/>
      <c r="DS16" s="591"/>
      <c r="DT16" s="591"/>
      <c r="DU16" s="591"/>
      <c r="DV16" s="591"/>
      <c r="DW16" s="591"/>
      <c r="DX16" s="591"/>
      <c r="DY16" s="591"/>
      <c r="DZ16" s="591"/>
      <c r="EA16" s="591"/>
      <c r="EB16" s="591"/>
      <c r="EC16" s="591"/>
      <c r="ED16" s="591"/>
      <c r="EE16" s="591"/>
      <c r="EF16" s="591"/>
      <c r="EG16" s="591"/>
      <c r="EH16" s="591"/>
      <c r="EI16" s="591"/>
      <c r="EJ16" s="591"/>
      <c r="EK16" s="591"/>
      <c r="EL16" s="591"/>
      <c r="EM16" s="591"/>
      <c r="EN16" s="591"/>
      <c r="EO16" s="591"/>
      <c r="EP16" s="591"/>
      <c r="EQ16" s="591"/>
      <c r="ER16" s="591"/>
      <c r="ES16" s="591"/>
      <c r="ET16" s="591"/>
      <c r="EU16" s="591"/>
      <c r="EV16" s="591"/>
      <c r="EW16" s="591"/>
      <c r="EX16" s="591"/>
      <c r="EY16" s="591"/>
      <c r="EZ16" s="591"/>
      <c r="FA16" s="591"/>
      <c r="FB16" s="591"/>
      <c r="FC16" s="591"/>
      <c r="FD16" s="591"/>
      <c r="FE16" s="591"/>
      <c r="FF16" s="591"/>
      <c r="FG16" s="591"/>
      <c r="FH16" s="591"/>
      <c r="FI16" s="591"/>
      <c r="FJ16" s="591"/>
      <c r="FK16" s="591"/>
      <c r="FL16" s="591"/>
      <c r="FM16" s="591"/>
      <c r="FN16" s="591"/>
      <c r="FO16" s="591"/>
      <c r="FP16" s="591"/>
      <c r="FQ16" s="591"/>
      <c r="FR16" s="591"/>
      <c r="FS16" s="591"/>
      <c r="FT16" s="591"/>
      <c r="FU16" s="591"/>
      <c r="FV16" s="591"/>
      <c r="FW16" s="591"/>
      <c r="FX16" s="591"/>
      <c r="FY16" s="591"/>
      <c r="FZ16" s="591"/>
      <c r="GA16" s="591"/>
      <c r="GB16" s="591"/>
      <c r="GC16" s="591"/>
      <c r="GD16" s="591"/>
      <c r="GE16" s="591"/>
      <c r="GF16" s="591"/>
      <c r="GG16" s="591"/>
      <c r="GH16" s="591"/>
      <c r="GI16" s="591"/>
      <c r="GJ16" s="591"/>
      <c r="GK16" s="591"/>
      <c r="GL16" s="591"/>
      <c r="GM16" s="591"/>
      <c r="GN16" s="591"/>
      <c r="GO16" s="591"/>
      <c r="GP16" s="591"/>
      <c r="GQ16" s="591"/>
      <c r="GR16" s="591"/>
      <c r="GS16" s="591"/>
      <c r="GT16" s="591"/>
      <c r="GU16" s="591"/>
      <c r="GV16" s="591"/>
      <c r="GW16" s="591"/>
      <c r="GX16" s="591"/>
      <c r="GY16" s="591"/>
      <c r="GZ16" s="591"/>
      <c r="HA16" s="591"/>
      <c r="HB16" s="591"/>
      <c r="HC16" s="591"/>
      <c r="HD16" s="591"/>
      <c r="HE16" s="591"/>
      <c r="HF16" s="591"/>
      <c r="HG16" s="591"/>
      <c r="HH16" s="591"/>
      <c r="HI16" s="591"/>
      <c r="HJ16" s="591"/>
      <c r="HK16" s="591"/>
      <c r="HL16" s="591"/>
      <c r="HM16" s="591"/>
      <c r="HN16" s="591"/>
      <c r="HO16" s="591"/>
      <c r="HP16" s="591"/>
      <c r="HQ16" s="591"/>
      <c r="HR16" s="591"/>
      <c r="HS16" s="591"/>
      <c r="HT16" s="591"/>
      <c r="HU16" s="591"/>
      <c r="HV16" s="591"/>
      <c r="HW16" s="591"/>
      <c r="HX16" s="591"/>
      <c r="HY16" s="591"/>
      <c r="HZ16" s="591"/>
      <c r="IA16" s="591"/>
      <c r="IB16" s="591"/>
      <c r="IC16" s="591"/>
      <c r="ID16" s="591"/>
      <c r="IE16" s="591"/>
      <c r="IF16" s="591"/>
      <c r="IG16" s="591"/>
      <c r="IH16" s="591"/>
      <c r="II16" s="591"/>
      <c r="IJ16" s="591"/>
      <c r="IK16" s="591"/>
      <c r="IL16" s="591"/>
      <c r="IM16" s="591"/>
      <c r="IN16" s="591"/>
      <c r="IO16" s="591"/>
      <c r="IP16" s="591"/>
      <c r="IQ16" s="591"/>
      <c r="IR16" s="591"/>
      <c r="IS16" s="591"/>
      <c r="IT16" s="38"/>
    </row>
    <row r="17" spans="1:254" ht="30.75" customHeight="1" x14ac:dyDescent="0.3">
      <c r="A17" s="2212">
        <v>5</v>
      </c>
      <c r="B17" s="2213">
        <v>4</v>
      </c>
      <c r="C17" s="2215" t="s">
        <v>816</v>
      </c>
      <c r="D17" s="2216"/>
      <c r="E17" s="2223">
        <v>20000</v>
      </c>
      <c r="F17" s="591"/>
      <c r="G17" s="591"/>
      <c r="H17" s="591"/>
      <c r="I17" s="591"/>
      <c r="J17" s="591"/>
      <c r="K17" s="591"/>
      <c r="L17" s="591"/>
      <c r="M17" s="591"/>
      <c r="N17" s="591"/>
      <c r="O17" s="591"/>
      <c r="P17" s="591"/>
      <c r="Q17" s="591"/>
      <c r="R17" s="591"/>
      <c r="S17" s="591"/>
      <c r="T17" s="591"/>
      <c r="U17" s="591"/>
      <c r="V17" s="591"/>
      <c r="W17" s="591"/>
      <c r="X17" s="591"/>
      <c r="Y17" s="591"/>
      <c r="Z17" s="591"/>
      <c r="AA17" s="591"/>
      <c r="AB17" s="591"/>
      <c r="AC17" s="591"/>
      <c r="AD17" s="591"/>
      <c r="AE17" s="591"/>
      <c r="AF17" s="591"/>
      <c r="AG17" s="591"/>
      <c r="AH17" s="591"/>
      <c r="AI17" s="591"/>
      <c r="AJ17" s="591"/>
      <c r="AK17" s="591"/>
      <c r="AL17" s="591"/>
      <c r="AM17" s="591"/>
      <c r="AN17" s="591"/>
      <c r="AO17" s="591"/>
      <c r="AP17" s="591"/>
      <c r="AQ17" s="591"/>
      <c r="AR17" s="591"/>
      <c r="AS17" s="591"/>
      <c r="AT17" s="591"/>
      <c r="AU17" s="591"/>
      <c r="AV17" s="591"/>
      <c r="AW17" s="591"/>
      <c r="AX17" s="591"/>
      <c r="AY17" s="591"/>
      <c r="AZ17" s="591"/>
      <c r="BA17" s="591"/>
      <c r="BB17" s="591"/>
      <c r="BC17" s="591"/>
      <c r="BD17" s="591"/>
      <c r="BE17" s="591"/>
      <c r="BF17" s="591"/>
      <c r="BG17" s="591"/>
      <c r="BH17" s="591"/>
      <c r="BI17" s="591"/>
      <c r="BJ17" s="591"/>
      <c r="BK17" s="591"/>
      <c r="BL17" s="591"/>
      <c r="BM17" s="591"/>
      <c r="BN17" s="591"/>
      <c r="BO17" s="591"/>
      <c r="BP17" s="591"/>
      <c r="BQ17" s="591"/>
      <c r="BR17" s="591"/>
      <c r="BS17" s="591"/>
      <c r="BT17" s="591"/>
      <c r="BU17" s="591"/>
      <c r="BV17" s="591"/>
      <c r="BW17" s="591"/>
      <c r="BX17" s="591"/>
      <c r="BY17" s="591"/>
      <c r="BZ17" s="591"/>
      <c r="CA17" s="591"/>
      <c r="CB17" s="591"/>
      <c r="CC17" s="591"/>
      <c r="CD17" s="591"/>
      <c r="CE17" s="591"/>
      <c r="CF17" s="591"/>
      <c r="CG17" s="591"/>
      <c r="CH17" s="591"/>
      <c r="CI17" s="591"/>
      <c r="CJ17" s="591"/>
      <c r="CK17" s="591"/>
      <c r="CL17" s="591"/>
      <c r="CM17" s="591"/>
      <c r="CN17" s="591"/>
      <c r="CO17" s="591"/>
      <c r="CP17" s="591"/>
      <c r="CQ17" s="591"/>
      <c r="CR17" s="591"/>
      <c r="CS17" s="591"/>
      <c r="CT17" s="591"/>
      <c r="CU17" s="591"/>
      <c r="CV17" s="591"/>
      <c r="CW17" s="591"/>
      <c r="CX17" s="591"/>
      <c r="CY17" s="591"/>
      <c r="CZ17" s="591"/>
      <c r="DA17" s="591"/>
      <c r="DB17" s="591"/>
      <c r="DC17" s="591"/>
      <c r="DD17" s="591"/>
      <c r="DE17" s="591"/>
      <c r="DF17" s="591"/>
      <c r="DG17" s="591"/>
      <c r="DH17" s="591"/>
      <c r="DI17" s="591"/>
      <c r="DJ17" s="591"/>
      <c r="DK17" s="591"/>
      <c r="DL17" s="591"/>
      <c r="DM17" s="591"/>
      <c r="DN17" s="591"/>
      <c r="DO17" s="591"/>
      <c r="DP17" s="591"/>
      <c r="DQ17" s="591"/>
      <c r="DR17" s="591"/>
      <c r="DS17" s="591"/>
      <c r="DT17" s="591"/>
      <c r="DU17" s="591"/>
      <c r="DV17" s="591"/>
      <c r="DW17" s="591"/>
      <c r="DX17" s="591"/>
      <c r="DY17" s="591"/>
      <c r="DZ17" s="591"/>
      <c r="EA17" s="591"/>
      <c r="EB17" s="591"/>
      <c r="EC17" s="591"/>
      <c r="ED17" s="591"/>
      <c r="EE17" s="591"/>
      <c r="EF17" s="591"/>
      <c r="EG17" s="591"/>
      <c r="EH17" s="591"/>
      <c r="EI17" s="591"/>
      <c r="EJ17" s="591"/>
      <c r="EK17" s="591"/>
      <c r="EL17" s="591"/>
      <c r="EM17" s="591"/>
      <c r="EN17" s="591"/>
      <c r="EO17" s="591"/>
      <c r="EP17" s="591"/>
      <c r="EQ17" s="591"/>
      <c r="ER17" s="591"/>
      <c r="ES17" s="591"/>
      <c r="ET17" s="591"/>
      <c r="EU17" s="591"/>
      <c r="EV17" s="591"/>
      <c r="EW17" s="591"/>
      <c r="EX17" s="591"/>
      <c r="EY17" s="591"/>
      <c r="EZ17" s="591"/>
      <c r="FA17" s="591"/>
      <c r="FB17" s="591"/>
      <c r="FC17" s="591"/>
      <c r="FD17" s="591"/>
      <c r="FE17" s="591"/>
      <c r="FF17" s="591"/>
      <c r="FG17" s="591"/>
      <c r="FH17" s="591"/>
      <c r="FI17" s="591"/>
      <c r="FJ17" s="591"/>
      <c r="FK17" s="591"/>
      <c r="FL17" s="591"/>
      <c r="FM17" s="591"/>
      <c r="FN17" s="591"/>
      <c r="FO17" s="591"/>
      <c r="FP17" s="591"/>
      <c r="FQ17" s="591"/>
      <c r="FR17" s="591"/>
      <c r="FS17" s="591"/>
      <c r="FT17" s="591"/>
      <c r="FU17" s="591"/>
      <c r="FV17" s="591"/>
      <c r="FW17" s="591"/>
      <c r="FX17" s="591"/>
      <c r="FY17" s="591"/>
      <c r="FZ17" s="591"/>
      <c r="GA17" s="591"/>
      <c r="GB17" s="591"/>
      <c r="GC17" s="591"/>
      <c r="GD17" s="591"/>
      <c r="GE17" s="591"/>
      <c r="GF17" s="591"/>
      <c r="GG17" s="591"/>
      <c r="GH17" s="591"/>
      <c r="GI17" s="591"/>
      <c r="GJ17" s="591"/>
      <c r="GK17" s="591"/>
      <c r="GL17" s="591"/>
      <c r="GM17" s="591"/>
      <c r="GN17" s="591"/>
      <c r="GO17" s="591"/>
      <c r="GP17" s="591"/>
      <c r="GQ17" s="591"/>
      <c r="GR17" s="591"/>
      <c r="GS17" s="591"/>
      <c r="GT17" s="591"/>
      <c r="GU17" s="591"/>
      <c r="GV17" s="591"/>
      <c r="GW17" s="591"/>
      <c r="GX17" s="591"/>
      <c r="GY17" s="591"/>
      <c r="GZ17" s="591"/>
      <c r="HA17" s="591"/>
      <c r="HB17" s="591"/>
      <c r="HC17" s="591"/>
      <c r="HD17" s="591"/>
      <c r="HE17" s="591"/>
      <c r="HF17" s="591"/>
      <c r="HG17" s="591"/>
      <c r="HH17" s="591"/>
      <c r="HI17" s="591"/>
      <c r="HJ17" s="591"/>
      <c r="HK17" s="591"/>
      <c r="HL17" s="591"/>
      <c r="HM17" s="591"/>
      <c r="HN17" s="591"/>
      <c r="HO17" s="591"/>
      <c r="HP17" s="591"/>
      <c r="HQ17" s="591"/>
      <c r="HR17" s="591"/>
      <c r="HS17" s="591"/>
      <c r="HT17" s="591"/>
      <c r="HU17" s="591"/>
      <c r="HV17" s="591"/>
      <c r="HW17" s="591"/>
      <c r="HX17" s="591"/>
      <c r="HY17" s="591"/>
      <c r="HZ17" s="591"/>
      <c r="IA17" s="591"/>
      <c r="IB17" s="591"/>
      <c r="IC17" s="591"/>
      <c r="ID17" s="591"/>
      <c r="IE17" s="591"/>
      <c r="IF17" s="591"/>
      <c r="IG17" s="591"/>
      <c r="IH17" s="591"/>
      <c r="II17" s="591"/>
      <c r="IJ17" s="591"/>
      <c r="IK17" s="591"/>
      <c r="IL17" s="591"/>
      <c r="IM17" s="591"/>
      <c r="IN17" s="591"/>
      <c r="IO17" s="591"/>
      <c r="IP17" s="591"/>
      <c r="IQ17" s="591"/>
      <c r="IR17" s="591"/>
      <c r="IS17" s="591"/>
      <c r="IT17" s="38"/>
    </row>
    <row r="18" spans="1:254" ht="33" x14ac:dyDescent="0.3">
      <c r="A18" s="2212"/>
      <c r="B18" s="2214"/>
      <c r="C18" s="1331"/>
      <c r="D18" s="1334" t="s">
        <v>817</v>
      </c>
      <c r="E18" s="2224"/>
      <c r="F18" s="591"/>
      <c r="G18" s="591"/>
      <c r="H18" s="591"/>
      <c r="I18" s="591"/>
      <c r="J18" s="591"/>
      <c r="K18" s="591"/>
      <c r="L18" s="591"/>
      <c r="M18" s="591"/>
      <c r="N18" s="591"/>
      <c r="O18" s="591"/>
      <c r="P18" s="591"/>
      <c r="Q18" s="591"/>
      <c r="R18" s="591"/>
      <c r="S18" s="591"/>
      <c r="T18" s="591"/>
      <c r="U18" s="591"/>
      <c r="V18" s="591"/>
      <c r="W18" s="591"/>
      <c r="X18" s="591"/>
      <c r="Y18" s="591"/>
      <c r="Z18" s="591"/>
      <c r="AA18" s="591"/>
      <c r="AB18" s="591"/>
      <c r="AC18" s="591"/>
      <c r="AD18" s="591"/>
      <c r="AE18" s="591"/>
      <c r="AF18" s="591"/>
      <c r="AG18" s="591"/>
      <c r="AH18" s="591"/>
      <c r="AI18" s="591"/>
      <c r="AJ18" s="591"/>
      <c r="AK18" s="591"/>
      <c r="AL18" s="591"/>
      <c r="AM18" s="591"/>
      <c r="AN18" s="591"/>
      <c r="AO18" s="591"/>
      <c r="AP18" s="591"/>
      <c r="AQ18" s="591"/>
      <c r="AR18" s="591"/>
      <c r="AS18" s="591"/>
      <c r="AT18" s="591"/>
      <c r="AU18" s="591"/>
      <c r="AV18" s="591"/>
      <c r="AW18" s="591"/>
      <c r="AX18" s="591"/>
      <c r="AY18" s="591"/>
      <c r="AZ18" s="591"/>
      <c r="BA18" s="591"/>
      <c r="BB18" s="591"/>
      <c r="BC18" s="591"/>
      <c r="BD18" s="591"/>
      <c r="BE18" s="591"/>
      <c r="BF18" s="591"/>
      <c r="BG18" s="591"/>
      <c r="BH18" s="591"/>
      <c r="BI18" s="591"/>
      <c r="BJ18" s="591"/>
      <c r="BK18" s="591"/>
      <c r="BL18" s="591"/>
      <c r="BM18" s="591"/>
      <c r="BN18" s="591"/>
      <c r="BO18" s="591"/>
      <c r="BP18" s="591"/>
      <c r="BQ18" s="591"/>
      <c r="BR18" s="591"/>
      <c r="BS18" s="591"/>
      <c r="BT18" s="591"/>
      <c r="BU18" s="591"/>
      <c r="BV18" s="591"/>
      <c r="BW18" s="591"/>
      <c r="BX18" s="591"/>
      <c r="BY18" s="591"/>
      <c r="BZ18" s="591"/>
      <c r="CA18" s="591"/>
      <c r="CB18" s="591"/>
      <c r="CC18" s="591"/>
      <c r="CD18" s="591"/>
      <c r="CE18" s="591"/>
      <c r="CF18" s="591"/>
      <c r="CG18" s="591"/>
      <c r="CH18" s="591"/>
      <c r="CI18" s="591"/>
      <c r="CJ18" s="591"/>
      <c r="CK18" s="591"/>
      <c r="CL18" s="591"/>
      <c r="CM18" s="591"/>
      <c r="CN18" s="591"/>
      <c r="CO18" s="591"/>
      <c r="CP18" s="591"/>
      <c r="CQ18" s="591"/>
      <c r="CR18" s="591"/>
      <c r="CS18" s="591"/>
      <c r="CT18" s="591"/>
      <c r="CU18" s="591"/>
      <c r="CV18" s="591"/>
      <c r="CW18" s="591"/>
      <c r="CX18" s="591"/>
      <c r="CY18" s="591"/>
      <c r="CZ18" s="591"/>
      <c r="DA18" s="591"/>
      <c r="DB18" s="591"/>
      <c r="DC18" s="591"/>
      <c r="DD18" s="591"/>
      <c r="DE18" s="591"/>
      <c r="DF18" s="591"/>
      <c r="DG18" s="591"/>
      <c r="DH18" s="591"/>
      <c r="DI18" s="591"/>
      <c r="DJ18" s="591"/>
      <c r="DK18" s="591"/>
      <c r="DL18" s="591"/>
      <c r="DM18" s="591"/>
      <c r="DN18" s="591"/>
      <c r="DO18" s="591"/>
      <c r="DP18" s="591"/>
      <c r="DQ18" s="591"/>
      <c r="DR18" s="591"/>
      <c r="DS18" s="591"/>
      <c r="DT18" s="591"/>
      <c r="DU18" s="591"/>
      <c r="DV18" s="591"/>
      <c r="DW18" s="591"/>
      <c r="DX18" s="591"/>
      <c r="DY18" s="591"/>
      <c r="DZ18" s="591"/>
      <c r="EA18" s="591"/>
      <c r="EB18" s="591"/>
      <c r="EC18" s="591"/>
      <c r="ED18" s="591"/>
      <c r="EE18" s="591"/>
      <c r="EF18" s="591"/>
      <c r="EG18" s="591"/>
      <c r="EH18" s="591"/>
      <c r="EI18" s="591"/>
      <c r="EJ18" s="591"/>
      <c r="EK18" s="591"/>
      <c r="EL18" s="591"/>
      <c r="EM18" s="591"/>
      <c r="EN18" s="591"/>
      <c r="EO18" s="591"/>
      <c r="EP18" s="591"/>
      <c r="EQ18" s="591"/>
      <c r="ER18" s="591"/>
      <c r="ES18" s="591"/>
      <c r="ET18" s="591"/>
      <c r="EU18" s="591"/>
      <c r="EV18" s="591"/>
      <c r="EW18" s="591"/>
      <c r="EX18" s="591"/>
      <c r="EY18" s="591"/>
      <c r="EZ18" s="591"/>
      <c r="FA18" s="591"/>
      <c r="FB18" s="591"/>
      <c r="FC18" s="591"/>
      <c r="FD18" s="591"/>
      <c r="FE18" s="591"/>
      <c r="FF18" s="591"/>
      <c r="FG18" s="591"/>
      <c r="FH18" s="591"/>
      <c r="FI18" s="591"/>
      <c r="FJ18" s="591"/>
      <c r="FK18" s="591"/>
      <c r="FL18" s="591"/>
      <c r="FM18" s="591"/>
      <c r="FN18" s="591"/>
      <c r="FO18" s="591"/>
      <c r="FP18" s="591"/>
      <c r="FQ18" s="591"/>
      <c r="FR18" s="591"/>
      <c r="FS18" s="591"/>
      <c r="FT18" s="591"/>
      <c r="FU18" s="591"/>
      <c r="FV18" s="591"/>
      <c r="FW18" s="591"/>
      <c r="FX18" s="591"/>
      <c r="FY18" s="591"/>
      <c r="FZ18" s="591"/>
      <c r="GA18" s="591"/>
      <c r="GB18" s="591"/>
      <c r="GC18" s="591"/>
      <c r="GD18" s="591"/>
      <c r="GE18" s="591"/>
      <c r="GF18" s="591"/>
      <c r="GG18" s="591"/>
      <c r="GH18" s="591"/>
      <c r="GI18" s="591"/>
      <c r="GJ18" s="591"/>
      <c r="GK18" s="591"/>
      <c r="GL18" s="591"/>
      <c r="GM18" s="591"/>
      <c r="GN18" s="591"/>
      <c r="GO18" s="591"/>
      <c r="GP18" s="591"/>
      <c r="GQ18" s="591"/>
      <c r="GR18" s="591"/>
      <c r="GS18" s="591"/>
      <c r="GT18" s="591"/>
      <c r="GU18" s="591"/>
      <c r="GV18" s="591"/>
      <c r="GW18" s="591"/>
      <c r="GX18" s="591"/>
      <c r="GY18" s="591"/>
      <c r="GZ18" s="591"/>
      <c r="HA18" s="591"/>
      <c r="HB18" s="591"/>
      <c r="HC18" s="591"/>
      <c r="HD18" s="591"/>
      <c r="HE18" s="591"/>
      <c r="HF18" s="591"/>
      <c r="HG18" s="591"/>
      <c r="HH18" s="591"/>
      <c r="HI18" s="591"/>
      <c r="HJ18" s="591"/>
      <c r="HK18" s="591"/>
      <c r="HL18" s="591"/>
      <c r="HM18" s="591"/>
      <c r="HN18" s="591"/>
      <c r="HO18" s="591"/>
      <c r="HP18" s="591"/>
      <c r="HQ18" s="591"/>
      <c r="HR18" s="591"/>
      <c r="HS18" s="591"/>
      <c r="HT18" s="591"/>
      <c r="HU18" s="591"/>
      <c r="HV18" s="591"/>
      <c r="HW18" s="591"/>
      <c r="HX18" s="591"/>
      <c r="HY18" s="591"/>
      <c r="HZ18" s="591"/>
      <c r="IA18" s="591"/>
      <c r="IB18" s="591"/>
      <c r="IC18" s="591"/>
      <c r="ID18" s="591"/>
      <c r="IE18" s="591"/>
      <c r="IF18" s="591"/>
      <c r="IG18" s="591"/>
      <c r="IH18" s="591"/>
      <c r="II18" s="591"/>
      <c r="IJ18" s="591"/>
      <c r="IK18" s="591"/>
      <c r="IL18" s="591"/>
      <c r="IM18" s="591"/>
      <c r="IN18" s="591"/>
      <c r="IO18" s="591"/>
      <c r="IP18" s="591"/>
      <c r="IQ18" s="591"/>
      <c r="IR18" s="591"/>
      <c r="IS18" s="591"/>
      <c r="IT18" s="38"/>
    </row>
    <row r="19" spans="1:254" ht="16.5" customHeight="1" x14ac:dyDescent="0.3">
      <c r="A19" s="2212">
        <v>6</v>
      </c>
      <c r="B19" s="2225">
        <v>5</v>
      </c>
      <c r="C19" s="2227" t="s">
        <v>818</v>
      </c>
      <c r="D19" s="2228"/>
      <c r="E19" s="2223">
        <f>15000</f>
        <v>15000</v>
      </c>
      <c r="F19" s="591"/>
      <c r="G19" s="591"/>
      <c r="H19" s="591"/>
      <c r="I19" s="591"/>
      <c r="J19" s="591"/>
      <c r="K19" s="591"/>
      <c r="L19" s="591"/>
      <c r="M19" s="591"/>
      <c r="N19" s="591"/>
      <c r="O19" s="591"/>
      <c r="P19" s="591" t="s">
        <v>242</v>
      </c>
      <c r="Q19" s="591"/>
      <c r="R19" s="591"/>
      <c r="S19" s="591"/>
      <c r="T19" s="591"/>
      <c r="U19" s="591"/>
      <c r="V19" s="591"/>
      <c r="W19" s="591"/>
      <c r="X19" s="591"/>
      <c r="Y19" s="591"/>
      <c r="Z19" s="591"/>
      <c r="AA19" s="591"/>
      <c r="AB19" s="591"/>
      <c r="AC19" s="591"/>
      <c r="AD19" s="591"/>
      <c r="AE19" s="591"/>
      <c r="AF19" s="591"/>
      <c r="AG19" s="591"/>
      <c r="AH19" s="591"/>
      <c r="AI19" s="591"/>
      <c r="AJ19" s="591"/>
      <c r="AK19" s="591"/>
      <c r="AL19" s="591"/>
      <c r="AM19" s="591"/>
      <c r="AN19" s="591"/>
      <c r="AO19" s="591"/>
      <c r="AP19" s="591"/>
      <c r="AQ19" s="591"/>
      <c r="AR19" s="591"/>
      <c r="AS19" s="591"/>
      <c r="AT19" s="591"/>
      <c r="AU19" s="591"/>
      <c r="AV19" s="591"/>
      <c r="AW19" s="591"/>
      <c r="AX19" s="591"/>
      <c r="AY19" s="591"/>
      <c r="AZ19" s="591"/>
      <c r="BA19" s="591"/>
      <c r="BB19" s="591"/>
      <c r="BC19" s="591"/>
      <c r="BD19" s="591"/>
      <c r="BE19" s="591"/>
      <c r="BF19" s="591"/>
      <c r="BG19" s="591"/>
      <c r="BH19" s="591"/>
      <c r="BI19" s="591"/>
      <c r="BJ19" s="591"/>
      <c r="BK19" s="591"/>
      <c r="BL19" s="591"/>
      <c r="BM19" s="591"/>
      <c r="BN19" s="591"/>
      <c r="BO19" s="591"/>
      <c r="BP19" s="591"/>
      <c r="BQ19" s="591"/>
      <c r="BR19" s="591"/>
      <c r="BS19" s="591"/>
      <c r="BT19" s="591"/>
      <c r="BU19" s="591"/>
      <c r="BV19" s="591"/>
      <c r="BW19" s="591"/>
      <c r="BX19" s="591"/>
      <c r="BY19" s="591"/>
      <c r="BZ19" s="591"/>
      <c r="CA19" s="591"/>
      <c r="CB19" s="591"/>
      <c r="CC19" s="591"/>
      <c r="CD19" s="591"/>
      <c r="CE19" s="591"/>
      <c r="CF19" s="591"/>
      <c r="CG19" s="591"/>
      <c r="CH19" s="591"/>
      <c r="CI19" s="591"/>
      <c r="CJ19" s="591"/>
      <c r="CK19" s="591"/>
      <c r="CL19" s="591"/>
      <c r="CM19" s="591"/>
      <c r="CN19" s="591"/>
      <c r="CO19" s="591"/>
      <c r="CP19" s="591"/>
      <c r="CQ19" s="591"/>
      <c r="CR19" s="591"/>
      <c r="CS19" s="591"/>
      <c r="CT19" s="591"/>
      <c r="CU19" s="591"/>
      <c r="CV19" s="591"/>
      <c r="CW19" s="591"/>
      <c r="CX19" s="591"/>
      <c r="CY19" s="591"/>
      <c r="CZ19" s="591"/>
      <c r="DA19" s="591"/>
      <c r="DB19" s="591"/>
      <c r="DC19" s="591"/>
      <c r="DD19" s="591"/>
      <c r="DE19" s="591"/>
      <c r="DF19" s="591"/>
      <c r="DG19" s="591"/>
      <c r="DH19" s="591"/>
      <c r="DI19" s="591"/>
      <c r="DJ19" s="591"/>
      <c r="DK19" s="591"/>
      <c r="DL19" s="591"/>
      <c r="DM19" s="591"/>
      <c r="DN19" s="591"/>
      <c r="DO19" s="591"/>
      <c r="DP19" s="591"/>
      <c r="DQ19" s="591"/>
      <c r="DR19" s="591"/>
      <c r="DS19" s="591"/>
      <c r="DT19" s="591"/>
      <c r="DU19" s="591"/>
      <c r="DV19" s="591"/>
      <c r="DW19" s="591"/>
      <c r="DX19" s="591"/>
      <c r="DY19" s="591"/>
      <c r="DZ19" s="591"/>
      <c r="EA19" s="591"/>
      <c r="EB19" s="591"/>
      <c r="EC19" s="591"/>
      <c r="ED19" s="591"/>
      <c r="EE19" s="591"/>
      <c r="EF19" s="591"/>
      <c r="EG19" s="591"/>
      <c r="EH19" s="591"/>
      <c r="EI19" s="591"/>
      <c r="EJ19" s="591"/>
      <c r="EK19" s="591"/>
      <c r="EL19" s="591"/>
      <c r="EM19" s="591"/>
      <c r="EN19" s="591"/>
      <c r="EO19" s="591"/>
      <c r="EP19" s="591"/>
      <c r="EQ19" s="591"/>
      <c r="ER19" s="591"/>
      <c r="ES19" s="591"/>
      <c r="ET19" s="591"/>
      <c r="EU19" s="591"/>
      <c r="EV19" s="591"/>
      <c r="EW19" s="591"/>
      <c r="EX19" s="591"/>
      <c r="EY19" s="591"/>
      <c r="EZ19" s="591"/>
      <c r="FA19" s="591"/>
      <c r="FB19" s="591"/>
      <c r="FC19" s="591"/>
      <c r="FD19" s="591"/>
      <c r="FE19" s="591"/>
      <c r="FF19" s="591"/>
      <c r="FG19" s="591"/>
      <c r="FH19" s="591"/>
      <c r="FI19" s="591"/>
      <c r="FJ19" s="591"/>
      <c r="FK19" s="591"/>
      <c r="FL19" s="591"/>
      <c r="FM19" s="591"/>
      <c r="FN19" s="591"/>
      <c r="FO19" s="591"/>
      <c r="FP19" s="591"/>
      <c r="FQ19" s="591"/>
      <c r="FR19" s="591"/>
      <c r="FS19" s="591"/>
      <c r="FT19" s="591"/>
      <c r="FU19" s="591"/>
      <c r="FV19" s="591"/>
      <c r="FW19" s="591"/>
      <c r="FX19" s="591"/>
      <c r="FY19" s="591"/>
      <c r="FZ19" s="591"/>
      <c r="GA19" s="591"/>
      <c r="GB19" s="591"/>
      <c r="GC19" s="591"/>
      <c r="GD19" s="591"/>
      <c r="GE19" s="591"/>
      <c r="GF19" s="591"/>
      <c r="GG19" s="591"/>
      <c r="GH19" s="591"/>
      <c r="GI19" s="591"/>
      <c r="GJ19" s="591"/>
      <c r="GK19" s="591"/>
      <c r="GL19" s="591"/>
      <c r="GM19" s="591"/>
      <c r="GN19" s="591"/>
      <c r="GO19" s="591"/>
      <c r="GP19" s="591"/>
      <c r="GQ19" s="591"/>
      <c r="GR19" s="591"/>
      <c r="GS19" s="591"/>
      <c r="GT19" s="591"/>
      <c r="GU19" s="591"/>
      <c r="GV19" s="591"/>
      <c r="GW19" s="591"/>
      <c r="GX19" s="591"/>
      <c r="GY19" s="591"/>
      <c r="GZ19" s="591"/>
      <c r="HA19" s="591"/>
      <c r="HB19" s="591"/>
      <c r="HC19" s="591"/>
      <c r="HD19" s="591"/>
      <c r="HE19" s="591"/>
      <c r="HF19" s="591"/>
      <c r="HG19" s="591"/>
      <c r="HH19" s="591"/>
      <c r="HI19" s="591"/>
      <c r="HJ19" s="591"/>
      <c r="HK19" s="591"/>
      <c r="HL19" s="591"/>
      <c r="HM19" s="591"/>
      <c r="HN19" s="591"/>
      <c r="HO19" s="591"/>
      <c r="HP19" s="591"/>
      <c r="HQ19" s="591"/>
      <c r="HR19" s="591"/>
      <c r="HS19" s="591"/>
      <c r="HT19" s="591"/>
      <c r="HU19" s="591"/>
      <c r="HV19" s="591"/>
      <c r="HW19" s="591"/>
      <c r="HX19" s="591"/>
      <c r="HY19" s="591"/>
      <c r="HZ19" s="591"/>
      <c r="IA19" s="591"/>
      <c r="IB19" s="591"/>
      <c r="IC19" s="591"/>
      <c r="ID19" s="591"/>
      <c r="IE19" s="591"/>
      <c r="IF19" s="591"/>
      <c r="IG19" s="591"/>
      <c r="IH19" s="591"/>
      <c r="II19" s="591"/>
      <c r="IJ19" s="591"/>
      <c r="IK19" s="591"/>
      <c r="IL19" s="591"/>
      <c r="IM19" s="591"/>
      <c r="IN19" s="591"/>
      <c r="IO19" s="591"/>
      <c r="IP19" s="591"/>
      <c r="IQ19" s="591"/>
      <c r="IR19" s="591"/>
      <c r="IS19" s="591"/>
      <c r="IT19" s="38"/>
    </row>
    <row r="20" spans="1:254" ht="16.5" x14ac:dyDescent="0.3">
      <c r="A20" s="2212"/>
      <c r="B20" s="2226"/>
      <c r="C20" s="1331"/>
      <c r="D20" s="1335" t="s">
        <v>520</v>
      </c>
      <c r="E20" s="2224"/>
      <c r="F20" s="591"/>
      <c r="G20" s="591"/>
      <c r="H20" s="591"/>
      <c r="I20" s="591"/>
      <c r="J20" s="591"/>
      <c r="K20" s="591"/>
      <c r="L20" s="591"/>
      <c r="M20" s="591"/>
      <c r="N20" s="591"/>
      <c r="O20" s="591"/>
      <c r="P20" s="591"/>
      <c r="Q20" s="591"/>
      <c r="R20" s="591"/>
      <c r="S20" s="591"/>
      <c r="T20" s="591"/>
      <c r="U20" s="591"/>
      <c r="V20" s="591"/>
      <c r="W20" s="591"/>
      <c r="X20" s="591"/>
      <c r="Y20" s="591"/>
      <c r="Z20" s="591"/>
      <c r="AA20" s="591"/>
      <c r="AB20" s="591"/>
      <c r="AC20" s="591"/>
      <c r="AD20" s="591"/>
      <c r="AE20" s="591"/>
      <c r="AF20" s="591"/>
      <c r="AG20" s="591"/>
      <c r="AH20" s="591"/>
      <c r="AI20" s="591"/>
      <c r="AJ20" s="591"/>
      <c r="AK20" s="591"/>
      <c r="AL20" s="591"/>
      <c r="AM20" s="591"/>
      <c r="AN20" s="591"/>
      <c r="AO20" s="591"/>
      <c r="AP20" s="591"/>
      <c r="AQ20" s="591"/>
      <c r="AR20" s="591"/>
      <c r="AS20" s="591"/>
      <c r="AT20" s="591"/>
      <c r="AU20" s="591"/>
      <c r="AV20" s="591"/>
      <c r="AW20" s="591"/>
      <c r="AX20" s="591"/>
      <c r="AY20" s="591"/>
      <c r="AZ20" s="591"/>
      <c r="BA20" s="591"/>
      <c r="BB20" s="591"/>
      <c r="BC20" s="591"/>
      <c r="BD20" s="591"/>
      <c r="BE20" s="591"/>
      <c r="BF20" s="591"/>
      <c r="BG20" s="591"/>
      <c r="BH20" s="591"/>
      <c r="BI20" s="591"/>
      <c r="BJ20" s="591"/>
      <c r="BK20" s="591"/>
      <c r="BL20" s="591"/>
      <c r="BM20" s="591"/>
      <c r="BN20" s="591"/>
      <c r="BO20" s="591"/>
      <c r="BP20" s="591"/>
      <c r="BQ20" s="591"/>
      <c r="BR20" s="591"/>
      <c r="BS20" s="591"/>
      <c r="BT20" s="591"/>
      <c r="BU20" s="591"/>
      <c r="BV20" s="591"/>
      <c r="BW20" s="591"/>
      <c r="BX20" s="591"/>
      <c r="BY20" s="591"/>
      <c r="BZ20" s="591"/>
      <c r="CA20" s="591"/>
      <c r="CB20" s="591"/>
      <c r="CC20" s="591"/>
      <c r="CD20" s="591"/>
      <c r="CE20" s="591"/>
      <c r="CF20" s="591"/>
      <c r="CG20" s="591"/>
      <c r="CH20" s="591"/>
      <c r="CI20" s="591"/>
      <c r="CJ20" s="591"/>
      <c r="CK20" s="591"/>
      <c r="CL20" s="591"/>
      <c r="CM20" s="591"/>
      <c r="CN20" s="591"/>
      <c r="CO20" s="591"/>
      <c r="CP20" s="591"/>
      <c r="CQ20" s="591"/>
      <c r="CR20" s="591"/>
      <c r="CS20" s="591"/>
      <c r="CT20" s="591"/>
      <c r="CU20" s="591"/>
      <c r="CV20" s="591"/>
      <c r="CW20" s="591"/>
      <c r="CX20" s="591"/>
      <c r="CY20" s="591"/>
      <c r="CZ20" s="591"/>
      <c r="DA20" s="591"/>
      <c r="DB20" s="591"/>
      <c r="DC20" s="591"/>
      <c r="DD20" s="591"/>
      <c r="DE20" s="591"/>
      <c r="DF20" s="591"/>
      <c r="DG20" s="591"/>
      <c r="DH20" s="591"/>
      <c r="DI20" s="591"/>
      <c r="DJ20" s="591"/>
      <c r="DK20" s="591"/>
      <c r="DL20" s="591"/>
      <c r="DM20" s="591"/>
      <c r="DN20" s="591"/>
      <c r="DO20" s="591"/>
      <c r="DP20" s="591"/>
      <c r="DQ20" s="591"/>
      <c r="DR20" s="591"/>
      <c r="DS20" s="591"/>
      <c r="DT20" s="591"/>
      <c r="DU20" s="591"/>
      <c r="DV20" s="591"/>
      <c r="DW20" s="591"/>
      <c r="DX20" s="591"/>
      <c r="DY20" s="591"/>
      <c r="DZ20" s="591"/>
      <c r="EA20" s="591"/>
      <c r="EB20" s="591"/>
      <c r="EC20" s="591"/>
      <c r="ED20" s="591"/>
      <c r="EE20" s="591"/>
      <c r="EF20" s="591"/>
      <c r="EG20" s="591"/>
      <c r="EH20" s="591"/>
      <c r="EI20" s="591"/>
      <c r="EJ20" s="591"/>
      <c r="EK20" s="591"/>
      <c r="EL20" s="591"/>
      <c r="EM20" s="591"/>
      <c r="EN20" s="591"/>
      <c r="EO20" s="591"/>
      <c r="EP20" s="591"/>
      <c r="EQ20" s="591"/>
      <c r="ER20" s="591"/>
      <c r="ES20" s="591"/>
      <c r="ET20" s="591"/>
      <c r="EU20" s="591"/>
      <c r="EV20" s="591"/>
      <c r="EW20" s="591"/>
      <c r="EX20" s="591"/>
      <c r="EY20" s="591"/>
      <c r="EZ20" s="591"/>
      <c r="FA20" s="591"/>
      <c r="FB20" s="591"/>
      <c r="FC20" s="591"/>
      <c r="FD20" s="591"/>
      <c r="FE20" s="591"/>
      <c r="FF20" s="591"/>
      <c r="FG20" s="591"/>
      <c r="FH20" s="591"/>
      <c r="FI20" s="591"/>
      <c r="FJ20" s="591"/>
      <c r="FK20" s="591"/>
      <c r="FL20" s="591"/>
      <c r="FM20" s="591"/>
      <c r="FN20" s="591"/>
      <c r="FO20" s="591"/>
      <c r="FP20" s="591"/>
      <c r="FQ20" s="591"/>
      <c r="FR20" s="591"/>
      <c r="FS20" s="591"/>
      <c r="FT20" s="591"/>
      <c r="FU20" s="591"/>
      <c r="FV20" s="591"/>
      <c r="FW20" s="591"/>
      <c r="FX20" s="591"/>
      <c r="FY20" s="591"/>
      <c r="FZ20" s="591"/>
      <c r="GA20" s="591"/>
      <c r="GB20" s="591"/>
      <c r="GC20" s="591"/>
      <c r="GD20" s="591"/>
      <c r="GE20" s="591"/>
      <c r="GF20" s="591"/>
      <c r="GG20" s="591"/>
      <c r="GH20" s="591"/>
      <c r="GI20" s="591"/>
      <c r="GJ20" s="591"/>
      <c r="GK20" s="591"/>
      <c r="GL20" s="591"/>
      <c r="GM20" s="591"/>
      <c r="GN20" s="591"/>
      <c r="GO20" s="591"/>
      <c r="GP20" s="591"/>
      <c r="GQ20" s="591"/>
      <c r="GR20" s="591"/>
      <c r="GS20" s="591"/>
      <c r="GT20" s="591"/>
      <c r="GU20" s="591"/>
      <c r="GV20" s="591"/>
      <c r="GW20" s="591"/>
      <c r="GX20" s="591"/>
      <c r="GY20" s="591"/>
      <c r="GZ20" s="591"/>
      <c r="HA20" s="591"/>
      <c r="HB20" s="591"/>
      <c r="HC20" s="591"/>
      <c r="HD20" s="591"/>
      <c r="HE20" s="591"/>
      <c r="HF20" s="591"/>
      <c r="HG20" s="591"/>
      <c r="HH20" s="591"/>
      <c r="HI20" s="591"/>
      <c r="HJ20" s="591"/>
      <c r="HK20" s="591"/>
      <c r="HL20" s="591"/>
      <c r="HM20" s="591"/>
      <c r="HN20" s="591"/>
      <c r="HO20" s="591"/>
      <c r="HP20" s="591"/>
      <c r="HQ20" s="591"/>
      <c r="HR20" s="591"/>
      <c r="HS20" s="591"/>
      <c r="HT20" s="591"/>
      <c r="HU20" s="591"/>
      <c r="HV20" s="591"/>
      <c r="HW20" s="591"/>
      <c r="HX20" s="591"/>
      <c r="HY20" s="591"/>
      <c r="HZ20" s="591"/>
      <c r="IA20" s="591"/>
      <c r="IB20" s="591"/>
      <c r="IC20" s="591"/>
      <c r="ID20" s="591"/>
      <c r="IE20" s="591"/>
      <c r="IF20" s="591"/>
      <c r="IG20" s="591"/>
      <c r="IH20" s="591"/>
      <c r="II20" s="591"/>
      <c r="IJ20" s="591"/>
      <c r="IK20" s="591"/>
      <c r="IL20" s="591"/>
      <c r="IM20" s="591"/>
      <c r="IN20" s="591"/>
      <c r="IO20" s="591"/>
      <c r="IP20" s="591"/>
      <c r="IQ20" s="591"/>
      <c r="IR20" s="591"/>
      <c r="IS20" s="591"/>
      <c r="IT20" s="38"/>
    </row>
    <row r="21" spans="1:254" ht="18" thickBot="1" x14ac:dyDescent="0.35">
      <c r="A21" s="593">
        <v>7</v>
      </c>
      <c r="B21" s="2209" t="s">
        <v>120</v>
      </c>
      <c r="C21" s="2210"/>
      <c r="D21" s="2211"/>
      <c r="E21" s="1336">
        <f>SUM(E11:E19)</f>
        <v>561891</v>
      </c>
      <c r="F21" s="591"/>
      <c r="G21" s="591"/>
      <c r="H21" s="591"/>
      <c r="I21" s="591"/>
      <c r="J21" s="591"/>
      <c r="K21" s="591"/>
      <c r="L21" s="591"/>
      <c r="M21" s="591"/>
      <c r="N21" s="591"/>
      <c r="O21" s="591"/>
      <c r="P21" s="591"/>
      <c r="Q21" s="591"/>
      <c r="R21" s="591"/>
      <c r="S21" s="591"/>
      <c r="T21" s="591"/>
      <c r="U21" s="591"/>
      <c r="V21" s="591"/>
      <c r="W21" s="591"/>
      <c r="X21" s="591"/>
      <c r="Y21" s="591"/>
      <c r="Z21" s="591"/>
      <c r="AA21" s="591"/>
      <c r="AB21" s="591"/>
      <c r="AC21" s="591"/>
      <c r="AD21" s="591"/>
      <c r="AE21" s="591"/>
      <c r="AF21" s="591"/>
      <c r="AG21" s="591"/>
      <c r="AH21" s="591"/>
      <c r="AI21" s="591"/>
      <c r="AJ21" s="591"/>
      <c r="AK21" s="591"/>
      <c r="AL21" s="591"/>
      <c r="AM21" s="591"/>
      <c r="AN21" s="591"/>
      <c r="AO21" s="591"/>
      <c r="AP21" s="591"/>
      <c r="AQ21" s="591"/>
      <c r="AR21" s="591"/>
      <c r="AS21" s="591"/>
      <c r="AT21" s="591"/>
      <c r="AU21" s="591"/>
      <c r="AV21" s="591"/>
      <c r="AW21" s="591"/>
      <c r="AX21" s="591"/>
      <c r="AY21" s="591"/>
      <c r="AZ21" s="591"/>
      <c r="BA21" s="591"/>
      <c r="BB21" s="591"/>
      <c r="BC21" s="591"/>
      <c r="BD21" s="591"/>
      <c r="BE21" s="591"/>
      <c r="BF21" s="591"/>
      <c r="BG21" s="591"/>
      <c r="BH21" s="591"/>
      <c r="BI21" s="591"/>
      <c r="BJ21" s="591"/>
      <c r="BK21" s="591"/>
      <c r="BL21" s="591"/>
      <c r="BM21" s="591"/>
      <c r="BN21" s="591"/>
      <c r="BO21" s="591"/>
      <c r="BP21" s="591"/>
      <c r="BQ21" s="591"/>
      <c r="BR21" s="591"/>
      <c r="BS21" s="591"/>
      <c r="BT21" s="591"/>
      <c r="BU21" s="591"/>
      <c r="BV21" s="591"/>
      <c r="BW21" s="591"/>
      <c r="BX21" s="591"/>
      <c r="BY21" s="591"/>
      <c r="BZ21" s="591"/>
      <c r="CA21" s="591"/>
      <c r="CB21" s="591"/>
      <c r="CC21" s="591"/>
      <c r="CD21" s="591"/>
      <c r="CE21" s="591"/>
      <c r="CF21" s="591"/>
      <c r="CG21" s="591"/>
      <c r="CH21" s="591"/>
      <c r="CI21" s="591"/>
      <c r="CJ21" s="591"/>
      <c r="CK21" s="591"/>
      <c r="CL21" s="591"/>
      <c r="CM21" s="591"/>
      <c r="CN21" s="591"/>
      <c r="CO21" s="591"/>
      <c r="CP21" s="591"/>
      <c r="CQ21" s="591"/>
      <c r="CR21" s="591"/>
      <c r="CS21" s="591"/>
      <c r="CT21" s="591"/>
      <c r="CU21" s="591"/>
      <c r="CV21" s="591"/>
      <c r="CW21" s="591"/>
      <c r="CX21" s="591"/>
      <c r="CY21" s="591"/>
      <c r="CZ21" s="591"/>
      <c r="DA21" s="591"/>
      <c r="DB21" s="591"/>
      <c r="DC21" s="591"/>
      <c r="DD21" s="591"/>
      <c r="DE21" s="591"/>
      <c r="DF21" s="591"/>
      <c r="DG21" s="591"/>
      <c r="DH21" s="591"/>
      <c r="DI21" s="591"/>
      <c r="DJ21" s="591"/>
      <c r="DK21" s="591"/>
      <c r="DL21" s="591"/>
      <c r="DM21" s="591"/>
      <c r="DN21" s="591"/>
      <c r="DO21" s="591"/>
      <c r="DP21" s="591"/>
      <c r="DQ21" s="591"/>
      <c r="DR21" s="591"/>
      <c r="DS21" s="591"/>
      <c r="DT21" s="591"/>
      <c r="DU21" s="591"/>
      <c r="DV21" s="591"/>
      <c r="DW21" s="591"/>
      <c r="DX21" s="591"/>
      <c r="DY21" s="591"/>
      <c r="DZ21" s="591"/>
      <c r="EA21" s="591"/>
      <c r="EB21" s="591"/>
      <c r="EC21" s="591"/>
      <c r="ED21" s="591"/>
      <c r="EE21" s="591"/>
      <c r="EF21" s="591"/>
      <c r="EG21" s="591"/>
      <c r="EH21" s="591"/>
      <c r="EI21" s="591"/>
      <c r="EJ21" s="591"/>
      <c r="EK21" s="591"/>
      <c r="EL21" s="591"/>
      <c r="EM21" s="591"/>
      <c r="EN21" s="591"/>
      <c r="EO21" s="591"/>
      <c r="EP21" s="591"/>
      <c r="EQ21" s="591"/>
      <c r="ER21" s="591"/>
      <c r="ES21" s="591"/>
      <c r="ET21" s="591"/>
      <c r="EU21" s="591"/>
      <c r="EV21" s="591"/>
      <c r="EW21" s="591"/>
      <c r="EX21" s="591"/>
      <c r="EY21" s="591"/>
      <c r="EZ21" s="591"/>
      <c r="FA21" s="591"/>
      <c r="FB21" s="591"/>
      <c r="FC21" s="591"/>
      <c r="FD21" s="591"/>
      <c r="FE21" s="591"/>
      <c r="FF21" s="591"/>
      <c r="FG21" s="591"/>
      <c r="FH21" s="591"/>
      <c r="FI21" s="591"/>
      <c r="FJ21" s="591"/>
      <c r="FK21" s="591"/>
      <c r="FL21" s="591"/>
      <c r="FM21" s="591"/>
      <c r="FN21" s="591"/>
      <c r="FO21" s="591"/>
      <c r="FP21" s="591"/>
      <c r="FQ21" s="591"/>
      <c r="FR21" s="591"/>
      <c r="FS21" s="591"/>
      <c r="FT21" s="591"/>
      <c r="FU21" s="591"/>
      <c r="FV21" s="591"/>
      <c r="FW21" s="591"/>
      <c r="FX21" s="591"/>
      <c r="FY21" s="591"/>
      <c r="FZ21" s="591"/>
      <c r="GA21" s="591"/>
      <c r="GB21" s="591"/>
      <c r="GC21" s="591"/>
      <c r="GD21" s="591"/>
      <c r="GE21" s="591"/>
      <c r="GF21" s="591"/>
      <c r="GG21" s="591"/>
      <c r="GH21" s="591"/>
      <c r="GI21" s="591"/>
      <c r="GJ21" s="591"/>
      <c r="GK21" s="591"/>
      <c r="GL21" s="591"/>
      <c r="GM21" s="591"/>
      <c r="GN21" s="591"/>
      <c r="GO21" s="591"/>
      <c r="GP21" s="591"/>
      <c r="GQ21" s="591"/>
      <c r="GR21" s="591"/>
      <c r="GS21" s="591"/>
      <c r="GT21" s="591"/>
      <c r="GU21" s="591"/>
      <c r="GV21" s="591"/>
      <c r="GW21" s="591"/>
      <c r="GX21" s="591"/>
      <c r="GY21" s="591"/>
      <c r="GZ21" s="591"/>
      <c r="HA21" s="591"/>
      <c r="HB21" s="591"/>
      <c r="HC21" s="591"/>
      <c r="HD21" s="591"/>
      <c r="HE21" s="591"/>
      <c r="HF21" s="591"/>
      <c r="HG21" s="591"/>
      <c r="HH21" s="591"/>
      <c r="HI21" s="591"/>
      <c r="HJ21" s="591"/>
      <c r="HK21" s="591"/>
      <c r="HL21" s="591"/>
      <c r="HM21" s="591"/>
      <c r="HN21" s="591"/>
      <c r="HO21" s="591"/>
      <c r="HP21" s="591"/>
      <c r="HQ21" s="591"/>
      <c r="HR21" s="591"/>
      <c r="HS21" s="591"/>
      <c r="HT21" s="591"/>
      <c r="HU21" s="591"/>
      <c r="HV21" s="591"/>
      <c r="HW21" s="591"/>
      <c r="HX21" s="591"/>
      <c r="HY21" s="591"/>
      <c r="HZ21" s="591"/>
      <c r="IA21" s="591"/>
      <c r="IB21" s="591"/>
      <c r="IC21" s="591"/>
      <c r="ID21" s="591"/>
      <c r="IE21" s="591"/>
      <c r="IF21" s="591"/>
      <c r="IG21" s="591"/>
      <c r="IH21" s="591"/>
      <c r="II21" s="591"/>
      <c r="IJ21" s="591"/>
      <c r="IK21" s="591"/>
      <c r="IL21" s="591"/>
      <c r="IM21" s="591"/>
      <c r="IN21" s="591"/>
      <c r="IO21" s="591"/>
      <c r="IP21" s="591"/>
      <c r="IQ21" s="591"/>
      <c r="IR21" s="591"/>
      <c r="IS21" s="591"/>
      <c r="IT21" s="38"/>
    </row>
    <row r="24" spans="1:254" ht="33" hidden="1" x14ac:dyDescent="0.3">
      <c r="A24" s="593">
        <v>1</v>
      </c>
      <c r="B24" s="593"/>
      <c r="C24" s="593"/>
      <c r="D24" s="1337" t="s">
        <v>813</v>
      </c>
      <c r="E24" s="1338">
        <v>21891</v>
      </c>
      <c r="G24" s="592" t="s">
        <v>819</v>
      </c>
    </row>
    <row r="25" spans="1:254" ht="16.5" hidden="1" x14ac:dyDescent="0.3">
      <c r="A25" s="593">
        <v>2</v>
      </c>
      <c r="B25" s="593"/>
      <c r="C25" s="593"/>
      <c r="D25" s="1339" t="s">
        <v>814</v>
      </c>
      <c r="E25" s="1340">
        <v>288000</v>
      </c>
    </row>
    <row r="26" spans="1:254" ht="16.5" hidden="1" x14ac:dyDescent="0.3">
      <c r="A26" s="593">
        <v>3</v>
      </c>
      <c r="B26" s="593"/>
      <c r="C26" s="593"/>
      <c r="D26" s="1341" t="s">
        <v>591</v>
      </c>
      <c r="E26" s="1340">
        <v>217000</v>
      </c>
    </row>
    <row r="27" spans="1:254" ht="33" hidden="1" x14ac:dyDescent="0.3">
      <c r="A27" s="593">
        <v>4</v>
      </c>
      <c r="B27" s="593"/>
      <c r="C27" s="593"/>
      <c r="D27" s="1341" t="s">
        <v>816</v>
      </c>
      <c r="E27" s="1340">
        <v>20000</v>
      </c>
    </row>
    <row r="28" spans="1:254" hidden="1" thickBot="1" x14ac:dyDescent="0.35">
      <c r="A28" s="593">
        <v>5</v>
      </c>
      <c r="B28" s="593"/>
      <c r="C28" s="593"/>
      <c r="D28" s="1342" t="s">
        <v>818</v>
      </c>
      <c r="E28" s="1343">
        <v>15000</v>
      </c>
    </row>
    <row r="29" spans="1:254" ht="18" hidden="1" thickBot="1" x14ac:dyDescent="0.35">
      <c r="A29" s="593">
        <v>6</v>
      </c>
      <c r="B29" s="593"/>
      <c r="C29" s="593"/>
      <c r="D29" s="1344" t="s">
        <v>625</v>
      </c>
      <c r="E29" s="1345">
        <f>SUM(E24:E28)</f>
        <v>561891</v>
      </c>
    </row>
    <row r="30" spans="1:254" hidden="1" x14ac:dyDescent="0.3"/>
  </sheetData>
  <mergeCells count="25">
    <mergeCell ref="A3:E3"/>
    <mergeCell ref="A4:E4"/>
    <mergeCell ref="E13:E14"/>
    <mergeCell ref="B19:B20"/>
    <mergeCell ref="C19:D19"/>
    <mergeCell ref="E19:E20"/>
    <mergeCell ref="E15:E16"/>
    <mergeCell ref="E17:E18"/>
    <mergeCell ref="B10:D10"/>
    <mergeCell ref="B11:B12"/>
    <mergeCell ref="C11:D11"/>
    <mergeCell ref="E11:E12"/>
    <mergeCell ref="A6:E6"/>
    <mergeCell ref="B21:D21"/>
    <mergeCell ref="A11:A12"/>
    <mergeCell ref="A13:A14"/>
    <mergeCell ref="A15:A16"/>
    <mergeCell ref="A17:A18"/>
    <mergeCell ref="A19:A20"/>
    <mergeCell ref="B15:B16"/>
    <mergeCell ref="C15:D15"/>
    <mergeCell ref="B17:B18"/>
    <mergeCell ref="C17:D17"/>
    <mergeCell ref="B13:B14"/>
    <mergeCell ref="C13:D13"/>
  </mergeCells>
  <printOptions horizontalCentered="1"/>
  <pageMargins left="0.19685039370078741" right="0.19685039370078741" top="0.59055118110236227" bottom="0.59055118110236227" header="0.51181102362204722" footer="0.51181102362204722"/>
  <pageSetup paperSize="9" fitToHeight="0" orientation="portrait" r:id="rId1"/>
  <headerFooter>
    <oddFooter>&amp;C-&amp;P -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7"/>
  <sheetViews>
    <sheetView view="pageBreakPreview" zoomScale="75" zoomScaleNormal="100" zoomScaleSheetLayoutView="75" workbookViewId="0">
      <selection activeCell="B2" sqref="B2"/>
    </sheetView>
  </sheetViews>
  <sheetFormatPr defaultColWidth="10.42578125" defaultRowHeight="16.5" x14ac:dyDescent="0.3"/>
  <cols>
    <col min="1" max="1" width="3.7109375" style="954" customWidth="1"/>
    <col min="2" max="3" width="5.7109375" style="277" customWidth="1"/>
    <col min="4" max="4" width="51.7109375" style="1187" customWidth="1"/>
    <col min="5" max="5" width="19.7109375" style="278" customWidth="1"/>
    <col min="6" max="6" width="3" style="276" customWidth="1"/>
    <col min="7" max="8" width="13.7109375" style="276" customWidth="1"/>
    <col min="9" max="11" width="12.28515625" style="276" customWidth="1"/>
    <col min="12" max="15" width="13.7109375" style="276" customWidth="1"/>
    <col min="16" max="16" width="15.7109375" style="276" customWidth="1"/>
    <col min="17" max="19" width="12.28515625" style="276" customWidth="1"/>
    <col min="20" max="23" width="13.7109375" style="276" customWidth="1"/>
    <col min="24" max="24" width="15.7109375" style="276" customWidth="1"/>
    <col min="25" max="16384" width="10.42578125" style="276"/>
  </cols>
  <sheetData>
    <row r="1" spans="1:24" x14ac:dyDescent="0.3">
      <c r="A1" s="1198"/>
      <c r="B1" s="2244" t="s">
        <v>921</v>
      </c>
      <c r="C1" s="2244"/>
      <c r="D1" s="2244"/>
      <c r="E1" s="2244"/>
      <c r="F1" s="2244"/>
      <c r="G1" s="2244"/>
      <c r="H1" s="2244"/>
      <c r="I1" s="2244"/>
      <c r="J1" s="2244"/>
      <c r="K1" s="2244"/>
      <c r="L1" s="2244"/>
      <c r="M1" s="2244"/>
      <c r="N1" s="2244"/>
      <c r="O1" s="2244"/>
      <c r="P1" s="2244"/>
      <c r="Q1" s="2244"/>
      <c r="R1" s="2244"/>
      <c r="S1" s="2244"/>
      <c r="T1" s="2244"/>
      <c r="U1" s="2244"/>
      <c r="V1" s="1229"/>
      <c r="W1" s="1229"/>
      <c r="X1" s="1229"/>
    </row>
    <row r="2" spans="1:24" s="17" customFormat="1" x14ac:dyDescent="0.3">
      <c r="A2" s="258"/>
      <c r="B2" s="1375"/>
      <c r="C2" s="1375"/>
      <c r="D2" s="1375"/>
      <c r="E2" s="14"/>
      <c r="F2" s="15"/>
      <c r="G2" s="952"/>
    </row>
    <row r="3" spans="1:24" ht="24.75" customHeight="1" x14ac:dyDescent="0.35">
      <c r="B3" s="2238" t="s">
        <v>113</v>
      </c>
      <c r="C3" s="2238"/>
      <c r="D3" s="2238"/>
      <c r="E3" s="2238"/>
      <c r="F3" s="2238"/>
      <c r="G3" s="2238"/>
      <c r="H3" s="2238"/>
      <c r="I3" s="2238"/>
      <c r="J3" s="2238"/>
      <c r="K3" s="2238"/>
      <c r="L3" s="2238"/>
      <c r="M3" s="2238"/>
      <c r="N3" s="2238"/>
      <c r="O3" s="2238"/>
      <c r="P3" s="2238"/>
      <c r="Q3" s="2238"/>
      <c r="R3" s="2238"/>
      <c r="S3" s="2238"/>
      <c r="T3" s="2238"/>
      <c r="U3" s="2238"/>
      <c r="V3" s="2238"/>
      <c r="W3" s="2238"/>
      <c r="X3" s="2238"/>
    </row>
    <row r="4" spans="1:24" ht="24.75" customHeight="1" x14ac:dyDescent="0.35">
      <c r="B4" s="2238" t="s">
        <v>374</v>
      </c>
      <c r="C4" s="2238"/>
      <c r="D4" s="2238"/>
      <c r="E4" s="2238"/>
      <c r="F4" s="2238"/>
      <c r="G4" s="2238"/>
      <c r="H4" s="2238"/>
      <c r="I4" s="2238"/>
      <c r="J4" s="2238"/>
      <c r="K4" s="2238"/>
      <c r="L4" s="2238"/>
      <c r="M4" s="2238"/>
      <c r="N4" s="2238"/>
      <c r="O4" s="2238"/>
      <c r="P4" s="2238"/>
      <c r="Q4" s="2238"/>
      <c r="R4" s="2238"/>
      <c r="S4" s="2238"/>
      <c r="T4" s="2238"/>
      <c r="U4" s="2238"/>
      <c r="V4" s="2238"/>
      <c r="W4" s="2238"/>
      <c r="X4" s="2238"/>
    </row>
    <row r="5" spans="1:24" ht="24.75" customHeight="1" x14ac:dyDescent="0.35">
      <c r="B5" s="2238" t="s">
        <v>350</v>
      </c>
      <c r="C5" s="2238"/>
      <c r="D5" s="2238"/>
      <c r="E5" s="2238"/>
      <c r="F5" s="2238"/>
      <c r="G5" s="2238"/>
      <c r="H5" s="2238"/>
      <c r="I5" s="2238"/>
      <c r="J5" s="2238"/>
      <c r="K5" s="2238"/>
      <c r="L5" s="2238"/>
      <c r="M5" s="2238"/>
      <c r="N5" s="2238"/>
      <c r="O5" s="2238"/>
      <c r="P5" s="2238"/>
      <c r="Q5" s="2238"/>
      <c r="R5" s="2238"/>
      <c r="S5" s="2238"/>
      <c r="T5" s="2238"/>
      <c r="U5" s="2238"/>
      <c r="V5" s="2238"/>
      <c r="W5" s="2238"/>
      <c r="X5" s="2238"/>
    </row>
    <row r="6" spans="1:24" s="953" customFormat="1" ht="15" x14ac:dyDescent="0.3">
      <c r="A6" s="954"/>
      <c r="B6" s="954"/>
      <c r="C6" s="954"/>
      <c r="D6" s="955"/>
      <c r="E6" s="956"/>
      <c r="W6" s="2239" t="s">
        <v>0</v>
      </c>
      <c r="X6" s="2239"/>
    </row>
    <row r="7" spans="1:24" s="954" customFormat="1" ht="15.75" thickBot="1" x14ac:dyDescent="0.35">
      <c r="B7" s="954" t="s">
        <v>608</v>
      </c>
      <c r="C7" s="954" t="s">
        <v>3</v>
      </c>
      <c r="D7" s="1027" t="s">
        <v>2</v>
      </c>
      <c r="E7" s="956" t="s">
        <v>4</v>
      </c>
      <c r="G7" s="954" t="s">
        <v>5</v>
      </c>
      <c r="H7" s="954" t="s">
        <v>15</v>
      </c>
      <c r="I7" s="954" t="s">
        <v>16</v>
      </c>
      <c r="J7" s="954" t="s">
        <v>17</v>
      </c>
      <c r="K7" s="954" t="s">
        <v>34</v>
      </c>
      <c r="L7" s="954" t="s">
        <v>30</v>
      </c>
      <c r="M7" s="954" t="s">
        <v>23</v>
      </c>
      <c r="O7" s="954" t="s">
        <v>35</v>
      </c>
      <c r="P7" s="954" t="s">
        <v>36</v>
      </c>
      <c r="Q7" s="954" t="s">
        <v>151</v>
      </c>
      <c r="R7" s="954" t="s">
        <v>152</v>
      </c>
      <c r="S7" s="954" t="s">
        <v>153</v>
      </c>
      <c r="T7" s="1028" t="s">
        <v>321</v>
      </c>
      <c r="U7" s="1028" t="s">
        <v>461</v>
      </c>
      <c r="V7" s="1028"/>
      <c r="W7" s="1028" t="s">
        <v>462</v>
      </c>
      <c r="X7" s="1028" t="s">
        <v>609</v>
      </c>
    </row>
    <row r="8" spans="1:24" s="279" customFormat="1" ht="24.75" customHeight="1" x14ac:dyDescent="0.2">
      <c r="A8" s="1029"/>
      <c r="B8" s="2255" t="s">
        <v>18</v>
      </c>
      <c r="C8" s="2258" t="s">
        <v>19</v>
      </c>
      <c r="D8" s="2261" t="s">
        <v>351</v>
      </c>
      <c r="E8" s="2264" t="s">
        <v>352</v>
      </c>
      <c r="F8" s="1030"/>
      <c r="G8" s="2267" t="s">
        <v>366</v>
      </c>
      <c r="H8" s="2267"/>
      <c r="I8" s="2268"/>
      <c r="J8" s="2268"/>
      <c r="K8" s="2268"/>
      <c r="L8" s="2268"/>
      <c r="M8" s="2268"/>
      <c r="N8" s="2268"/>
      <c r="O8" s="2268"/>
      <c r="P8" s="2269"/>
      <c r="Q8" s="2270" t="s">
        <v>367</v>
      </c>
      <c r="R8" s="2268"/>
      <c r="S8" s="2268"/>
      <c r="T8" s="2268"/>
      <c r="U8" s="2268"/>
      <c r="V8" s="2268"/>
      <c r="W8" s="2268"/>
      <c r="X8" s="2245" t="s">
        <v>468</v>
      </c>
    </row>
    <row r="9" spans="1:24" s="279" customFormat="1" ht="24.75" customHeight="1" x14ac:dyDescent="0.2">
      <c r="A9" s="1029"/>
      <c r="B9" s="2256"/>
      <c r="C9" s="2259"/>
      <c r="D9" s="2262"/>
      <c r="E9" s="2265"/>
      <c r="F9" s="1031"/>
      <c r="G9" s="2248" t="s">
        <v>353</v>
      </c>
      <c r="H9" s="2250" t="s">
        <v>623</v>
      </c>
      <c r="I9" s="2252" t="s">
        <v>355</v>
      </c>
      <c r="J9" s="2252"/>
      <c r="K9" s="2252"/>
      <c r="L9" s="2252"/>
      <c r="M9" s="2252"/>
      <c r="N9" s="2252"/>
      <c r="O9" s="2252"/>
      <c r="P9" s="2253" t="s">
        <v>354</v>
      </c>
      <c r="Q9" s="2271"/>
      <c r="R9" s="2272"/>
      <c r="S9" s="2272"/>
      <c r="T9" s="2272"/>
      <c r="U9" s="2272"/>
      <c r="V9" s="2272"/>
      <c r="W9" s="2272"/>
      <c r="X9" s="2246"/>
    </row>
    <row r="10" spans="1:24" s="279" customFormat="1" ht="60.75" customHeight="1" thickBot="1" x14ac:dyDescent="0.25">
      <c r="A10" s="1029"/>
      <c r="B10" s="2257"/>
      <c r="C10" s="2260"/>
      <c r="D10" s="2263"/>
      <c r="E10" s="2266"/>
      <c r="F10" s="1031"/>
      <c r="G10" s="2249"/>
      <c r="H10" s="2251"/>
      <c r="I10" s="356" t="s">
        <v>368</v>
      </c>
      <c r="J10" s="356" t="s">
        <v>431</v>
      </c>
      <c r="K10" s="356" t="s">
        <v>480</v>
      </c>
      <c r="L10" s="356" t="s">
        <v>610</v>
      </c>
      <c r="M10" s="356" t="s">
        <v>727</v>
      </c>
      <c r="N10" s="356" t="s">
        <v>728</v>
      </c>
      <c r="O10" s="356" t="s">
        <v>729</v>
      </c>
      <c r="P10" s="2254"/>
      <c r="Q10" s="357" t="s">
        <v>369</v>
      </c>
      <c r="R10" s="358" t="s">
        <v>431</v>
      </c>
      <c r="S10" s="358" t="s">
        <v>480</v>
      </c>
      <c r="T10" s="358" t="s">
        <v>610</v>
      </c>
      <c r="U10" s="358" t="s">
        <v>727</v>
      </c>
      <c r="V10" s="358" t="s">
        <v>728</v>
      </c>
      <c r="W10" s="358" t="s">
        <v>729</v>
      </c>
      <c r="X10" s="2247"/>
    </row>
    <row r="11" spans="1:24" s="279" customFormat="1" ht="33" customHeight="1" x14ac:dyDescent="0.35">
      <c r="A11" s="1032">
        <v>1</v>
      </c>
      <c r="B11" s="1033">
        <v>18</v>
      </c>
      <c r="C11" s="1034" t="s">
        <v>14</v>
      </c>
      <c r="D11" s="1035"/>
      <c r="E11" s="1036"/>
      <c r="F11" s="1037"/>
      <c r="G11" s="1038"/>
      <c r="H11" s="1039"/>
      <c r="I11" s="1040"/>
      <c r="J11" s="1040"/>
      <c r="K11" s="1040"/>
      <c r="L11" s="1040"/>
      <c r="M11" s="1040"/>
      <c r="N11" s="1040"/>
      <c r="O11" s="1040"/>
      <c r="P11" s="1041"/>
      <c r="Q11" s="1038"/>
      <c r="R11" s="1042"/>
      <c r="S11" s="1042"/>
      <c r="T11" s="1042"/>
      <c r="U11" s="1042"/>
      <c r="V11" s="1042"/>
      <c r="W11" s="1042"/>
      <c r="X11" s="1043"/>
    </row>
    <row r="12" spans="1:24" ht="33" customHeight="1" x14ac:dyDescent="0.3">
      <c r="A12" s="1032">
        <v>2</v>
      </c>
      <c r="B12" s="610"/>
      <c r="C12" s="1051">
        <v>1</v>
      </c>
      <c r="D12" s="1052" t="s">
        <v>417</v>
      </c>
      <c r="E12" s="1045" t="s">
        <v>612</v>
      </c>
      <c r="F12" s="281"/>
      <c r="G12" s="1046">
        <f t="shared" ref="G12:G32" si="0">+X12-P12-H12</f>
        <v>0</v>
      </c>
      <c r="H12" s="1047"/>
      <c r="I12" s="1048"/>
      <c r="J12" s="1048"/>
      <c r="K12" s="1048">
        <v>17017</v>
      </c>
      <c r="L12" s="1048">
        <v>8958</v>
      </c>
      <c r="M12" s="1199"/>
      <c r="N12" s="1199"/>
      <c r="O12" s="1048"/>
      <c r="P12" s="1049">
        <f t="shared" ref="P12:P32" si="1">SUM(I12:O12)</f>
        <v>25975</v>
      </c>
      <c r="Q12" s="1055"/>
      <c r="R12" s="1056"/>
      <c r="S12" s="1056">
        <v>12413</v>
      </c>
      <c r="T12" s="1056">
        <f>2345+10041</f>
        <v>12386</v>
      </c>
      <c r="U12" s="1056">
        <f>74+40+302</f>
        <v>416</v>
      </c>
      <c r="V12" s="1056">
        <v>760</v>
      </c>
      <c r="W12" s="1048"/>
      <c r="X12" s="1050">
        <f t="shared" ref="X12:X32" si="2">SUM(Q12:W12)</f>
        <v>25975</v>
      </c>
    </row>
    <row r="13" spans="1:24" ht="33" customHeight="1" x14ac:dyDescent="0.3">
      <c r="A13" s="1032">
        <v>3</v>
      </c>
      <c r="B13" s="610"/>
      <c r="C13" s="1051">
        <v>2</v>
      </c>
      <c r="D13" s="1044" t="s">
        <v>509</v>
      </c>
      <c r="E13" s="1045" t="s">
        <v>611</v>
      </c>
      <c r="F13" s="281"/>
      <c r="G13" s="1053">
        <f t="shared" si="0"/>
        <v>96476</v>
      </c>
      <c r="H13" s="1054"/>
      <c r="I13" s="1048"/>
      <c r="J13" s="1048"/>
      <c r="K13" s="1048"/>
      <c r="L13" s="1048"/>
      <c r="M13" s="1048">
        <v>223100</v>
      </c>
      <c r="N13" s="1048"/>
      <c r="O13" s="1048"/>
      <c r="P13" s="1049">
        <f t="shared" si="1"/>
        <v>223100</v>
      </c>
      <c r="Q13" s="1055"/>
      <c r="R13" s="1056">
        <v>6699</v>
      </c>
      <c r="S13" s="1056"/>
      <c r="T13" s="1056"/>
      <c r="U13" s="1056"/>
      <c r="V13" s="1056">
        <f>275877+37000</f>
        <v>312877</v>
      </c>
      <c r="W13" s="1048"/>
      <c r="X13" s="1050">
        <f t="shared" si="2"/>
        <v>319576</v>
      </c>
    </row>
    <row r="14" spans="1:24" s="279" customFormat="1" ht="33" x14ac:dyDescent="0.3">
      <c r="A14" s="1032">
        <v>4</v>
      </c>
      <c r="B14" s="610"/>
      <c r="C14" s="1051">
        <v>3</v>
      </c>
      <c r="D14" s="407" t="s">
        <v>471</v>
      </c>
      <c r="E14" s="1045" t="s">
        <v>611</v>
      </c>
      <c r="F14" s="611"/>
      <c r="G14" s="1053">
        <f t="shared" si="0"/>
        <v>29474</v>
      </c>
      <c r="H14" s="1054"/>
      <c r="I14" s="1048"/>
      <c r="J14" s="1048"/>
      <c r="K14" s="1048"/>
      <c r="L14" s="1048">
        <v>134273</v>
      </c>
      <c r="M14" s="1048">
        <v>-134273</v>
      </c>
      <c r="N14" s="1048">
        <v>134273</v>
      </c>
      <c r="O14" s="1048"/>
      <c r="P14" s="1049">
        <f t="shared" si="1"/>
        <v>134273</v>
      </c>
      <c r="Q14" s="1046">
        <v>2921</v>
      </c>
      <c r="R14" s="1048">
        <v>3620</v>
      </c>
      <c r="S14" s="1048"/>
      <c r="T14" s="1048"/>
      <c r="U14" s="1048">
        <f>40</f>
        <v>40</v>
      </c>
      <c r="V14" s="1048">
        <f>342+165574+3250-12000</f>
        <v>157166</v>
      </c>
      <c r="W14" s="1048"/>
      <c r="X14" s="1050">
        <f t="shared" si="2"/>
        <v>163747</v>
      </c>
    </row>
    <row r="15" spans="1:24" ht="33" customHeight="1" x14ac:dyDescent="0.3">
      <c r="A15" s="1032">
        <v>5</v>
      </c>
      <c r="B15" s="610"/>
      <c r="C15" s="1051">
        <v>4</v>
      </c>
      <c r="D15" s="1044" t="s">
        <v>511</v>
      </c>
      <c r="E15" s="1045" t="s">
        <v>613</v>
      </c>
      <c r="F15" s="281"/>
      <c r="G15" s="1053">
        <f t="shared" si="0"/>
        <v>28154</v>
      </c>
      <c r="H15" s="1054"/>
      <c r="I15" s="1048"/>
      <c r="J15" s="1048"/>
      <c r="K15" s="1048"/>
      <c r="L15" s="1048">
        <v>19069</v>
      </c>
      <c r="M15" s="1048"/>
      <c r="N15" s="1048">
        <v>17569</v>
      </c>
      <c r="O15" s="1048"/>
      <c r="P15" s="1049">
        <f t="shared" si="1"/>
        <v>36638</v>
      </c>
      <c r="Q15" s="1046"/>
      <c r="R15" s="1048"/>
      <c r="S15" s="1048">
        <v>1956</v>
      </c>
      <c r="T15" s="1048"/>
      <c r="U15" s="1048"/>
      <c r="V15" s="1048">
        <v>62836</v>
      </c>
      <c r="W15" s="1048"/>
      <c r="X15" s="1050">
        <f t="shared" si="2"/>
        <v>64792</v>
      </c>
    </row>
    <row r="16" spans="1:24" ht="33" customHeight="1" x14ac:dyDescent="0.3">
      <c r="A16" s="1032">
        <v>6</v>
      </c>
      <c r="B16" s="610"/>
      <c r="C16" s="1051">
        <v>5</v>
      </c>
      <c r="D16" s="1044" t="s">
        <v>512</v>
      </c>
      <c r="E16" s="1045" t="s">
        <v>613</v>
      </c>
      <c r="F16" s="281"/>
      <c r="G16" s="1053">
        <f t="shared" si="0"/>
        <v>2557</v>
      </c>
      <c r="H16" s="1054"/>
      <c r="I16" s="1048"/>
      <c r="J16" s="1048"/>
      <c r="K16" s="1048"/>
      <c r="L16" s="1048">
        <v>27673</v>
      </c>
      <c r="M16" s="1048"/>
      <c r="N16" s="1048">
        <f>25819+23629</f>
        <v>49448</v>
      </c>
      <c r="O16" s="1048"/>
      <c r="P16" s="1049">
        <f t="shared" si="1"/>
        <v>77121</v>
      </c>
      <c r="Q16" s="1046"/>
      <c r="R16" s="1048"/>
      <c r="S16" s="1048">
        <v>2459</v>
      </c>
      <c r="T16" s="1048"/>
      <c r="U16" s="1048">
        <v>140</v>
      </c>
      <c r="V16" s="1048">
        <f>170+76280+629</f>
        <v>77079</v>
      </c>
      <c r="W16" s="1048"/>
      <c r="X16" s="1050">
        <f t="shared" si="2"/>
        <v>79678</v>
      </c>
    </row>
    <row r="17" spans="1:24" s="279" customFormat="1" ht="66" x14ac:dyDescent="0.3">
      <c r="A17" s="1032">
        <v>7</v>
      </c>
      <c r="B17" s="610"/>
      <c r="C17" s="1051">
        <v>6</v>
      </c>
      <c r="D17" s="407" t="s">
        <v>730</v>
      </c>
      <c r="E17" s="1045" t="s">
        <v>731</v>
      </c>
      <c r="F17" s="611"/>
      <c r="G17" s="1053">
        <f t="shared" si="0"/>
        <v>750</v>
      </c>
      <c r="H17" s="1054"/>
      <c r="I17" s="1048"/>
      <c r="J17" s="1048"/>
      <c r="K17" s="1048"/>
      <c r="L17" s="1048"/>
      <c r="M17" s="1048">
        <v>307086</v>
      </c>
      <c r="N17" s="1048"/>
      <c r="O17" s="1048"/>
      <c r="P17" s="1049">
        <f t="shared" si="1"/>
        <v>307086</v>
      </c>
      <c r="Q17" s="1046"/>
      <c r="R17" s="1048"/>
      <c r="S17" s="1048">
        <f>984+40</f>
        <v>1024</v>
      </c>
      <c r="T17" s="1048">
        <v>40</v>
      </c>
      <c r="U17" s="1048">
        <f>108+800</f>
        <v>908</v>
      </c>
      <c r="V17" s="1048">
        <f>474+305390</f>
        <v>305864</v>
      </c>
      <c r="W17" s="1048"/>
      <c r="X17" s="1050">
        <f t="shared" si="2"/>
        <v>307836</v>
      </c>
    </row>
    <row r="18" spans="1:24" ht="33" customHeight="1" x14ac:dyDescent="0.3">
      <c r="A18" s="1032">
        <v>8</v>
      </c>
      <c r="B18" s="610"/>
      <c r="C18" s="1051">
        <v>7</v>
      </c>
      <c r="D18" s="1044" t="s">
        <v>510</v>
      </c>
      <c r="E18" s="1045" t="s">
        <v>611</v>
      </c>
      <c r="F18" s="281"/>
      <c r="G18" s="1053">
        <f t="shared" si="0"/>
        <v>129006</v>
      </c>
      <c r="H18" s="1054"/>
      <c r="I18" s="1048"/>
      <c r="J18" s="1048"/>
      <c r="K18" s="1048"/>
      <c r="L18" s="1048">
        <v>173975</v>
      </c>
      <c r="M18" s="1048"/>
      <c r="N18" s="1048"/>
      <c r="O18" s="1048"/>
      <c r="P18" s="1049">
        <f t="shared" si="1"/>
        <v>173975</v>
      </c>
      <c r="Q18" s="1046"/>
      <c r="R18" s="1048"/>
      <c r="S18" s="1048">
        <v>6401</v>
      </c>
      <c r="T18" s="1048">
        <v>100</v>
      </c>
      <c r="U18" s="1048">
        <f>128</f>
        <v>128</v>
      </c>
      <c r="V18" s="1048">
        <f>150+328202-32000</f>
        <v>296352</v>
      </c>
      <c r="W18" s="1048"/>
      <c r="X18" s="1050">
        <f t="shared" si="2"/>
        <v>302981</v>
      </c>
    </row>
    <row r="19" spans="1:24" ht="33" customHeight="1" x14ac:dyDescent="0.3">
      <c r="A19" s="1032">
        <v>9</v>
      </c>
      <c r="B19" s="610"/>
      <c r="C19" s="1051">
        <v>8</v>
      </c>
      <c r="D19" s="1044" t="s">
        <v>513</v>
      </c>
      <c r="E19" s="1045" t="s">
        <v>614</v>
      </c>
      <c r="F19" s="281"/>
      <c r="G19" s="1053">
        <f t="shared" si="0"/>
        <v>397000</v>
      </c>
      <c r="H19" s="1054"/>
      <c r="I19" s="1048"/>
      <c r="J19" s="1048"/>
      <c r="K19" s="1048">
        <v>2092161</v>
      </c>
      <c r="L19" s="1048"/>
      <c r="M19" s="1048">
        <f>1107839-607839</f>
        <v>500000</v>
      </c>
      <c r="N19" s="1048">
        <v>607839</v>
      </c>
      <c r="O19" s="1048"/>
      <c r="P19" s="1049">
        <f t="shared" si="1"/>
        <v>3200000</v>
      </c>
      <c r="Q19" s="1046">
        <v>40063</v>
      </c>
      <c r="R19" s="1048">
        <v>83854</v>
      </c>
      <c r="S19" s="1048">
        <v>327034</v>
      </c>
      <c r="T19" s="1048">
        <v>1231269</v>
      </c>
      <c r="U19" s="1048">
        <f>710+1172933</f>
        <v>1173643</v>
      </c>
      <c r="V19" s="1048">
        <f>712+740425</f>
        <v>741137</v>
      </c>
      <c r="W19" s="1048"/>
      <c r="X19" s="1050">
        <f t="shared" si="2"/>
        <v>3597000</v>
      </c>
    </row>
    <row r="20" spans="1:24" ht="33" customHeight="1" x14ac:dyDescent="0.3">
      <c r="A20" s="1032">
        <v>10</v>
      </c>
      <c r="B20" s="610"/>
      <c r="C20" s="1051">
        <v>9</v>
      </c>
      <c r="D20" s="1044" t="s">
        <v>703</v>
      </c>
      <c r="E20" s="1045" t="s">
        <v>615</v>
      </c>
      <c r="F20" s="281"/>
      <c r="G20" s="1053">
        <f t="shared" si="0"/>
        <v>183</v>
      </c>
      <c r="H20" s="1054"/>
      <c r="I20" s="1048"/>
      <c r="J20" s="1048"/>
      <c r="K20" s="1048">
        <v>19671</v>
      </c>
      <c r="L20" s="1048"/>
      <c r="M20" s="1048"/>
      <c r="N20" s="1048">
        <v>220329</v>
      </c>
      <c r="O20" s="1048"/>
      <c r="P20" s="1049">
        <f t="shared" si="1"/>
        <v>240000</v>
      </c>
      <c r="Q20" s="1046"/>
      <c r="R20" s="1048"/>
      <c r="S20" s="1048">
        <v>9749</v>
      </c>
      <c r="T20" s="1048">
        <v>3835</v>
      </c>
      <c r="U20" s="1048">
        <f>1005+6692</f>
        <v>7697</v>
      </c>
      <c r="V20" s="1048">
        <f>2010+217401+6000+183-6692</f>
        <v>218902</v>
      </c>
      <c r="W20" s="1048"/>
      <c r="X20" s="1050">
        <f t="shared" si="2"/>
        <v>240183</v>
      </c>
    </row>
    <row r="21" spans="1:24" s="279" customFormat="1" ht="33" x14ac:dyDescent="0.2">
      <c r="A21" s="1032">
        <v>11</v>
      </c>
      <c r="B21" s="610"/>
      <c r="C21" s="1051">
        <v>10</v>
      </c>
      <c r="D21" s="1044" t="s">
        <v>514</v>
      </c>
      <c r="E21" s="1045" t="s">
        <v>616</v>
      </c>
      <c r="F21" s="611"/>
      <c r="G21" s="1053">
        <f t="shared" si="0"/>
        <v>0</v>
      </c>
      <c r="H21" s="1054"/>
      <c r="I21" s="1048"/>
      <c r="J21" s="1048"/>
      <c r="K21" s="1048"/>
      <c r="L21" s="1048">
        <v>480600</v>
      </c>
      <c r="M21" s="1048"/>
      <c r="N21" s="1048">
        <v>21000</v>
      </c>
      <c r="O21" s="1048"/>
      <c r="P21" s="1049">
        <f t="shared" si="1"/>
        <v>501600</v>
      </c>
      <c r="Q21" s="1046"/>
      <c r="R21" s="1048"/>
      <c r="S21" s="1048">
        <v>326</v>
      </c>
      <c r="T21" s="1048">
        <v>17127</v>
      </c>
      <c r="U21" s="1048">
        <f>1549+2433</f>
        <v>3982</v>
      </c>
      <c r="V21" s="1048">
        <f>8311+459854+12000</f>
        <v>480165</v>
      </c>
      <c r="W21" s="1048"/>
      <c r="X21" s="1050">
        <f t="shared" si="2"/>
        <v>501600</v>
      </c>
    </row>
    <row r="22" spans="1:24" s="279" customFormat="1" ht="55.5" customHeight="1" x14ac:dyDescent="0.2">
      <c r="A22" s="1032">
        <v>12</v>
      </c>
      <c r="B22" s="610"/>
      <c r="C22" s="1051">
        <v>11</v>
      </c>
      <c r="D22" s="1044" t="s">
        <v>434</v>
      </c>
      <c r="E22" s="1045" t="s">
        <v>617</v>
      </c>
      <c r="F22" s="611"/>
      <c r="G22" s="1053">
        <f t="shared" si="0"/>
        <v>143176</v>
      </c>
      <c r="H22" s="1054"/>
      <c r="I22" s="1048">
        <v>977327</v>
      </c>
      <c r="J22" s="1048"/>
      <c r="K22" s="1048"/>
      <c r="L22" s="1048"/>
      <c r="M22" s="1048">
        <v>27091</v>
      </c>
      <c r="N22" s="1048"/>
      <c r="O22" s="1048"/>
      <c r="P22" s="1049">
        <f t="shared" si="1"/>
        <v>1004418</v>
      </c>
      <c r="Q22" s="1046">
        <v>25062</v>
      </c>
      <c r="R22" s="1048">
        <v>32060</v>
      </c>
      <c r="S22" s="1048">
        <v>393153</v>
      </c>
      <c r="T22" s="1048">
        <f>688437</f>
        <v>688437</v>
      </c>
      <c r="U22" s="1048">
        <v>260</v>
      </c>
      <c r="V22" s="1048">
        <v>8622</v>
      </c>
      <c r="W22" s="1048"/>
      <c r="X22" s="1050">
        <f>SUM(Q22:W22)</f>
        <v>1147594</v>
      </c>
    </row>
    <row r="23" spans="1:24" s="279" customFormat="1" ht="55.5" customHeight="1" x14ac:dyDescent="0.2">
      <c r="A23" s="1032">
        <v>13</v>
      </c>
      <c r="B23" s="610"/>
      <c r="C23" s="1051">
        <v>12</v>
      </c>
      <c r="D23" s="1044" t="s">
        <v>732</v>
      </c>
      <c r="E23" s="1045" t="s">
        <v>618</v>
      </c>
      <c r="F23" s="611"/>
      <c r="G23" s="1053">
        <f t="shared" si="0"/>
        <v>0</v>
      </c>
      <c r="H23" s="1054"/>
      <c r="I23" s="1048"/>
      <c r="J23" s="1048"/>
      <c r="K23" s="1048"/>
      <c r="L23" s="1048"/>
      <c r="M23" s="1048"/>
      <c r="N23" s="1048">
        <v>906000</v>
      </c>
      <c r="O23" s="1048"/>
      <c r="P23" s="1049">
        <f t="shared" si="1"/>
        <v>906000</v>
      </c>
      <c r="Q23" s="1046"/>
      <c r="R23" s="1048"/>
      <c r="S23" s="1048"/>
      <c r="T23" s="1048"/>
      <c r="U23" s="1048">
        <v>5906</v>
      </c>
      <c r="V23" s="1048">
        <f>906000-5906</f>
        <v>900094</v>
      </c>
      <c r="W23" s="1048"/>
      <c r="X23" s="1050">
        <f>SUM(Q23:W23)</f>
        <v>906000</v>
      </c>
    </row>
    <row r="24" spans="1:24" ht="34.5" customHeight="1" x14ac:dyDescent="0.3">
      <c r="A24" s="1032">
        <v>14</v>
      </c>
      <c r="B24" s="610"/>
      <c r="C24" s="1051">
        <v>13</v>
      </c>
      <c r="D24" s="1044" t="s">
        <v>416</v>
      </c>
      <c r="E24" s="1045" t="s">
        <v>612</v>
      </c>
      <c r="F24" s="281"/>
      <c r="G24" s="1053">
        <f t="shared" si="0"/>
        <v>62406</v>
      </c>
      <c r="H24" s="1054"/>
      <c r="I24" s="1048"/>
      <c r="J24" s="1048"/>
      <c r="K24" s="1048">
        <v>227554</v>
      </c>
      <c r="L24" s="1048"/>
      <c r="M24" s="1048">
        <v>10916</v>
      </c>
      <c r="N24" s="1048"/>
      <c r="O24" s="1048"/>
      <c r="P24" s="1049">
        <f t="shared" si="1"/>
        <v>238470</v>
      </c>
      <c r="Q24" s="1046"/>
      <c r="R24" s="1048"/>
      <c r="S24" s="1048">
        <v>4460</v>
      </c>
      <c r="T24" s="1056">
        <v>267453</v>
      </c>
      <c r="U24" s="1056">
        <v>0</v>
      </c>
      <c r="V24" s="1056">
        <f>1087+21914+5962</f>
        <v>28963</v>
      </c>
      <c r="W24" s="1048"/>
      <c r="X24" s="1050">
        <f t="shared" si="2"/>
        <v>300876</v>
      </c>
    </row>
    <row r="25" spans="1:24" s="1205" customFormat="1" ht="33" customHeight="1" x14ac:dyDescent="0.3">
      <c r="A25" s="1032">
        <v>15</v>
      </c>
      <c r="B25" s="1200"/>
      <c r="C25" s="1201">
        <v>14</v>
      </c>
      <c r="D25" s="1058" t="s">
        <v>733</v>
      </c>
      <c r="E25" s="1130" t="s">
        <v>734</v>
      </c>
      <c r="F25" s="1202"/>
      <c r="G25" s="1059">
        <f t="shared" si="0"/>
        <v>0</v>
      </c>
      <c r="H25" s="1060"/>
      <c r="I25" s="1056"/>
      <c r="J25" s="1056"/>
      <c r="K25" s="1056"/>
      <c r="L25" s="1056"/>
      <c r="M25" s="1056"/>
      <c r="N25" s="1056">
        <v>2787362</v>
      </c>
      <c r="O25" s="1056">
        <v>118938</v>
      </c>
      <c r="P25" s="1203">
        <f t="shared" si="1"/>
        <v>2906300</v>
      </c>
      <c r="Q25" s="1055"/>
      <c r="R25" s="1056"/>
      <c r="S25" s="1056"/>
      <c r="T25" s="1056"/>
      <c r="U25" s="1204"/>
      <c r="V25" s="1056">
        <v>2787362</v>
      </c>
      <c r="W25" s="1056">
        <v>118938</v>
      </c>
      <c r="X25" s="1050">
        <f t="shared" si="2"/>
        <v>2906300</v>
      </c>
    </row>
    <row r="26" spans="1:24" ht="33" customHeight="1" x14ac:dyDescent="0.3">
      <c r="A26" s="1032">
        <v>16</v>
      </c>
      <c r="B26" s="610"/>
      <c r="C26" s="1051">
        <v>15</v>
      </c>
      <c r="D26" s="1044" t="s">
        <v>738</v>
      </c>
      <c r="E26" s="1045" t="s">
        <v>616</v>
      </c>
      <c r="F26" s="281"/>
      <c r="G26" s="1059">
        <f t="shared" si="0"/>
        <v>0</v>
      </c>
      <c r="H26" s="1060">
        <v>277946</v>
      </c>
      <c r="I26" s="1048"/>
      <c r="J26" s="1048"/>
      <c r="K26" s="1048">
        <v>558299</v>
      </c>
      <c r="L26" s="1048"/>
      <c r="M26" s="1048"/>
      <c r="N26" s="1048">
        <v>793085</v>
      </c>
      <c r="O26" s="1048"/>
      <c r="P26" s="1049">
        <f t="shared" si="1"/>
        <v>1351384</v>
      </c>
      <c r="Q26" s="1055"/>
      <c r="R26" s="1056"/>
      <c r="S26" s="1056">
        <v>28000</v>
      </c>
      <c r="T26" s="1056">
        <v>26441</v>
      </c>
      <c r="U26" s="1056">
        <v>46228</v>
      </c>
      <c r="V26" s="1056">
        <v>1528661</v>
      </c>
      <c r="W26" s="1048"/>
      <c r="X26" s="1050">
        <f t="shared" si="2"/>
        <v>1629330</v>
      </c>
    </row>
    <row r="27" spans="1:24" ht="49.5" x14ac:dyDescent="0.3">
      <c r="A27" s="1032">
        <v>17</v>
      </c>
      <c r="B27" s="610"/>
      <c r="C27" s="1051">
        <v>16</v>
      </c>
      <c r="D27" s="1061" t="s">
        <v>516</v>
      </c>
      <c r="E27" s="1045" t="s">
        <v>618</v>
      </c>
      <c r="F27" s="281"/>
      <c r="G27" s="1053">
        <f t="shared" si="0"/>
        <v>300126</v>
      </c>
      <c r="H27" s="1054"/>
      <c r="I27" s="1048"/>
      <c r="J27" s="1048"/>
      <c r="K27" s="1048"/>
      <c r="L27" s="1048">
        <v>243150</v>
      </c>
      <c r="M27" s="1048"/>
      <c r="N27" s="1048">
        <v>11850</v>
      </c>
      <c r="O27" s="1048"/>
      <c r="P27" s="1049">
        <f t="shared" si="1"/>
        <v>255000</v>
      </c>
      <c r="Q27" s="1046"/>
      <c r="R27" s="1048"/>
      <c r="S27" s="1048">
        <v>4379</v>
      </c>
      <c r="T27" s="1048">
        <v>12827</v>
      </c>
      <c r="U27" s="1048"/>
      <c r="V27" s="1048">
        <f>249920+288000</f>
        <v>537920</v>
      </c>
      <c r="W27" s="1048"/>
      <c r="X27" s="1050">
        <f t="shared" si="2"/>
        <v>555126</v>
      </c>
    </row>
    <row r="28" spans="1:24" s="1205" customFormat="1" ht="33" customHeight="1" x14ac:dyDescent="0.3">
      <c r="A28" s="1032">
        <v>18</v>
      </c>
      <c r="B28" s="1200"/>
      <c r="C28" s="1206">
        <v>17</v>
      </c>
      <c r="D28" s="1052" t="s">
        <v>592</v>
      </c>
      <c r="E28" s="1130" t="s">
        <v>619</v>
      </c>
      <c r="F28" s="1202"/>
      <c r="G28" s="1059">
        <f t="shared" si="0"/>
        <v>0</v>
      </c>
      <c r="H28" s="1060"/>
      <c r="I28" s="1056"/>
      <c r="J28" s="1056"/>
      <c r="K28" s="1056"/>
      <c r="L28" s="1056">
        <f>23652+14397</f>
        <v>38049</v>
      </c>
      <c r="M28" s="1056">
        <f>29993+15185+6342</f>
        <v>51520</v>
      </c>
      <c r="N28" s="1056">
        <f>1812+55770+36849</f>
        <v>94431</v>
      </c>
      <c r="O28" s="1056"/>
      <c r="P28" s="1203">
        <f t="shared" si="1"/>
        <v>184000</v>
      </c>
      <c r="Q28" s="1055"/>
      <c r="R28" s="1056"/>
      <c r="S28" s="1056">
        <v>9200</v>
      </c>
      <c r="T28" s="1056">
        <f>3350+5228+2097</f>
        <v>10675</v>
      </c>
      <c r="U28" s="1056">
        <f>13739+5801</f>
        <v>19540</v>
      </c>
      <c r="V28" s="1056">
        <f>19255+75640+49690</f>
        <v>144585</v>
      </c>
      <c r="W28" s="1056"/>
      <c r="X28" s="1050">
        <f t="shared" si="2"/>
        <v>184000</v>
      </c>
    </row>
    <row r="29" spans="1:24" ht="49.5" x14ac:dyDescent="0.3">
      <c r="A29" s="1032">
        <v>19</v>
      </c>
      <c r="B29" s="610"/>
      <c r="C29" s="1051">
        <v>18</v>
      </c>
      <c r="D29" s="1044" t="s">
        <v>433</v>
      </c>
      <c r="E29" s="1045" t="s">
        <v>616</v>
      </c>
      <c r="F29" s="281"/>
      <c r="G29" s="1053">
        <f t="shared" si="0"/>
        <v>695</v>
      </c>
      <c r="H29" s="1054"/>
      <c r="I29" s="1048"/>
      <c r="J29" s="1048"/>
      <c r="K29" s="1048">
        <v>24175</v>
      </c>
      <c r="L29" s="1048"/>
      <c r="M29" s="1048">
        <v>26185</v>
      </c>
      <c r="N29" s="1048"/>
      <c r="O29" s="1048"/>
      <c r="P29" s="1049">
        <f t="shared" si="1"/>
        <v>50360</v>
      </c>
      <c r="Q29" s="1055"/>
      <c r="R29" s="1056"/>
      <c r="S29" s="1056">
        <v>1176</v>
      </c>
      <c r="T29" s="1056">
        <v>23808</v>
      </c>
      <c r="U29" s="1056">
        <f>744+333+7845</f>
        <v>8922</v>
      </c>
      <c r="V29" s="1056">
        <v>17149</v>
      </c>
      <c r="W29" s="1048"/>
      <c r="X29" s="1050">
        <f t="shared" si="2"/>
        <v>51055</v>
      </c>
    </row>
    <row r="30" spans="1:24" ht="33" customHeight="1" x14ac:dyDescent="0.3">
      <c r="A30" s="1032">
        <v>20</v>
      </c>
      <c r="B30" s="610"/>
      <c r="C30" s="1057">
        <v>19</v>
      </c>
      <c r="D30" s="1044" t="s">
        <v>620</v>
      </c>
      <c r="E30" s="1045" t="s">
        <v>618</v>
      </c>
      <c r="F30" s="281"/>
      <c r="G30" s="1053">
        <f t="shared" si="0"/>
        <v>11302</v>
      </c>
      <c r="H30" s="1054"/>
      <c r="I30" s="1048"/>
      <c r="J30" s="1048"/>
      <c r="K30" s="1048"/>
      <c r="L30" s="1048"/>
      <c r="M30" s="1048">
        <v>4371</v>
      </c>
      <c r="N30" s="1048">
        <v>12634</v>
      </c>
      <c r="O30" s="1048"/>
      <c r="P30" s="1049">
        <f t="shared" si="1"/>
        <v>17005</v>
      </c>
      <c r="Q30" s="1046"/>
      <c r="R30" s="1048"/>
      <c r="S30" s="1048"/>
      <c r="T30" s="1048">
        <v>8399</v>
      </c>
      <c r="U30" s="1048">
        <f>2398+427+2216+2237</f>
        <v>7278</v>
      </c>
      <c r="V30" s="1048">
        <f>9358+76+2781+415</f>
        <v>12630</v>
      </c>
      <c r="W30" s="1048"/>
      <c r="X30" s="1050">
        <f t="shared" si="2"/>
        <v>28307</v>
      </c>
    </row>
    <row r="31" spans="1:24" ht="33" customHeight="1" x14ac:dyDescent="0.3">
      <c r="A31" s="1032">
        <v>21</v>
      </c>
      <c r="B31" s="1207"/>
      <c r="C31" s="1201">
        <v>20</v>
      </c>
      <c r="D31" s="1208" t="s">
        <v>520</v>
      </c>
      <c r="E31" s="1130" t="s">
        <v>618</v>
      </c>
      <c r="F31" s="1209"/>
      <c r="G31" s="1053">
        <f t="shared" si="0"/>
        <v>15000</v>
      </c>
      <c r="H31" s="1048"/>
      <c r="I31" s="1048"/>
      <c r="J31" s="1048"/>
      <c r="K31" s="1048"/>
      <c r="L31" s="1048"/>
      <c r="M31" s="1048">
        <v>0</v>
      </c>
      <c r="N31" s="1048">
        <v>40000</v>
      </c>
      <c r="O31" s="1048"/>
      <c r="P31" s="1049">
        <f t="shared" si="1"/>
        <v>40000</v>
      </c>
      <c r="Q31" s="1046"/>
      <c r="R31" s="1048"/>
      <c r="S31" s="1048"/>
      <c r="T31" s="1048"/>
      <c r="U31" s="1048">
        <v>1680</v>
      </c>
      <c r="V31" s="1048">
        <f>295+38025+15000</f>
        <v>53320</v>
      </c>
      <c r="W31" s="1048"/>
      <c r="X31" s="1050">
        <f t="shared" si="2"/>
        <v>55000</v>
      </c>
    </row>
    <row r="32" spans="1:24" ht="53.25" customHeight="1" x14ac:dyDescent="0.3">
      <c r="A32" s="1032">
        <v>22</v>
      </c>
      <c r="B32" s="1207"/>
      <c r="C32" s="1210">
        <v>21</v>
      </c>
      <c r="D32" s="968" t="s">
        <v>521</v>
      </c>
      <c r="E32" s="1130" t="s">
        <v>618</v>
      </c>
      <c r="F32" s="1211"/>
      <c r="G32" s="1053">
        <f t="shared" si="0"/>
        <v>0</v>
      </c>
      <c r="H32" s="1054"/>
      <c r="I32" s="1212"/>
      <c r="J32" s="1212"/>
      <c r="K32" s="1212"/>
      <c r="L32" s="1212"/>
      <c r="M32" s="1212">
        <v>19985</v>
      </c>
      <c r="N32" s="1212"/>
      <c r="O32" s="1212"/>
      <c r="P32" s="1049">
        <f t="shared" si="1"/>
        <v>19985</v>
      </c>
      <c r="Q32" s="1053"/>
      <c r="R32" s="1212"/>
      <c r="S32" s="1212"/>
      <c r="T32" s="1212"/>
      <c r="U32" s="1212"/>
      <c r="V32" s="1212">
        <v>19985</v>
      </c>
      <c r="W32" s="1212"/>
      <c r="X32" s="1050">
        <f t="shared" si="2"/>
        <v>19985</v>
      </c>
    </row>
    <row r="33" spans="1:24" s="279" customFormat="1" ht="33" customHeight="1" x14ac:dyDescent="0.35">
      <c r="A33" s="1032">
        <v>23</v>
      </c>
      <c r="B33" s="1033">
        <v>14</v>
      </c>
      <c r="C33" s="1034" t="s">
        <v>429</v>
      </c>
      <c r="D33" s="1035"/>
      <c r="E33" s="1213"/>
      <c r="F33" s="1037"/>
      <c r="G33" s="1065"/>
      <c r="H33" s="1062"/>
      <c r="I33" s="1063"/>
      <c r="J33" s="1063"/>
      <c r="K33" s="1063"/>
      <c r="L33" s="1063"/>
      <c r="M33" s="1063"/>
      <c r="N33" s="1063"/>
      <c r="O33" s="1063"/>
      <c r="P33" s="1064"/>
      <c r="Q33" s="1065"/>
      <c r="R33" s="1066"/>
      <c r="S33" s="1066"/>
      <c r="T33" s="1066"/>
      <c r="U33" s="1066"/>
      <c r="V33" s="1066"/>
      <c r="W33" s="1066"/>
      <c r="X33" s="1067"/>
    </row>
    <row r="34" spans="1:24" ht="33" customHeight="1" x14ac:dyDescent="0.3">
      <c r="A34" s="1032">
        <v>24</v>
      </c>
      <c r="B34" s="1214"/>
      <c r="C34" s="1051">
        <v>3</v>
      </c>
      <c r="D34" s="1044" t="s">
        <v>640</v>
      </c>
      <c r="E34" s="1215" t="s">
        <v>735</v>
      </c>
      <c r="F34" s="1216"/>
      <c r="G34" s="1217">
        <f t="shared" ref="G34:G38" si="3">+X34-P34-H34</f>
        <v>142</v>
      </c>
      <c r="H34" s="1218"/>
      <c r="I34" s="1219"/>
      <c r="J34" s="1219"/>
      <c r="K34" s="1219"/>
      <c r="L34" s="1219"/>
      <c r="M34" s="1219">
        <v>2602</v>
      </c>
      <c r="N34" s="1366">
        <v>4099</v>
      </c>
      <c r="O34" s="1219"/>
      <c r="P34" s="1220">
        <f>SUM(I34:O34)</f>
        <v>6701</v>
      </c>
      <c r="Q34" s="1217"/>
      <c r="R34" s="1219"/>
      <c r="S34" s="1219"/>
      <c r="T34" s="1219"/>
      <c r="U34" s="1219"/>
      <c r="V34" s="1219">
        <v>6843</v>
      </c>
      <c r="W34" s="1219"/>
      <c r="X34" s="1221">
        <f>SUM(Q34:W34)</f>
        <v>6843</v>
      </c>
    </row>
    <row r="35" spans="1:24" ht="33" customHeight="1" x14ac:dyDescent="0.35">
      <c r="A35" s="1032">
        <v>25</v>
      </c>
      <c r="B35" s="1214">
        <v>13</v>
      </c>
      <c r="C35" s="1034" t="s">
        <v>32</v>
      </c>
      <c r="D35" s="1222"/>
      <c r="E35" s="1215"/>
      <c r="F35" s="1216"/>
      <c r="G35" s="1217"/>
      <c r="H35" s="1218"/>
      <c r="I35" s="1219"/>
      <c r="J35" s="1219"/>
      <c r="K35" s="1219"/>
      <c r="L35" s="1219"/>
      <c r="M35" s="1219"/>
      <c r="N35" s="1219"/>
      <c r="O35" s="1219"/>
      <c r="P35" s="1220"/>
      <c r="Q35" s="1217"/>
      <c r="R35" s="1219"/>
      <c r="S35" s="1219"/>
      <c r="T35" s="1219"/>
      <c r="U35" s="1219"/>
      <c r="V35" s="1219"/>
      <c r="W35" s="1219"/>
      <c r="X35" s="1221"/>
    </row>
    <row r="36" spans="1:24" ht="33" customHeight="1" x14ac:dyDescent="0.3">
      <c r="A36" s="1032">
        <v>26</v>
      </c>
      <c r="B36" s="1214"/>
      <c r="C36" s="1051">
        <v>1</v>
      </c>
      <c r="D36" s="1044" t="s">
        <v>640</v>
      </c>
      <c r="E36" s="1215" t="s">
        <v>735</v>
      </c>
      <c r="F36" s="1216"/>
      <c r="G36" s="1217">
        <f t="shared" si="3"/>
        <v>0</v>
      </c>
      <c r="H36" s="1218"/>
      <c r="I36" s="1219"/>
      <c r="J36" s="1219"/>
      <c r="K36" s="1219"/>
      <c r="L36" s="1219"/>
      <c r="M36" s="1219">
        <v>8944</v>
      </c>
      <c r="N36" s="1219"/>
      <c r="O36" s="1219">
        <v>2236</v>
      </c>
      <c r="P36" s="1220">
        <f>SUM(I36:O36)</f>
        <v>11180</v>
      </c>
      <c r="Q36" s="1217"/>
      <c r="R36" s="1219"/>
      <c r="S36" s="1219"/>
      <c r="T36" s="1219"/>
      <c r="U36" s="1219"/>
      <c r="V36" s="1219">
        <v>8944</v>
      </c>
      <c r="W36" s="1219">
        <v>2236</v>
      </c>
      <c r="X36" s="1221">
        <f>SUM(Q36:W36)</f>
        <v>11180</v>
      </c>
    </row>
    <row r="37" spans="1:24" ht="33" customHeight="1" x14ac:dyDescent="0.35">
      <c r="A37" s="1032">
        <v>27</v>
      </c>
      <c r="B37" s="1223">
        <v>11</v>
      </c>
      <c r="C37" s="1034" t="s">
        <v>428</v>
      </c>
      <c r="D37" s="1035"/>
      <c r="E37" s="1215"/>
      <c r="F37" s="1216"/>
      <c r="G37" s="1217"/>
      <c r="H37" s="1218"/>
      <c r="I37" s="1219"/>
      <c r="J37" s="1219"/>
      <c r="K37" s="1219"/>
      <c r="L37" s="1219"/>
      <c r="M37" s="1219"/>
      <c r="N37" s="1219"/>
      <c r="O37" s="1219"/>
      <c r="P37" s="1220"/>
      <c r="Q37" s="1217"/>
      <c r="R37" s="1219"/>
      <c r="S37" s="1219"/>
      <c r="T37" s="1219"/>
      <c r="U37" s="1219"/>
      <c r="V37" s="1219"/>
      <c r="W37" s="1219"/>
      <c r="X37" s="1221"/>
    </row>
    <row r="38" spans="1:24" ht="33" customHeight="1" thickBot="1" x14ac:dyDescent="0.35">
      <c r="A38" s="1032">
        <v>28</v>
      </c>
      <c r="B38" s="1224"/>
      <c r="C38" s="1225">
        <v>1</v>
      </c>
      <c r="D38" s="1226" t="s">
        <v>640</v>
      </c>
      <c r="E38" s="1068" t="s">
        <v>736</v>
      </c>
      <c r="F38" s="1227"/>
      <c r="G38" s="1217">
        <f t="shared" si="3"/>
        <v>0</v>
      </c>
      <c r="H38" s="1070"/>
      <c r="I38" s="1228"/>
      <c r="J38" s="1228"/>
      <c r="K38" s="1228"/>
      <c r="L38" s="1228"/>
      <c r="M38" s="1228">
        <v>1879</v>
      </c>
      <c r="N38" s="1228">
        <v>470</v>
      </c>
      <c r="O38" s="1228"/>
      <c r="P38" s="1220">
        <f>SUM(I38:O38)</f>
        <v>2349</v>
      </c>
      <c r="Q38" s="1069"/>
      <c r="R38" s="1228"/>
      <c r="S38" s="1228"/>
      <c r="T38" s="1228"/>
      <c r="U38" s="1228"/>
      <c r="V38" s="1228">
        <v>2349</v>
      </c>
      <c r="W38" s="1228"/>
      <c r="X38" s="1221">
        <f>SUM(Q38:W38)</f>
        <v>2349</v>
      </c>
    </row>
    <row r="39" spans="1:24" ht="33" customHeight="1" thickBot="1" x14ac:dyDescent="0.35">
      <c r="A39" s="1032">
        <v>29</v>
      </c>
      <c r="B39" s="2242" t="s">
        <v>120</v>
      </c>
      <c r="C39" s="2243"/>
      <c r="D39" s="2243"/>
      <c r="E39" s="2243"/>
      <c r="F39" s="280"/>
      <c r="G39" s="1071">
        <f t="shared" ref="G39:V39" si="4">SUM(G12:G38)</f>
        <v>1216447</v>
      </c>
      <c r="H39" s="1072">
        <f t="shared" si="4"/>
        <v>277946</v>
      </c>
      <c r="I39" s="1072">
        <f t="shared" si="4"/>
        <v>977327</v>
      </c>
      <c r="J39" s="1072">
        <f t="shared" si="4"/>
        <v>0</v>
      </c>
      <c r="K39" s="1072">
        <f t="shared" si="4"/>
        <v>2938877</v>
      </c>
      <c r="L39" s="1072">
        <f t="shared" si="4"/>
        <v>1125747</v>
      </c>
      <c r="M39" s="1072">
        <f t="shared" si="4"/>
        <v>1049406</v>
      </c>
      <c r="N39" s="1072">
        <f t="shared" si="4"/>
        <v>5700389</v>
      </c>
      <c r="O39" s="1072">
        <f>SUM(O12:O38)</f>
        <v>121174</v>
      </c>
      <c r="P39" s="1072">
        <f>SUM(P12:P38)</f>
        <v>11912920</v>
      </c>
      <c r="Q39" s="1071">
        <f>SUM(Q12:Q38)</f>
        <v>68046</v>
      </c>
      <c r="R39" s="1072">
        <f t="shared" si="4"/>
        <v>126233</v>
      </c>
      <c r="S39" s="1072">
        <f t="shared" si="4"/>
        <v>801730</v>
      </c>
      <c r="T39" s="1072">
        <f t="shared" si="4"/>
        <v>2302797</v>
      </c>
      <c r="U39" s="1072">
        <f>SUM(U12:U38)</f>
        <v>1276768</v>
      </c>
      <c r="V39" s="1072">
        <f t="shared" si="4"/>
        <v>8710565</v>
      </c>
      <c r="W39" s="1072">
        <f>SUM(W12:W38)</f>
        <v>121174</v>
      </c>
      <c r="X39" s="1073">
        <f>SUM(X12:X38)</f>
        <v>13407313</v>
      </c>
    </row>
    <row r="40" spans="1:24" ht="24.75" customHeight="1" x14ac:dyDescent="0.3">
      <c r="B40" s="2240" t="s">
        <v>621</v>
      </c>
      <c r="C40" s="2240"/>
      <c r="D40" s="2240"/>
      <c r="E40" s="2240"/>
      <c r="F40" s="2240"/>
      <c r="G40" s="2240"/>
      <c r="H40" s="2240"/>
      <c r="I40" s="2240"/>
      <c r="J40" s="2240"/>
      <c r="K40" s="2240"/>
      <c r="L40" s="2240"/>
      <c r="M40" s="2240"/>
      <c r="N40" s="2240"/>
      <c r="O40" s="2240"/>
      <c r="P40" s="2240"/>
      <c r="Q40" s="2240"/>
      <c r="R40" s="2240"/>
      <c r="S40" s="2240"/>
      <c r="T40" s="2240"/>
      <c r="U40" s="2240"/>
      <c r="V40" s="2240"/>
      <c r="W40" s="2240"/>
      <c r="X40" s="2240"/>
    </row>
    <row r="41" spans="1:24" ht="24.75" customHeight="1" x14ac:dyDescent="0.3">
      <c r="B41" s="2241" t="s">
        <v>737</v>
      </c>
      <c r="C41" s="2241"/>
      <c r="D41" s="2241"/>
      <c r="E41" s="2241"/>
      <c r="F41" s="2241"/>
      <c r="G41" s="2241"/>
      <c r="H41" s="2241"/>
      <c r="I41" s="2241"/>
      <c r="J41" s="2241"/>
      <c r="K41" s="2241"/>
      <c r="L41" s="2241"/>
      <c r="M41" s="2241"/>
      <c r="N41" s="2241"/>
      <c r="O41" s="2241"/>
      <c r="P41" s="2241"/>
      <c r="Q41" s="2241"/>
      <c r="R41" s="2241"/>
      <c r="S41" s="2241"/>
      <c r="T41" s="2241"/>
      <c r="U41" s="2241"/>
      <c r="V41" s="2241"/>
      <c r="W41" s="2241"/>
      <c r="X41" s="2241"/>
    </row>
    <row r="42" spans="1:24" s="954" customFormat="1" ht="24.95" customHeight="1" x14ac:dyDescent="0.3">
      <c r="B42" s="277"/>
      <c r="C42" s="277"/>
      <c r="D42" s="1187"/>
      <c r="E42" s="278"/>
      <c r="F42" s="276"/>
      <c r="G42" s="276"/>
      <c r="H42" s="276"/>
      <c r="I42" s="276"/>
      <c r="J42" s="276"/>
      <c r="K42" s="276"/>
      <c r="L42" s="276"/>
      <c r="M42" s="276"/>
      <c r="N42" s="276"/>
      <c r="O42" s="276"/>
      <c r="P42" s="276"/>
      <c r="Q42" s="276"/>
      <c r="R42" s="276"/>
      <c r="S42" s="276"/>
      <c r="T42" s="276"/>
      <c r="U42" s="276"/>
      <c r="V42" s="276"/>
      <c r="W42" s="276"/>
      <c r="X42" s="276"/>
    </row>
    <row r="43" spans="1:24" s="954" customFormat="1" ht="24.95" customHeight="1" x14ac:dyDescent="0.3">
      <c r="B43" s="277"/>
      <c r="C43" s="277"/>
      <c r="D43" s="1187"/>
      <c r="E43" s="278"/>
      <c r="F43" s="276"/>
      <c r="G43" s="276"/>
      <c r="H43" s="276"/>
      <c r="I43" s="276"/>
      <c r="J43" s="276"/>
      <c r="K43" s="276"/>
      <c r="L43" s="276"/>
      <c r="M43" s="276"/>
      <c r="N43" s="276"/>
      <c r="O43" s="276"/>
      <c r="P43" s="276"/>
      <c r="Q43" s="276"/>
      <c r="R43" s="276"/>
      <c r="S43" s="276"/>
      <c r="T43" s="276"/>
      <c r="U43" s="276"/>
      <c r="V43" s="276"/>
      <c r="W43" s="276"/>
      <c r="X43" s="276"/>
    </row>
    <row r="44" spans="1:24" s="954" customFormat="1" ht="24.95" customHeight="1" x14ac:dyDescent="0.3">
      <c r="B44" s="277"/>
      <c r="C44" s="277"/>
      <c r="D44" s="1187"/>
      <c r="E44" s="278"/>
      <c r="F44" s="276"/>
      <c r="G44" s="276"/>
      <c r="H44" s="276"/>
      <c r="I44" s="276"/>
      <c r="J44" s="276"/>
      <c r="K44" s="276"/>
      <c r="L44" s="276"/>
      <c r="M44" s="276"/>
      <c r="N44" s="276"/>
      <c r="O44" s="276"/>
      <c r="P44" s="276"/>
      <c r="Q44" s="276"/>
      <c r="R44" s="276"/>
      <c r="S44" s="276"/>
      <c r="T44" s="276"/>
      <c r="U44" s="276"/>
      <c r="V44" s="276"/>
      <c r="W44" s="276"/>
      <c r="X44" s="276"/>
    </row>
    <row r="45" spans="1:24" s="954" customFormat="1" ht="24.95" customHeight="1" x14ac:dyDescent="0.3">
      <c r="B45" s="277"/>
      <c r="C45" s="277"/>
      <c r="D45" s="1187"/>
      <c r="E45" s="278"/>
      <c r="F45" s="276"/>
      <c r="G45" s="276"/>
      <c r="H45" s="276"/>
      <c r="I45" s="276"/>
      <c r="J45" s="276"/>
      <c r="K45" s="276"/>
      <c r="L45" s="276"/>
      <c r="M45" s="276"/>
      <c r="N45" s="276"/>
      <c r="O45" s="276"/>
      <c r="P45" s="276"/>
      <c r="Q45" s="276"/>
      <c r="R45" s="276"/>
      <c r="S45" s="276"/>
      <c r="T45" s="276"/>
      <c r="U45" s="276"/>
      <c r="V45" s="276"/>
      <c r="W45" s="276"/>
      <c r="X45" s="276"/>
    </row>
    <row r="46" spans="1:24" s="954" customFormat="1" ht="24.95" customHeight="1" x14ac:dyDescent="0.3">
      <c r="B46" s="277"/>
      <c r="C46" s="277"/>
      <c r="D46" s="1187"/>
      <c r="E46" s="278"/>
      <c r="F46" s="276"/>
      <c r="G46" s="276"/>
      <c r="H46" s="276"/>
      <c r="I46" s="276"/>
      <c r="J46" s="276"/>
      <c r="K46" s="276"/>
      <c r="L46" s="276"/>
      <c r="M46" s="276"/>
      <c r="N46" s="276"/>
      <c r="O46" s="276"/>
      <c r="P46" s="276"/>
      <c r="Q46" s="276"/>
      <c r="R46" s="276"/>
      <c r="S46" s="276"/>
      <c r="T46" s="276"/>
      <c r="U46" s="276"/>
      <c r="V46" s="276"/>
      <c r="W46" s="276"/>
      <c r="X46" s="276"/>
    </row>
    <row r="47" spans="1:24" s="954" customFormat="1" ht="24.95" customHeight="1" x14ac:dyDescent="0.3">
      <c r="B47" s="277"/>
      <c r="C47" s="277"/>
      <c r="D47" s="1187"/>
      <c r="E47" s="278"/>
      <c r="F47" s="276"/>
      <c r="G47" s="276"/>
      <c r="H47" s="276"/>
      <c r="I47" s="276"/>
      <c r="J47" s="276"/>
      <c r="K47" s="276"/>
      <c r="L47" s="276"/>
      <c r="M47" s="276"/>
      <c r="N47" s="276"/>
      <c r="O47" s="276"/>
      <c r="P47" s="276"/>
      <c r="Q47" s="276"/>
      <c r="R47" s="276"/>
      <c r="S47" s="276"/>
      <c r="T47" s="276"/>
      <c r="U47" s="276"/>
      <c r="V47" s="276"/>
      <c r="W47" s="276"/>
      <c r="X47" s="276"/>
    </row>
  </sheetData>
  <mergeCells count="19">
    <mergeCell ref="B1:U1"/>
    <mergeCell ref="X8:X10"/>
    <mergeCell ref="G9:G10"/>
    <mergeCell ref="H9:H10"/>
    <mergeCell ref="I9:O9"/>
    <mergeCell ref="P9:P10"/>
    <mergeCell ref="B8:B10"/>
    <mergeCell ref="C8:C10"/>
    <mergeCell ref="D8:D10"/>
    <mergeCell ref="E8:E10"/>
    <mergeCell ref="G8:P8"/>
    <mergeCell ref="Q8:W9"/>
    <mergeCell ref="B3:X3"/>
    <mergeCell ref="B4:X4"/>
    <mergeCell ref="B5:X5"/>
    <mergeCell ref="W6:X6"/>
    <mergeCell ref="B40:X40"/>
    <mergeCell ref="B41:X41"/>
    <mergeCell ref="B39:E39"/>
  </mergeCells>
  <printOptions horizontalCentered="1"/>
  <pageMargins left="0.19685039370078741" right="0.19685039370078741" top="0.59055118110236227" bottom="0.59055118110236227" header="0.51181102362204722" footer="0.51181102362204722"/>
  <pageSetup paperSize="9" scale="44" fitToHeight="0" orientation="landscape" r:id="rId1"/>
  <headerFooter>
    <oddFooter>&amp;C- &amp;P -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0"/>
  <sheetViews>
    <sheetView tabSelected="1" view="pageBreakPreview" zoomScaleNormal="100" zoomScaleSheetLayoutView="100" workbookViewId="0">
      <selection activeCell="B1" sqref="B1:C1"/>
    </sheetView>
  </sheetViews>
  <sheetFormatPr defaultColWidth="9.140625" defaultRowHeight="16.5" x14ac:dyDescent="0.3"/>
  <cols>
    <col min="1" max="1" width="3.7109375" style="222" customWidth="1"/>
    <col min="2" max="2" width="4.7109375" style="222" customWidth="1"/>
    <col min="3" max="3" width="51.7109375" style="35" customWidth="1"/>
    <col min="4" max="4" width="24.28515625" style="34" customWidth="1"/>
    <col min="5" max="16384" width="9.140625" style="35"/>
  </cols>
  <sheetData>
    <row r="1" spans="1:4" ht="18" customHeight="1" x14ac:dyDescent="0.3">
      <c r="A1" s="222" t="s">
        <v>334</v>
      </c>
      <c r="B1" s="2275" t="s">
        <v>922</v>
      </c>
      <c r="C1" s="2275"/>
    </row>
    <row r="2" spans="1:4" ht="18" customHeight="1" x14ac:dyDescent="0.3">
      <c r="B2" s="976"/>
      <c r="C2" s="976"/>
    </row>
    <row r="3" spans="1:4" s="38" customFormat="1" ht="24.75" customHeight="1" x14ac:dyDescent="0.35">
      <c r="A3" s="394"/>
      <c r="B3" s="1899" t="s">
        <v>113</v>
      </c>
      <c r="C3" s="1899"/>
      <c r="D3" s="1899"/>
    </row>
    <row r="4" spans="1:4" s="36" customFormat="1" ht="24.75" customHeight="1" x14ac:dyDescent="0.2">
      <c r="A4" s="395"/>
      <c r="B4" s="1901" t="s">
        <v>654</v>
      </c>
      <c r="C4" s="1901"/>
      <c r="D4" s="1901"/>
    </row>
    <row r="5" spans="1:4" s="214" customFormat="1" ht="24.75" customHeight="1" x14ac:dyDescent="0.2">
      <c r="A5" s="222"/>
      <c r="B5" s="2276" t="s">
        <v>335</v>
      </c>
      <c r="C5" s="2276"/>
      <c r="D5" s="2276"/>
    </row>
    <row r="6" spans="1:4" s="958" customFormat="1" ht="18" customHeight="1" thickBot="1" x14ac:dyDescent="0.35">
      <c r="A6" s="123"/>
      <c r="B6" s="2277" t="s">
        <v>1</v>
      </c>
      <c r="C6" s="2277"/>
      <c r="D6" s="957" t="s">
        <v>3</v>
      </c>
    </row>
    <row r="7" spans="1:4" ht="33" customHeight="1" thickBot="1" x14ac:dyDescent="0.35">
      <c r="B7" s="2278" t="s">
        <v>336</v>
      </c>
      <c r="C7" s="2279"/>
      <c r="D7" s="215" t="s">
        <v>337</v>
      </c>
    </row>
    <row r="8" spans="1:4" s="38" customFormat="1" ht="30" customHeight="1" x14ac:dyDescent="0.3">
      <c r="A8" s="394">
        <v>1</v>
      </c>
      <c r="B8" s="37" t="s">
        <v>121</v>
      </c>
      <c r="C8" s="216" t="s">
        <v>338</v>
      </c>
      <c r="D8" s="217"/>
    </row>
    <row r="9" spans="1:4" ht="24.75" customHeight="1" x14ac:dyDescent="0.3">
      <c r="A9" s="394">
        <v>2</v>
      </c>
      <c r="B9" s="39"/>
      <c r="C9" s="218" t="s">
        <v>122</v>
      </c>
      <c r="D9" s="978">
        <v>140000</v>
      </c>
    </row>
    <row r="10" spans="1:4" ht="24.75" customHeight="1" x14ac:dyDescent="0.3">
      <c r="A10" s="394">
        <v>3</v>
      </c>
      <c r="B10" s="39"/>
      <c r="C10" s="218" t="s">
        <v>123</v>
      </c>
      <c r="D10" s="978">
        <v>30000</v>
      </c>
    </row>
    <row r="11" spans="1:4" ht="24.75" customHeight="1" x14ac:dyDescent="0.3">
      <c r="A11" s="394">
        <v>4</v>
      </c>
      <c r="B11" s="39"/>
      <c r="C11" s="218" t="s">
        <v>124</v>
      </c>
      <c r="D11" s="978">
        <v>150000</v>
      </c>
    </row>
    <row r="12" spans="1:4" ht="24.75" customHeight="1" x14ac:dyDescent="0.3">
      <c r="A12" s="394">
        <v>5</v>
      </c>
      <c r="B12" s="39"/>
      <c r="C12" s="218" t="s">
        <v>125</v>
      </c>
      <c r="D12" s="978">
        <v>14000</v>
      </c>
    </row>
    <row r="13" spans="1:4" ht="24.75" customHeight="1" x14ac:dyDescent="0.3">
      <c r="A13" s="394">
        <v>6</v>
      </c>
      <c r="B13" s="39"/>
      <c r="C13" s="218" t="s">
        <v>126</v>
      </c>
      <c r="D13" s="978">
        <v>40000</v>
      </c>
    </row>
    <row r="14" spans="1:4" s="214" customFormat="1" ht="30" customHeight="1" x14ac:dyDescent="0.3">
      <c r="A14" s="394">
        <v>7</v>
      </c>
      <c r="B14" s="39"/>
      <c r="C14" s="1368" t="s">
        <v>132</v>
      </c>
      <c r="D14" s="1369">
        <f>SUM(D9:D13)</f>
        <v>374000</v>
      </c>
    </row>
    <row r="15" spans="1:4" s="36" customFormat="1" ht="49.5" customHeight="1" x14ac:dyDescent="0.3">
      <c r="A15" s="394">
        <v>8</v>
      </c>
      <c r="B15" s="40" t="s">
        <v>128</v>
      </c>
      <c r="C15" s="219" t="s">
        <v>339</v>
      </c>
      <c r="D15" s="979">
        <v>155</v>
      </c>
    </row>
    <row r="16" spans="1:4" s="36" customFormat="1" ht="49.5" customHeight="1" x14ac:dyDescent="0.3">
      <c r="A16" s="394">
        <v>9</v>
      </c>
      <c r="B16" s="40" t="s">
        <v>129</v>
      </c>
      <c r="C16" s="219" t="s">
        <v>340</v>
      </c>
      <c r="D16" s="220"/>
    </row>
    <row r="17" spans="1:4" s="36" customFormat="1" ht="49.5" customHeight="1" x14ac:dyDescent="0.3">
      <c r="A17" s="394">
        <v>10</v>
      </c>
      <c r="B17" s="40" t="s">
        <v>130</v>
      </c>
      <c r="C17" s="219" t="s">
        <v>341</v>
      </c>
      <c r="D17" s="220">
        <v>1476</v>
      </c>
    </row>
    <row r="18" spans="1:4" s="36" customFormat="1" ht="49.5" customHeight="1" thickBot="1" x14ac:dyDescent="0.35">
      <c r="A18" s="394">
        <v>11</v>
      </c>
      <c r="B18" s="40" t="s">
        <v>131</v>
      </c>
      <c r="C18" s="219" t="s">
        <v>342</v>
      </c>
      <c r="D18" s="220"/>
    </row>
    <row r="19" spans="1:4" s="36" customFormat="1" ht="33" customHeight="1" thickBot="1" x14ac:dyDescent="0.35">
      <c r="A19" s="394">
        <v>12</v>
      </c>
      <c r="B19" s="2273" t="s">
        <v>132</v>
      </c>
      <c r="C19" s="2274"/>
      <c r="D19" s="221">
        <f>SUM(D14:D18)</f>
        <v>375631</v>
      </c>
    </row>
    <row r="20" spans="1:4" ht="16.5" customHeight="1" x14ac:dyDescent="0.3">
      <c r="C20" s="223"/>
      <c r="D20" s="41"/>
    </row>
    <row r="21" spans="1:4" ht="16.5" customHeight="1" x14ac:dyDescent="0.3">
      <c r="C21" s="223"/>
      <c r="D21" s="41"/>
    </row>
    <row r="22" spans="1:4" ht="16.5" customHeight="1" x14ac:dyDescent="0.3">
      <c r="C22" s="223"/>
      <c r="D22" s="41"/>
    </row>
    <row r="23" spans="1:4" ht="16.5" customHeight="1" x14ac:dyDescent="0.3">
      <c r="C23" s="223"/>
      <c r="D23" s="41"/>
    </row>
    <row r="24" spans="1:4" ht="16.5" customHeight="1" x14ac:dyDescent="0.3">
      <c r="C24" s="223"/>
      <c r="D24" s="41"/>
    </row>
    <row r="25" spans="1:4" ht="16.5" customHeight="1" x14ac:dyDescent="0.3">
      <c r="C25" s="223"/>
      <c r="D25" s="41"/>
    </row>
    <row r="26" spans="1:4" ht="16.5" customHeight="1" x14ac:dyDescent="0.3">
      <c r="C26" s="223"/>
      <c r="D26" s="41"/>
    </row>
    <row r="27" spans="1:4" ht="16.5" customHeight="1" x14ac:dyDescent="0.3">
      <c r="C27" s="223"/>
      <c r="D27" s="41"/>
    </row>
    <row r="28" spans="1:4" ht="16.5" customHeight="1" x14ac:dyDescent="0.3">
      <c r="C28" s="223"/>
      <c r="D28" s="41"/>
    </row>
    <row r="29" spans="1:4" ht="16.5" customHeight="1" x14ac:dyDescent="0.3">
      <c r="C29" s="223"/>
      <c r="D29" s="41"/>
    </row>
    <row r="30" spans="1:4" ht="16.5" customHeight="1" x14ac:dyDescent="0.3">
      <c r="C30" s="223"/>
      <c r="D30" s="41"/>
    </row>
    <row r="31" spans="1:4" x14ac:dyDescent="0.3">
      <c r="C31" s="223"/>
      <c r="D31" s="41"/>
    </row>
    <row r="32" spans="1:4" x14ac:dyDescent="0.3">
      <c r="C32" s="223"/>
      <c r="D32" s="41"/>
    </row>
    <row r="33" spans="3:4" x14ac:dyDescent="0.3">
      <c r="C33" s="223"/>
      <c r="D33" s="41"/>
    </row>
    <row r="34" spans="3:4" x14ac:dyDescent="0.3">
      <c r="C34" s="223"/>
      <c r="D34" s="41"/>
    </row>
    <row r="35" spans="3:4" x14ac:dyDescent="0.3">
      <c r="C35" s="223"/>
      <c r="D35" s="41"/>
    </row>
    <row r="36" spans="3:4" x14ac:dyDescent="0.3">
      <c r="C36" s="223"/>
      <c r="D36" s="41"/>
    </row>
    <row r="37" spans="3:4" x14ac:dyDescent="0.3">
      <c r="C37" s="223"/>
      <c r="D37" s="41"/>
    </row>
    <row r="38" spans="3:4" x14ac:dyDescent="0.3">
      <c r="C38" s="223"/>
      <c r="D38" s="41"/>
    </row>
    <row r="39" spans="3:4" x14ac:dyDescent="0.3">
      <c r="C39" s="223"/>
      <c r="D39" s="41"/>
    </row>
    <row r="40" spans="3:4" x14ac:dyDescent="0.3">
      <c r="C40" s="223"/>
      <c r="D40" s="41"/>
    </row>
    <row r="41" spans="3:4" x14ac:dyDescent="0.3">
      <c r="C41" s="223"/>
      <c r="D41" s="41"/>
    </row>
    <row r="42" spans="3:4" x14ac:dyDescent="0.3">
      <c r="C42" s="223"/>
      <c r="D42" s="41"/>
    </row>
    <row r="43" spans="3:4" x14ac:dyDescent="0.3">
      <c r="C43" s="223"/>
      <c r="D43" s="41"/>
    </row>
    <row r="44" spans="3:4" x14ac:dyDescent="0.3">
      <c r="C44" s="223"/>
      <c r="D44" s="41"/>
    </row>
    <row r="45" spans="3:4" x14ac:dyDescent="0.3">
      <c r="C45" s="223"/>
      <c r="D45" s="41"/>
    </row>
    <row r="46" spans="3:4" x14ac:dyDescent="0.3">
      <c r="C46" s="223"/>
      <c r="D46" s="41"/>
    </row>
    <row r="47" spans="3:4" x14ac:dyDescent="0.3">
      <c r="C47" s="223"/>
      <c r="D47" s="41"/>
    </row>
    <row r="48" spans="3:4" x14ac:dyDescent="0.3">
      <c r="C48" s="223"/>
      <c r="D48" s="41"/>
    </row>
    <row r="49" spans="3:4" x14ac:dyDescent="0.3">
      <c r="C49" s="223"/>
      <c r="D49" s="41"/>
    </row>
    <row r="50" spans="3:4" x14ac:dyDescent="0.3">
      <c r="C50" s="223"/>
      <c r="D50" s="41"/>
    </row>
  </sheetData>
  <mergeCells count="7">
    <mergeCell ref="B19:C19"/>
    <mergeCell ref="B1:C1"/>
    <mergeCell ref="B3:D3"/>
    <mergeCell ref="B4:D4"/>
    <mergeCell ref="B5:D5"/>
    <mergeCell ref="B6:C6"/>
    <mergeCell ref="B7:C7"/>
  </mergeCells>
  <printOptions horizontalCentered="1"/>
  <pageMargins left="0.19685039370078741" right="0.19685039370078741" top="0.59055118110236227" bottom="0.59055118110236227" header="0.51181102362204722" footer="0.51181102362204722"/>
  <pageSetup paperSize="9" fitToHeight="0" orientation="portrait" r:id="rId1"/>
  <headerFooter alignWithMargins="0">
    <oddFooter>&amp;C-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view="pageBreakPreview" zoomScale="85" zoomScaleNormal="100" zoomScaleSheetLayoutView="85" workbookViewId="0">
      <selection activeCell="B2" sqref="B2:F2"/>
    </sheetView>
  </sheetViews>
  <sheetFormatPr defaultColWidth="9.140625" defaultRowHeight="16.5" x14ac:dyDescent="0.3"/>
  <cols>
    <col min="1" max="1" width="3.7109375" style="842" customWidth="1"/>
    <col min="2" max="2" width="5.7109375" style="105" customWidth="1"/>
    <col min="3" max="5" width="5.7109375" style="107" customWidth="1"/>
    <col min="6" max="6" width="59.7109375" style="66" customWidth="1"/>
    <col min="7" max="9" width="13.7109375" style="66" customWidth="1"/>
    <col min="10" max="10" width="15.7109375" style="66" customWidth="1"/>
    <col min="11" max="11" width="10.140625" style="66" bestFit="1" customWidth="1"/>
    <col min="12" max="12" width="13.5703125" style="66" customWidth="1"/>
    <col min="13" max="16384" width="9.140625" style="66"/>
  </cols>
  <sheetData>
    <row r="1" spans="1:12" x14ac:dyDescent="0.3">
      <c r="B1" s="1909" t="s">
        <v>903</v>
      </c>
      <c r="C1" s="1909"/>
      <c r="D1" s="1909"/>
      <c r="E1" s="1909"/>
      <c r="F1" s="1909"/>
      <c r="H1" s="67"/>
      <c r="I1" s="68"/>
      <c r="J1" s="68"/>
    </row>
    <row r="2" spans="1:12" s="141" customFormat="1" x14ac:dyDescent="0.3">
      <c r="A2" s="126"/>
      <c r="B2" s="1896"/>
      <c r="C2" s="1896"/>
      <c r="D2" s="1896"/>
      <c r="E2" s="1896"/>
      <c r="F2" s="1896"/>
      <c r="G2" s="118"/>
      <c r="H2" s="118"/>
      <c r="I2" s="118"/>
      <c r="J2" s="282"/>
    </row>
    <row r="3" spans="1:12" s="69" customFormat="1" ht="24.95" customHeight="1" x14ac:dyDescent="0.2">
      <c r="A3" s="842"/>
      <c r="B3" s="1910" t="s">
        <v>162</v>
      </c>
      <c r="C3" s="1910"/>
      <c r="D3" s="1910"/>
      <c r="E3" s="1910"/>
      <c r="F3" s="1910"/>
      <c r="G3" s="1910"/>
      <c r="H3" s="1910"/>
      <c r="I3" s="1910"/>
      <c r="J3" s="1910"/>
    </row>
    <row r="4" spans="1:12" s="69" customFormat="1" ht="24.95" customHeight="1" x14ac:dyDescent="0.2">
      <c r="A4" s="842"/>
      <c r="B4" s="1910" t="s">
        <v>639</v>
      </c>
      <c r="C4" s="1910"/>
      <c r="D4" s="1910"/>
      <c r="E4" s="1910"/>
      <c r="F4" s="1910"/>
      <c r="G4" s="1910"/>
      <c r="H4" s="1910"/>
      <c r="I4" s="1910"/>
      <c r="J4" s="1910"/>
    </row>
    <row r="5" spans="1:12" ht="17.25" x14ac:dyDescent="0.35">
      <c r="C5" s="106"/>
      <c r="E5" s="106"/>
      <c r="F5" s="106"/>
      <c r="G5" s="106"/>
      <c r="H5" s="67"/>
      <c r="J5" s="388"/>
      <c r="L5" s="388" t="s">
        <v>0</v>
      </c>
    </row>
    <row r="6" spans="1:12" s="107" customFormat="1" ht="17.25" thickBot="1" x14ac:dyDescent="0.35">
      <c r="A6" s="842"/>
      <c r="B6" s="105" t="s">
        <v>1</v>
      </c>
      <c r="C6" s="107" t="s">
        <v>3</v>
      </c>
      <c r="D6" s="107" t="s">
        <v>2</v>
      </c>
      <c r="E6" s="107" t="s">
        <v>4</v>
      </c>
      <c r="F6" s="107" t="s">
        <v>5</v>
      </c>
      <c r="G6" s="107" t="s">
        <v>15</v>
      </c>
      <c r="H6" s="107" t="s">
        <v>16</v>
      </c>
      <c r="I6" s="389" t="s">
        <v>17</v>
      </c>
      <c r="J6" s="389" t="s">
        <v>34</v>
      </c>
      <c r="K6" s="107" t="s">
        <v>30</v>
      </c>
      <c r="L6" s="107" t="s">
        <v>23</v>
      </c>
    </row>
    <row r="7" spans="1:12" s="70" customFormat="1" ht="80.099999999999994" customHeight="1" thickBot="1" x14ac:dyDescent="0.25">
      <c r="A7" s="842"/>
      <c r="B7" s="390" t="s">
        <v>194</v>
      </c>
      <c r="C7" s="391" t="s">
        <v>19</v>
      </c>
      <c r="D7" s="376" t="s">
        <v>501</v>
      </c>
      <c r="E7" s="376" t="s">
        <v>503</v>
      </c>
      <c r="F7" s="392" t="s">
        <v>6</v>
      </c>
      <c r="G7" s="284" t="s">
        <v>635</v>
      </c>
      <c r="H7" s="284" t="s">
        <v>636</v>
      </c>
      <c r="I7" s="393" t="s">
        <v>727</v>
      </c>
      <c r="J7" s="1376" t="s">
        <v>923</v>
      </c>
      <c r="K7" s="1377" t="s">
        <v>114</v>
      </c>
      <c r="L7" s="1378" t="s">
        <v>924</v>
      </c>
    </row>
    <row r="8" spans="1:12" s="75" customFormat="1" ht="30" customHeight="1" x14ac:dyDescent="0.35">
      <c r="A8" s="842">
        <v>1</v>
      </c>
      <c r="B8" s="372" t="s">
        <v>438</v>
      </c>
      <c r="C8" s="71"/>
      <c r="D8" s="72"/>
      <c r="E8" s="71"/>
      <c r="F8" s="73" t="s">
        <v>195</v>
      </c>
      <c r="G8" s="74">
        <v>8054296</v>
      </c>
      <c r="H8" s="74">
        <v>8038573</v>
      </c>
      <c r="I8" s="74">
        <v>7660387</v>
      </c>
      <c r="J8" s="1423">
        <v>8835002</v>
      </c>
      <c r="K8" s="1433">
        <v>790022</v>
      </c>
      <c r="L8" s="1440">
        <v>9625024</v>
      </c>
    </row>
    <row r="9" spans="1:12" ht="26.1" customHeight="1" x14ac:dyDescent="0.35">
      <c r="A9" s="842">
        <v>2</v>
      </c>
      <c r="B9" s="76"/>
      <c r="C9" s="77"/>
      <c r="D9" s="77">
        <v>1</v>
      </c>
      <c r="E9" s="77"/>
      <c r="F9" s="78" t="s">
        <v>37</v>
      </c>
      <c r="G9" s="78">
        <v>7776616</v>
      </c>
      <c r="H9" s="78">
        <v>7971537</v>
      </c>
      <c r="I9" s="78">
        <v>7486012</v>
      </c>
      <c r="J9" s="1424">
        <v>8688793</v>
      </c>
      <c r="K9" s="87">
        <v>677933</v>
      </c>
      <c r="L9" s="1441">
        <v>9366726</v>
      </c>
    </row>
    <row r="10" spans="1:12" ht="25.5" customHeight="1" x14ac:dyDescent="0.35">
      <c r="A10" s="842">
        <v>3</v>
      </c>
      <c r="B10" s="76"/>
      <c r="C10" s="77"/>
      <c r="D10" s="77">
        <v>2</v>
      </c>
      <c r="E10" s="77"/>
      <c r="F10" s="78" t="s">
        <v>154</v>
      </c>
      <c r="G10" s="78">
        <v>277680</v>
      </c>
      <c r="H10" s="78">
        <v>67036</v>
      </c>
      <c r="I10" s="78">
        <v>174375</v>
      </c>
      <c r="J10" s="1424">
        <v>146209</v>
      </c>
      <c r="K10" s="87">
        <v>112089</v>
      </c>
      <c r="L10" s="1441">
        <v>258298</v>
      </c>
    </row>
    <row r="11" spans="1:12" ht="17.25" x14ac:dyDescent="0.35">
      <c r="A11" s="842">
        <v>4</v>
      </c>
      <c r="B11" s="76"/>
      <c r="C11" s="77"/>
      <c r="D11" s="77"/>
      <c r="E11" s="77">
        <v>1</v>
      </c>
      <c r="F11" s="79" t="s">
        <v>219</v>
      </c>
      <c r="G11" s="78">
        <v>277321</v>
      </c>
      <c r="H11" s="78">
        <v>67036</v>
      </c>
      <c r="I11" s="78">
        <v>171260</v>
      </c>
      <c r="J11" s="1424">
        <v>146209</v>
      </c>
      <c r="K11" s="87">
        <v>112089</v>
      </c>
      <c r="L11" s="1441">
        <v>258298</v>
      </c>
    </row>
    <row r="12" spans="1:12" ht="17.25" x14ac:dyDescent="0.35">
      <c r="A12" s="842">
        <v>5</v>
      </c>
      <c r="B12" s="76"/>
      <c r="C12" s="77"/>
      <c r="D12" s="77"/>
      <c r="E12" s="77">
        <v>2</v>
      </c>
      <c r="F12" s="79" t="s">
        <v>220</v>
      </c>
      <c r="G12" s="78">
        <v>359</v>
      </c>
      <c r="H12" s="78"/>
      <c r="I12" s="78">
        <v>3115</v>
      </c>
      <c r="J12" s="1424">
        <v>0</v>
      </c>
      <c r="K12" s="87"/>
      <c r="L12" s="1441">
        <v>0</v>
      </c>
    </row>
    <row r="13" spans="1:12" s="75" customFormat="1" ht="30" customHeight="1" x14ac:dyDescent="0.35">
      <c r="A13" s="842">
        <v>6</v>
      </c>
      <c r="B13" s="373" t="s">
        <v>439</v>
      </c>
      <c r="C13" s="80"/>
      <c r="D13" s="81"/>
      <c r="E13" s="81"/>
      <c r="F13" s="82" t="s">
        <v>118</v>
      </c>
      <c r="G13" s="82">
        <v>11881117</v>
      </c>
      <c r="H13" s="82">
        <v>29513701</v>
      </c>
      <c r="I13" s="82">
        <v>14306769</v>
      </c>
      <c r="J13" s="1425">
        <v>37267991</v>
      </c>
      <c r="K13" s="1434">
        <v>1647410</v>
      </c>
      <c r="L13" s="1442">
        <v>38915401</v>
      </c>
    </row>
    <row r="14" spans="1:12" s="75" customFormat="1" ht="25.5" customHeight="1" x14ac:dyDescent="0.35">
      <c r="A14" s="842">
        <v>7</v>
      </c>
      <c r="B14" s="76"/>
      <c r="C14" s="83"/>
      <c r="D14" s="77">
        <v>1</v>
      </c>
      <c r="E14" s="83"/>
      <c r="F14" s="84" t="s">
        <v>37</v>
      </c>
      <c r="G14" s="84">
        <v>6400942</v>
      </c>
      <c r="H14" s="84">
        <v>6655947</v>
      </c>
      <c r="I14" s="84">
        <v>5608944</v>
      </c>
      <c r="J14" s="1426">
        <v>6150481</v>
      </c>
      <c r="K14" s="1435">
        <v>914354</v>
      </c>
      <c r="L14" s="1441">
        <v>7064835</v>
      </c>
    </row>
    <row r="15" spans="1:12" ht="25.5" customHeight="1" x14ac:dyDescent="0.35">
      <c r="A15" s="842">
        <v>8</v>
      </c>
      <c r="B15" s="76"/>
      <c r="C15" s="83"/>
      <c r="D15" s="83"/>
      <c r="E15" s="83"/>
      <c r="F15" s="84" t="s">
        <v>196</v>
      </c>
      <c r="G15" s="84">
        <v>0</v>
      </c>
      <c r="H15" s="84">
        <v>520204</v>
      </c>
      <c r="I15" s="84">
        <v>0</v>
      </c>
      <c r="J15" s="1426">
        <v>791669</v>
      </c>
      <c r="K15" s="1435">
        <v>133000</v>
      </c>
      <c r="L15" s="1443">
        <v>924669</v>
      </c>
    </row>
    <row r="16" spans="1:12" s="88" customFormat="1" ht="25.5" customHeight="1" x14ac:dyDescent="0.35">
      <c r="A16" s="842">
        <v>9</v>
      </c>
      <c r="B16" s="374"/>
      <c r="C16" s="85"/>
      <c r="D16" s="77">
        <v>1</v>
      </c>
      <c r="E16" s="85"/>
      <c r="F16" s="86" t="s">
        <v>459</v>
      </c>
      <c r="G16" s="87">
        <v>0</v>
      </c>
      <c r="H16" s="87">
        <v>135616</v>
      </c>
      <c r="I16" s="87">
        <v>0</v>
      </c>
      <c r="J16" s="1427">
        <v>428014</v>
      </c>
      <c r="K16" s="87">
        <v>60000</v>
      </c>
      <c r="L16" s="1444">
        <v>488014</v>
      </c>
    </row>
    <row r="17" spans="1:14" ht="17.25" x14ac:dyDescent="0.35">
      <c r="A17" s="842">
        <v>10</v>
      </c>
      <c r="B17" s="76"/>
      <c r="C17" s="77"/>
      <c r="D17" s="77"/>
      <c r="E17" s="77"/>
      <c r="F17" s="89" t="s">
        <v>775</v>
      </c>
      <c r="G17" s="78"/>
      <c r="H17" s="78">
        <v>111616</v>
      </c>
      <c r="I17" s="78"/>
      <c r="J17" s="1424">
        <v>188014</v>
      </c>
      <c r="K17" s="87"/>
      <c r="L17" s="1441">
        <v>188014</v>
      </c>
    </row>
    <row r="18" spans="1:14" ht="17.25" x14ac:dyDescent="0.35">
      <c r="A18" s="842">
        <v>11</v>
      </c>
      <c r="B18" s="76"/>
      <c r="C18" s="77"/>
      <c r="D18" s="77"/>
      <c r="E18" s="77"/>
      <c r="F18" s="89" t="s">
        <v>563</v>
      </c>
      <c r="G18" s="78"/>
      <c r="H18" s="78">
        <v>24000</v>
      </c>
      <c r="I18" s="78"/>
      <c r="J18" s="1424"/>
      <c r="K18" s="87"/>
      <c r="L18" s="1441"/>
    </row>
    <row r="19" spans="1:14" ht="17.25" x14ac:dyDescent="0.35">
      <c r="A19" s="842">
        <v>12</v>
      </c>
      <c r="B19" s="76"/>
      <c r="C19" s="77"/>
      <c r="D19" s="77"/>
      <c r="E19" s="77"/>
      <c r="F19" s="89" t="s">
        <v>473</v>
      </c>
      <c r="G19" s="78"/>
      <c r="H19" s="78"/>
      <c r="I19" s="78"/>
      <c r="J19" s="1424"/>
      <c r="K19" s="87"/>
      <c r="L19" s="1441"/>
    </row>
    <row r="20" spans="1:14" ht="17.25" x14ac:dyDescent="0.35">
      <c r="A20" s="842">
        <v>13</v>
      </c>
      <c r="B20" s="76"/>
      <c r="C20" s="77"/>
      <c r="D20" s="77"/>
      <c r="E20" s="77"/>
      <c r="F20" s="89" t="s">
        <v>495</v>
      </c>
      <c r="G20" s="78"/>
      <c r="H20" s="78"/>
      <c r="I20" s="78"/>
      <c r="J20" s="1424"/>
      <c r="K20" s="87"/>
      <c r="L20" s="1441"/>
    </row>
    <row r="21" spans="1:14" ht="17.25" x14ac:dyDescent="0.35">
      <c r="A21" s="842">
        <v>14</v>
      </c>
      <c r="B21" s="76"/>
      <c r="C21" s="77"/>
      <c r="D21" s="77"/>
      <c r="E21" s="77"/>
      <c r="F21" s="89" t="s">
        <v>496</v>
      </c>
      <c r="G21" s="78"/>
      <c r="H21" s="78"/>
      <c r="I21" s="78"/>
      <c r="J21" s="1424">
        <v>240000</v>
      </c>
      <c r="K21" s="87">
        <v>60000</v>
      </c>
      <c r="L21" s="1441">
        <v>300000</v>
      </c>
    </row>
    <row r="22" spans="1:14" s="88" customFormat="1" ht="25.5" customHeight="1" x14ac:dyDescent="0.35">
      <c r="A22" s="842">
        <v>15</v>
      </c>
      <c r="B22" s="374"/>
      <c r="C22" s="85"/>
      <c r="D22" s="77">
        <v>2</v>
      </c>
      <c r="E22" s="85"/>
      <c r="F22" s="86" t="s">
        <v>460</v>
      </c>
      <c r="G22" s="87">
        <v>0</v>
      </c>
      <c r="H22" s="87">
        <v>384588</v>
      </c>
      <c r="I22" s="87">
        <v>0</v>
      </c>
      <c r="J22" s="1427">
        <v>363655</v>
      </c>
      <c r="K22" s="87">
        <v>73000</v>
      </c>
      <c r="L22" s="1444">
        <v>436655</v>
      </c>
    </row>
    <row r="23" spans="1:14" ht="17.25" x14ac:dyDescent="0.35">
      <c r="A23" s="842">
        <v>16</v>
      </c>
      <c r="B23" s="76"/>
      <c r="C23" s="77"/>
      <c r="D23" s="85"/>
      <c r="E23" s="77"/>
      <c r="F23" s="89" t="s">
        <v>925</v>
      </c>
      <c r="G23" s="78"/>
      <c r="H23" s="78"/>
      <c r="I23" s="78"/>
      <c r="J23" s="1424"/>
      <c r="K23" s="87">
        <v>50000</v>
      </c>
      <c r="L23" s="1441">
        <v>50000</v>
      </c>
    </row>
    <row r="24" spans="1:14" ht="17.25" x14ac:dyDescent="0.35">
      <c r="A24" s="842">
        <v>17</v>
      </c>
      <c r="B24" s="76"/>
      <c r="C24" s="77"/>
      <c r="D24" s="85"/>
      <c r="E24" s="77"/>
      <c r="F24" s="617" t="s">
        <v>472</v>
      </c>
      <c r="G24" s="78"/>
      <c r="H24" s="618"/>
      <c r="I24" s="618"/>
      <c r="J24" s="1428">
        <v>64615</v>
      </c>
      <c r="K24" s="87">
        <v>23000</v>
      </c>
      <c r="L24" s="1441">
        <v>87615</v>
      </c>
    </row>
    <row r="25" spans="1:14" ht="17.25" x14ac:dyDescent="0.35">
      <c r="A25" s="842">
        <v>18</v>
      </c>
      <c r="B25" s="76"/>
      <c r="C25" s="77"/>
      <c r="D25" s="85"/>
      <c r="E25" s="77"/>
      <c r="F25" s="89" t="s">
        <v>427</v>
      </c>
      <c r="G25" s="78"/>
      <c r="H25" s="78">
        <v>384588</v>
      </c>
      <c r="I25" s="78"/>
      <c r="J25" s="1424">
        <v>299040</v>
      </c>
      <c r="K25" s="87"/>
      <c r="L25" s="1441">
        <v>299040</v>
      </c>
    </row>
    <row r="26" spans="1:14" s="69" customFormat="1" ht="25.5" customHeight="1" x14ac:dyDescent="0.2">
      <c r="A26" s="842">
        <v>19</v>
      </c>
      <c r="B26" s="375"/>
      <c r="C26" s="90"/>
      <c r="D26" s="90"/>
      <c r="E26" s="90"/>
      <c r="F26" s="91" t="s">
        <v>197</v>
      </c>
      <c r="G26" s="91"/>
      <c r="H26" s="91">
        <v>177471</v>
      </c>
      <c r="I26" s="91"/>
      <c r="J26" s="1429">
        <v>150000</v>
      </c>
      <c r="K26" s="1436"/>
      <c r="L26" s="1445">
        <v>150000</v>
      </c>
    </row>
    <row r="27" spans="1:14" s="75" customFormat="1" ht="25.5" customHeight="1" x14ac:dyDescent="0.35">
      <c r="A27" s="842">
        <v>20</v>
      </c>
      <c r="B27" s="76"/>
      <c r="C27" s="83"/>
      <c r="D27" s="77">
        <v>2</v>
      </c>
      <c r="E27" s="83"/>
      <c r="F27" s="84" t="s">
        <v>154</v>
      </c>
      <c r="G27" s="84">
        <v>5480175</v>
      </c>
      <c r="H27" s="84">
        <v>22160079</v>
      </c>
      <c r="I27" s="84">
        <v>8697825</v>
      </c>
      <c r="J27" s="1426">
        <v>30175841</v>
      </c>
      <c r="K27" s="1435">
        <v>600056</v>
      </c>
      <c r="L27" s="1443">
        <v>30775897</v>
      </c>
    </row>
    <row r="28" spans="1:14" ht="17.25" x14ac:dyDescent="0.35">
      <c r="A28" s="842">
        <v>21</v>
      </c>
      <c r="B28" s="76"/>
      <c r="C28" s="83"/>
      <c r="D28" s="77"/>
      <c r="E28" s="77">
        <v>1</v>
      </c>
      <c r="F28" s="79" t="s">
        <v>219</v>
      </c>
      <c r="G28" s="78">
        <v>5000126</v>
      </c>
      <c r="H28" s="78">
        <v>21222147</v>
      </c>
      <c r="I28" s="78">
        <v>5639171</v>
      </c>
      <c r="J28" s="1424">
        <v>30091595</v>
      </c>
      <c r="K28" s="87">
        <v>600056</v>
      </c>
      <c r="L28" s="1441">
        <v>30691651</v>
      </c>
    </row>
    <row r="29" spans="1:14" ht="17.25" x14ac:dyDescent="0.35">
      <c r="A29" s="842">
        <v>22</v>
      </c>
      <c r="B29" s="76"/>
      <c r="C29" s="83"/>
      <c r="D29" s="77"/>
      <c r="E29" s="77">
        <v>2</v>
      </c>
      <c r="F29" s="79" t="s">
        <v>155</v>
      </c>
      <c r="G29" s="78">
        <v>55982</v>
      </c>
      <c r="H29" s="78">
        <v>549493</v>
      </c>
      <c r="I29" s="78">
        <v>2927040</v>
      </c>
      <c r="J29" s="1424">
        <v>60493</v>
      </c>
      <c r="K29" s="87">
        <v>0</v>
      </c>
      <c r="L29" s="1441">
        <v>60493</v>
      </c>
    </row>
    <row r="30" spans="1:14" ht="17.25" x14ac:dyDescent="0.35">
      <c r="A30" s="842">
        <v>23</v>
      </c>
      <c r="B30" s="76"/>
      <c r="C30" s="83"/>
      <c r="D30" s="77"/>
      <c r="E30" s="77">
        <v>3</v>
      </c>
      <c r="F30" s="79" t="s">
        <v>220</v>
      </c>
      <c r="G30" s="78">
        <v>424067</v>
      </c>
      <c r="H30" s="78">
        <v>388439</v>
      </c>
      <c r="I30" s="78">
        <v>131614</v>
      </c>
      <c r="J30" s="1424">
        <v>23753</v>
      </c>
      <c r="K30" s="87">
        <v>0</v>
      </c>
      <c r="L30" s="1441">
        <v>23753</v>
      </c>
      <c r="N30" s="78"/>
    </row>
    <row r="31" spans="1:14" s="75" customFormat="1" ht="30" customHeight="1" x14ac:dyDescent="0.35">
      <c r="A31" s="842">
        <v>24</v>
      </c>
      <c r="B31" s="373" t="s">
        <v>439</v>
      </c>
      <c r="C31" s="80"/>
      <c r="D31" s="81"/>
      <c r="E31" s="80"/>
      <c r="F31" s="82" t="s">
        <v>198</v>
      </c>
      <c r="G31" s="82">
        <v>0</v>
      </c>
      <c r="H31" s="82">
        <v>0</v>
      </c>
      <c r="I31" s="82">
        <v>0</v>
      </c>
      <c r="J31" s="1425">
        <v>0</v>
      </c>
      <c r="K31" s="1434">
        <v>0</v>
      </c>
      <c r="L31" s="1442">
        <v>0</v>
      </c>
    </row>
    <row r="32" spans="1:14" s="68" customFormat="1" ht="24" customHeight="1" x14ac:dyDescent="0.35">
      <c r="A32" s="843">
        <v>25</v>
      </c>
      <c r="B32" s="76"/>
      <c r="C32" s="77"/>
      <c r="D32" s="77">
        <v>1</v>
      </c>
      <c r="E32" s="77"/>
      <c r="F32" s="92" t="s">
        <v>37</v>
      </c>
      <c r="G32" s="101"/>
      <c r="H32" s="101"/>
      <c r="I32" s="101"/>
      <c r="J32" s="1430"/>
      <c r="K32" s="1437"/>
      <c r="L32" s="1446"/>
    </row>
    <row r="33" spans="1:12" s="68" customFormat="1" ht="24" customHeight="1" thickBot="1" x14ac:dyDescent="0.4">
      <c r="A33" s="843">
        <v>26</v>
      </c>
      <c r="B33" s="76"/>
      <c r="C33" s="77"/>
      <c r="D33" s="77">
        <v>2</v>
      </c>
      <c r="E33" s="77"/>
      <c r="F33" s="744" t="s">
        <v>154</v>
      </c>
      <c r="G33" s="101"/>
      <c r="H33" s="101"/>
      <c r="I33" s="101"/>
      <c r="J33" s="1430"/>
      <c r="K33" s="1437"/>
      <c r="L33" s="1446"/>
    </row>
    <row r="34" spans="1:12" s="91" customFormat="1" ht="39.950000000000003" customHeight="1" thickBot="1" x14ac:dyDescent="0.25">
      <c r="A34" s="842">
        <v>27</v>
      </c>
      <c r="B34" s="97"/>
      <c r="C34" s="98"/>
      <c r="D34" s="99"/>
      <c r="E34" s="98"/>
      <c r="F34" s="100" t="s">
        <v>199</v>
      </c>
      <c r="G34" s="100">
        <v>19935413</v>
      </c>
      <c r="H34" s="100">
        <v>37552274</v>
      </c>
      <c r="I34" s="100">
        <v>21967156</v>
      </c>
      <c r="J34" s="1431">
        <v>46102993</v>
      </c>
      <c r="K34" s="1438">
        <v>2437432</v>
      </c>
      <c r="L34" s="1447">
        <v>48540425</v>
      </c>
    </row>
    <row r="35" spans="1:12" s="68" customFormat="1" ht="30" customHeight="1" x14ac:dyDescent="0.35">
      <c r="A35" s="842">
        <v>28</v>
      </c>
      <c r="B35" s="76" t="s">
        <v>439</v>
      </c>
      <c r="C35" s="77"/>
      <c r="D35" s="77"/>
      <c r="E35" s="77"/>
      <c r="F35" s="84" t="s">
        <v>200</v>
      </c>
      <c r="G35" s="84">
        <v>241248</v>
      </c>
      <c r="H35" s="84">
        <v>219771</v>
      </c>
      <c r="I35" s="84">
        <v>367272</v>
      </c>
      <c r="J35" s="1426">
        <v>319022</v>
      </c>
      <c r="K35" s="1435">
        <v>0</v>
      </c>
      <c r="L35" s="1443">
        <v>319022</v>
      </c>
    </row>
    <row r="36" spans="1:12" s="68" customFormat="1" ht="17.25" x14ac:dyDescent="0.35">
      <c r="A36" s="842">
        <v>29</v>
      </c>
      <c r="B36" s="76"/>
      <c r="C36" s="77"/>
      <c r="D36" s="77">
        <v>1</v>
      </c>
      <c r="E36" s="77"/>
      <c r="F36" s="101" t="s">
        <v>201</v>
      </c>
      <c r="G36" s="101"/>
      <c r="H36" s="101"/>
      <c r="I36" s="101"/>
      <c r="J36" s="1430"/>
      <c r="K36" s="1437"/>
      <c r="L36" s="1446"/>
    </row>
    <row r="37" spans="1:12" s="68" customFormat="1" ht="17.25" x14ac:dyDescent="0.35">
      <c r="A37" s="842">
        <v>30</v>
      </c>
      <c r="B37" s="76"/>
      <c r="C37" s="77"/>
      <c r="D37" s="77">
        <v>1</v>
      </c>
      <c r="E37" s="77"/>
      <c r="F37" s="101" t="s">
        <v>254</v>
      </c>
      <c r="G37" s="101">
        <v>127653</v>
      </c>
      <c r="H37" s="101">
        <v>111267</v>
      </c>
      <c r="I37" s="101">
        <v>258768</v>
      </c>
      <c r="J37" s="1430">
        <v>180835</v>
      </c>
      <c r="K37" s="1437"/>
      <c r="L37" s="1441">
        <v>180835</v>
      </c>
    </row>
    <row r="38" spans="1:12" ht="17.25" x14ac:dyDescent="0.35">
      <c r="A38" s="842">
        <v>31</v>
      </c>
      <c r="B38" s="76"/>
      <c r="C38" s="77"/>
      <c r="D38" s="77">
        <v>2</v>
      </c>
      <c r="E38" s="77"/>
      <c r="F38" s="101" t="s">
        <v>202</v>
      </c>
      <c r="G38" s="78"/>
      <c r="H38" s="78"/>
      <c r="I38" s="78"/>
      <c r="J38" s="1430"/>
      <c r="K38" s="87"/>
      <c r="L38" s="1441"/>
    </row>
    <row r="39" spans="1:12" ht="17.25" x14ac:dyDescent="0.35">
      <c r="A39" s="842">
        <v>32</v>
      </c>
      <c r="B39" s="76"/>
      <c r="C39" s="77"/>
      <c r="D39" s="77"/>
      <c r="E39" s="77"/>
      <c r="F39" s="102" t="s">
        <v>203</v>
      </c>
      <c r="G39" s="78">
        <v>113595</v>
      </c>
      <c r="H39" s="78">
        <v>108504</v>
      </c>
      <c r="I39" s="78">
        <v>108504</v>
      </c>
      <c r="J39" s="1430">
        <v>138187</v>
      </c>
      <c r="K39" s="87"/>
      <c r="L39" s="1441">
        <v>138187</v>
      </c>
    </row>
    <row r="40" spans="1:12" s="96" customFormat="1" ht="18" customHeight="1" thickBot="1" x14ac:dyDescent="0.25">
      <c r="A40" s="842">
        <v>33</v>
      </c>
      <c r="B40" s="93"/>
      <c r="C40" s="94"/>
      <c r="D40" s="94"/>
      <c r="E40" s="94"/>
      <c r="F40" s="103" t="s">
        <v>204</v>
      </c>
      <c r="G40" s="95"/>
      <c r="H40" s="95"/>
      <c r="I40" s="95"/>
      <c r="J40" s="1432"/>
      <c r="K40" s="1439"/>
      <c r="L40" s="1448"/>
    </row>
    <row r="41" spans="1:12" s="91" customFormat="1" ht="39.950000000000003" customHeight="1" thickBot="1" x14ac:dyDescent="0.25">
      <c r="A41" s="842">
        <v>34</v>
      </c>
      <c r="B41" s="97"/>
      <c r="C41" s="98"/>
      <c r="D41" s="99"/>
      <c r="E41" s="98"/>
      <c r="F41" s="100" t="s">
        <v>205</v>
      </c>
      <c r="G41" s="100">
        <v>20176661</v>
      </c>
      <c r="H41" s="100">
        <v>37772045</v>
      </c>
      <c r="I41" s="100">
        <v>22334428</v>
      </c>
      <c r="J41" s="1431">
        <v>46422015</v>
      </c>
      <c r="K41" s="1438">
        <v>2437432</v>
      </c>
      <c r="L41" s="1447">
        <v>48859447</v>
      </c>
    </row>
    <row r="42" spans="1:12" x14ac:dyDescent="0.3">
      <c r="B42" s="104"/>
      <c r="C42" s="77"/>
      <c r="D42" s="77"/>
      <c r="E42" s="77"/>
      <c r="F42" s="78"/>
      <c r="G42" s="78">
        <f>+'1.Onbe'!G63-'2.Onki'!G41</f>
        <v>14215038</v>
      </c>
      <c r="H42" s="78">
        <f>+'1.Onbe'!H63-'2.Onki'!H41</f>
        <v>0</v>
      </c>
      <c r="I42" s="78">
        <f>+'1.Onbe'!I63-'2.Onki'!I41</f>
        <v>19065647</v>
      </c>
      <c r="J42" s="78">
        <f>+'1.Onbe'!J63-'2.Onki'!J41</f>
        <v>0</v>
      </c>
    </row>
    <row r="43" spans="1:12" x14ac:dyDescent="0.3">
      <c r="B43" s="104"/>
      <c r="C43" s="77"/>
      <c r="D43" s="77"/>
      <c r="E43" s="77"/>
      <c r="F43" s="78"/>
      <c r="G43" s="78"/>
      <c r="H43" s="78"/>
      <c r="I43" s="78"/>
    </row>
    <row r="44" spans="1:12" x14ac:dyDescent="0.3">
      <c r="B44" s="104"/>
      <c r="C44" s="77"/>
      <c r="D44" s="77"/>
      <c r="E44" s="77"/>
      <c r="F44" s="78"/>
      <c r="G44" s="78"/>
      <c r="H44" s="78"/>
      <c r="I44" s="78"/>
    </row>
    <row r="45" spans="1:12" x14ac:dyDescent="0.3">
      <c r="B45" s="104"/>
      <c r="C45" s="77"/>
      <c r="D45" s="77"/>
      <c r="E45" s="77"/>
      <c r="F45" s="78"/>
      <c r="G45" s="78"/>
      <c r="H45" s="78"/>
      <c r="I45" s="78"/>
    </row>
    <row r="46" spans="1:12" ht="17.25" x14ac:dyDescent="0.35">
      <c r="B46" s="104"/>
      <c r="C46" s="83"/>
      <c r="D46" s="77"/>
      <c r="E46" s="83"/>
      <c r="F46" s="84"/>
      <c r="G46" s="84"/>
      <c r="H46" s="84"/>
      <c r="I46" s="84"/>
    </row>
    <row r="47" spans="1:12" x14ac:dyDescent="0.3">
      <c r="B47" s="104"/>
      <c r="C47" s="77"/>
      <c r="D47" s="77"/>
      <c r="E47" s="77"/>
      <c r="F47" s="78"/>
      <c r="G47" s="78"/>
      <c r="H47" s="78"/>
      <c r="I47" s="78"/>
    </row>
    <row r="48" spans="1:12" x14ac:dyDescent="0.3">
      <c r="B48" s="104"/>
      <c r="C48" s="77"/>
      <c r="D48" s="77"/>
      <c r="E48" s="77"/>
      <c r="F48" s="78"/>
      <c r="G48" s="78"/>
      <c r="H48" s="78"/>
      <c r="I48" s="78"/>
    </row>
    <row r="57" spans="1:5" s="75" customFormat="1" ht="17.25" x14ac:dyDescent="0.35">
      <c r="A57" s="844"/>
      <c r="B57" s="105"/>
      <c r="C57" s="106"/>
      <c r="D57" s="107"/>
      <c r="E57" s="106"/>
    </row>
    <row r="62" spans="1:5" s="75" customFormat="1" ht="17.25" x14ac:dyDescent="0.35">
      <c r="A62" s="844"/>
      <c r="B62" s="105"/>
      <c r="C62" s="106"/>
      <c r="D62" s="107"/>
      <c r="E62" s="106"/>
    </row>
    <row r="64" spans="1:5" s="75" customFormat="1" ht="17.25" x14ac:dyDescent="0.35">
      <c r="A64" s="844"/>
      <c r="B64" s="105"/>
      <c r="C64" s="106"/>
      <c r="D64" s="107"/>
      <c r="E64" s="106"/>
    </row>
    <row r="71" spans="6:6" x14ac:dyDescent="0.3">
      <c r="F71" s="78"/>
    </row>
    <row r="72" spans="6:6" x14ac:dyDescent="0.3">
      <c r="F72" s="78"/>
    </row>
    <row r="73" spans="6:6" x14ac:dyDescent="0.3">
      <c r="F73" s="78"/>
    </row>
    <row r="74" spans="6:6" x14ac:dyDescent="0.3">
      <c r="F74" s="78"/>
    </row>
    <row r="75" spans="6:6" x14ac:dyDescent="0.3">
      <c r="F75" s="78"/>
    </row>
    <row r="76" spans="6:6" x14ac:dyDescent="0.3">
      <c r="F76" s="78"/>
    </row>
    <row r="77" spans="6:6" x14ac:dyDescent="0.3">
      <c r="F77" s="78"/>
    </row>
  </sheetData>
  <mergeCells count="4">
    <mergeCell ref="B1:F1"/>
    <mergeCell ref="B3:J3"/>
    <mergeCell ref="B4:J4"/>
    <mergeCell ref="B2:F2"/>
  </mergeCells>
  <printOptions horizontalCentered="1"/>
  <pageMargins left="0.19685039370078741" right="0.19685039370078741" top="0.59055118110236227" bottom="0.59055118110236227" header="0.51181102362204722" footer="0.51181102362204722"/>
  <pageSetup paperSize="9" scale="60" fitToHeight="2" orientation="portrait" r:id="rId1"/>
  <headerFooter alignWithMargins="0">
    <oddFooter>&amp;C- &amp;P--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4"/>
  <sheetViews>
    <sheetView view="pageBreakPreview" zoomScaleNormal="100" zoomScaleSheetLayoutView="100" workbookViewId="0">
      <selection activeCell="B2" sqref="B2:F2"/>
    </sheetView>
  </sheetViews>
  <sheetFormatPr defaultColWidth="9.140625" defaultRowHeight="12.75" x14ac:dyDescent="0.2"/>
  <cols>
    <col min="1" max="1" width="3.7109375" style="664" customWidth="1"/>
    <col min="2" max="2" width="5.7109375" style="259" customWidth="1"/>
    <col min="3" max="3" width="5.7109375" style="262" customWidth="1"/>
    <col min="4" max="4" width="4.7109375" style="262" customWidth="1"/>
    <col min="5" max="5" width="51.7109375" style="262" customWidth="1"/>
    <col min="6" max="6" width="10" style="259" customWidth="1"/>
    <col min="7" max="7" width="14" style="259" bestFit="1" customWidth="1"/>
    <col min="8" max="8" width="11.7109375" style="259" customWidth="1"/>
    <col min="9" max="9" width="12.42578125" style="259" bestFit="1" customWidth="1"/>
    <col min="10" max="10" width="14" style="259" customWidth="1"/>
    <col min="11" max="12" width="12.7109375" style="259" customWidth="1"/>
    <col min="13" max="13" width="10.7109375" style="259" customWidth="1"/>
    <col min="14" max="14" width="12.7109375" style="260" customWidth="1"/>
    <col min="15" max="15" width="13.7109375" style="261" customWidth="1"/>
    <col min="16" max="16384" width="9.140625" style="259"/>
  </cols>
  <sheetData>
    <row r="1" spans="1:16" s="272" customFormat="1" ht="18" customHeight="1" x14ac:dyDescent="0.2">
      <c r="A1" s="55"/>
      <c r="B1" s="1916" t="s">
        <v>904</v>
      </c>
      <c r="C1" s="1916"/>
      <c r="D1" s="1916"/>
      <c r="E1" s="1916"/>
      <c r="F1" s="661"/>
      <c r="G1" s="661"/>
      <c r="H1" s="661"/>
      <c r="I1" s="661"/>
      <c r="J1" s="661"/>
      <c r="K1" s="661"/>
      <c r="L1" s="661"/>
      <c r="M1" s="661"/>
      <c r="N1" s="662"/>
      <c r="O1" s="663"/>
      <c r="P1" s="661"/>
    </row>
    <row r="2" spans="1:16" s="141" customFormat="1" ht="16.5" x14ac:dyDescent="0.3">
      <c r="A2" s="126"/>
      <c r="B2" s="1896"/>
      <c r="C2" s="1896"/>
      <c r="D2" s="1896"/>
      <c r="E2" s="1896"/>
      <c r="F2" s="1896"/>
      <c r="G2" s="118"/>
      <c r="H2" s="118"/>
      <c r="I2" s="118"/>
      <c r="J2" s="282"/>
    </row>
    <row r="3" spans="1:16" s="272" customFormat="1" ht="24.75" customHeight="1" x14ac:dyDescent="0.2">
      <c r="A3" s="55"/>
      <c r="B3" s="1917" t="s">
        <v>133</v>
      </c>
      <c r="C3" s="1917"/>
      <c r="D3" s="1917"/>
      <c r="E3" s="1917"/>
      <c r="F3" s="1917"/>
      <c r="G3" s="1917"/>
      <c r="H3" s="1917"/>
      <c r="I3" s="1917"/>
      <c r="J3" s="1917"/>
      <c r="K3" s="1917"/>
      <c r="L3" s="1917"/>
      <c r="M3" s="1917"/>
      <c r="N3" s="1917"/>
      <c r="O3" s="1917"/>
      <c r="P3" s="661"/>
    </row>
    <row r="4" spans="1:16" s="272" customFormat="1" ht="24.75" customHeight="1" x14ac:dyDescent="0.2">
      <c r="A4" s="55"/>
      <c r="B4" s="1917" t="s">
        <v>634</v>
      </c>
      <c r="C4" s="1917"/>
      <c r="D4" s="1917"/>
      <c r="E4" s="1917"/>
      <c r="F4" s="1917"/>
      <c r="G4" s="1917"/>
      <c r="H4" s="1917"/>
      <c r="I4" s="1917"/>
      <c r="J4" s="1917"/>
      <c r="K4" s="1917"/>
      <c r="L4" s="1917"/>
      <c r="M4" s="1917"/>
      <c r="N4" s="1917"/>
      <c r="O4" s="1917"/>
      <c r="P4" s="661"/>
    </row>
    <row r="5" spans="1:16" ht="18" customHeight="1" x14ac:dyDescent="0.3">
      <c r="A5" s="55"/>
      <c r="B5" s="44"/>
      <c r="C5" s="47"/>
      <c r="D5" s="47"/>
      <c r="E5" s="47"/>
      <c r="F5" s="45"/>
      <c r="G5" s="45"/>
      <c r="H5" s="45"/>
      <c r="I5" s="45"/>
      <c r="J5" s="45"/>
      <c r="K5" s="45"/>
      <c r="L5" s="42"/>
      <c r="M5" s="42"/>
      <c r="N5" s="1918" t="s">
        <v>0</v>
      </c>
      <c r="O5" s="1918"/>
      <c r="P5" s="42"/>
    </row>
    <row r="6" spans="1:16" s="55" customFormat="1" ht="18" customHeight="1" thickBot="1" x14ac:dyDescent="0.25">
      <c r="B6" s="55" t="s">
        <v>1</v>
      </c>
      <c r="C6" s="55" t="s">
        <v>3</v>
      </c>
      <c r="D6" s="1919" t="s">
        <v>2</v>
      </c>
      <c r="E6" s="1919"/>
      <c r="F6" s="124" t="s">
        <v>4</v>
      </c>
      <c r="G6" s="124" t="s">
        <v>5</v>
      </c>
      <c r="H6" s="124" t="s">
        <v>15</v>
      </c>
      <c r="I6" s="124" t="s">
        <v>16</v>
      </c>
      <c r="J6" s="124" t="s">
        <v>17</v>
      </c>
      <c r="K6" s="124" t="s">
        <v>34</v>
      </c>
      <c r="L6" s="55" t="s">
        <v>30</v>
      </c>
      <c r="M6" s="55" t="s">
        <v>23</v>
      </c>
      <c r="N6" s="55" t="s">
        <v>35</v>
      </c>
      <c r="O6" s="55" t="s">
        <v>36</v>
      </c>
    </row>
    <row r="7" spans="1:16" s="44" customFormat="1" ht="30" customHeight="1" x14ac:dyDescent="0.2">
      <c r="A7" s="55"/>
      <c r="B7" s="1923" t="s">
        <v>18</v>
      </c>
      <c r="C7" s="1925" t="s">
        <v>19</v>
      </c>
      <c r="D7" s="1927" t="s">
        <v>6</v>
      </c>
      <c r="E7" s="1928"/>
      <c r="F7" s="1931" t="s">
        <v>134</v>
      </c>
      <c r="G7" s="1931"/>
      <c r="H7" s="1931"/>
      <c r="I7" s="1913" t="s">
        <v>135</v>
      </c>
      <c r="J7" s="1913"/>
      <c r="K7" s="1913"/>
      <c r="L7" s="1913" t="s">
        <v>252</v>
      </c>
      <c r="M7" s="1913" t="s">
        <v>136</v>
      </c>
      <c r="N7" s="1913"/>
      <c r="O7" s="1914" t="s">
        <v>645</v>
      </c>
    </row>
    <row r="8" spans="1:16" ht="60.75" thickBot="1" x14ac:dyDescent="0.25">
      <c r="A8" s="55"/>
      <c r="B8" s="1924"/>
      <c r="C8" s="1926"/>
      <c r="D8" s="1929"/>
      <c r="E8" s="1930"/>
      <c r="F8" s="1371" t="s">
        <v>137</v>
      </c>
      <c r="G8" s="1371" t="s">
        <v>138</v>
      </c>
      <c r="H8" s="1371" t="s">
        <v>139</v>
      </c>
      <c r="I8" s="1371" t="s">
        <v>140</v>
      </c>
      <c r="J8" s="1371" t="s">
        <v>141</v>
      </c>
      <c r="K8" s="1371" t="s">
        <v>142</v>
      </c>
      <c r="L8" s="1922"/>
      <c r="M8" s="1371" t="s">
        <v>120</v>
      </c>
      <c r="N8" s="46" t="s">
        <v>362</v>
      </c>
      <c r="O8" s="1915"/>
      <c r="P8" s="42"/>
    </row>
    <row r="9" spans="1:16" s="47" customFormat="1" ht="15" x14ac:dyDescent="0.3">
      <c r="A9" s="55">
        <v>1</v>
      </c>
      <c r="B9" s="304">
        <v>1</v>
      </c>
      <c r="C9" s="305"/>
      <c r="D9" s="643" t="s">
        <v>295</v>
      </c>
      <c r="E9" s="639"/>
      <c r="F9" s="316"/>
      <c r="G9" s="316"/>
      <c r="H9" s="316"/>
      <c r="I9" s="316"/>
      <c r="J9" s="316"/>
      <c r="K9" s="316"/>
      <c r="L9" s="316"/>
      <c r="M9" s="316"/>
      <c r="N9" s="317"/>
      <c r="O9" s="318"/>
    </row>
    <row r="10" spans="1:16" s="47" customFormat="1" ht="15" x14ac:dyDescent="0.3">
      <c r="A10" s="55">
        <v>2</v>
      </c>
      <c r="B10" s="290"/>
      <c r="C10" s="291"/>
      <c r="D10" s="1920" t="s">
        <v>317</v>
      </c>
      <c r="E10" s="1921"/>
      <c r="F10" s="115"/>
      <c r="G10" s="115"/>
      <c r="H10" s="115"/>
      <c r="I10" s="115"/>
      <c r="J10" s="115"/>
      <c r="K10" s="115"/>
      <c r="L10" s="115"/>
      <c r="M10" s="115"/>
      <c r="N10" s="152"/>
      <c r="O10" s="310"/>
    </row>
    <row r="11" spans="1:16" s="765" customFormat="1" ht="15" x14ac:dyDescent="0.3">
      <c r="A11" s="55">
        <v>3</v>
      </c>
      <c r="B11" s="757"/>
      <c r="C11" s="758"/>
      <c r="D11" s="759"/>
      <c r="E11" s="803" t="s">
        <v>292</v>
      </c>
      <c r="F11" s="761">
        <v>4343</v>
      </c>
      <c r="G11" s="761"/>
      <c r="H11" s="761"/>
      <c r="I11" s="761"/>
      <c r="J11" s="761"/>
      <c r="K11" s="761"/>
      <c r="L11" s="761">
        <v>6900</v>
      </c>
      <c r="M11" s="761">
        <v>217530</v>
      </c>
      <c r="N11" s="762">
        <v>177724</v>
      </c>
      <c r="O11" s="763">
        <f>SUM(F11:M11)</f>
        <v>228773</v>
      </c>
      <c r="P11" s="764"/>
    </row>
    <row r="12" spans="1:16" s="147" customFormat="1" ht="15" x14ac:dyDescent="0.3">
      <c r="A12" s="55">
        <v>4</v>
      </c>
      <c r="B12" s="757"/>
      <c r="C12" s="758"/>
      <c r="D12" s="759"/>
      <c r="E12" s="1449" t="s">
        <v>926</v>
      </c>
      <c r="F12" s="115"/>
      <c r="G12" s="115"/>
      <c r="H12" s="115"/>
      <c r="I12" s="115"/>
      <c r="J12" s="115"/>
      <c r="K12" s="115"/>
      <c r="L12" s="152">
        <v>8615</v>
      </c>
      <c r="M12" s="115"/>
      <c r="N12" s="152"/>
      <c r="O12" s="1077">
        <f>SUM(F12:M12)</f>
        <v>8615</v>
      </c>
    </row>
    <row r="13" spans="1:16" s="147" customFormat="1" ht="15" x14ac:dyDescent="0.3">
      <c r="A13" s="55">
        <v>5</v>
      </c>
      <c r="B13" s="757"/>
      <c r="C13" s="758"/>
      <c r="D13" s="759"/>
      <c r="E13" s="327" t="s">
        <v>927</v>
      </c>
      <c r="F13" s="1285">
        <f>SUM(F11:F12)</f>
        <v>4343</v>
      </c>
      <c r="G13" s="1285"/>
      <c r="H13" s="1285"/>
      <c r="I13" s="1285"/>
      <c r="J13" s="1285"/>
      <c r="K13" s="1285"/>
      <c r="L13" s="1285">
        <f>SUM(L11:L12)</f>
        <v>15515</v>
      </c>
      <c r="M13" s="1285">
        <f>SUM(M11:M12)</f>
        <v>217530</v>
      </c>
      <c r="N13" s="1285">
        <f>SUM(N11:N12)</f>
        <v>177724</v>
      </c>
      <c r="O13" s="310">
        <f>SUM(F13:M13)</f>
        <v>237388</v>
      </c>
    </row>
    <row r="14" spans="1:16" s="766" customFormat="1" ht="15" x14ac:dyDescent="0.3">
      <c r="A14" s="55">
        <v>6</v>
      </c>
      <c r="B14" s="290">
        <v>2</v>
      </c>
      <c r="C14" s="291"/>
      <c r="D14" s="1911" t="s">
        <v>361</v>
      </c>
      <c r="E14" s="1912"/>
      <c r="F14" s="299"/>
      <c r="G14" s="299"/>
      <c r="H14" s="299"/>
      <c r="I14" s="299"/>
      <c r="J14" s="299"/>
      <c r="K14" s="299"/>
      <c r="L14" s="299"/>
      <c r="M14" s="299"/>
      <c r="N14" s="300"/>
      <c r="O14" s="301"/>
    </row>
    <row r="15" spans="1:16" s="146" customFormat="1" ht="15" x14ac:dyDescent="0.3">
      <c r="A15" s="55">
        <v>7</v>
      </c>
      <c r="B15" s="290"/>
      <c r="C15" s="291"/>
      <c r="D15" s="1920" t="s">
        <v>293</v>
      </c>
      <c r="E15" s="1921"/>
      <c r="F15" s="299"/>
      <c r="G15" s="299"/>
      <c r="H15" s="299"/>
      <c r="I15" s="299"/>
      <c r="J15" s="299"/>
      <c r="K15" s="299"/>
      <c r="L15" s="299"/>
      <c r="M15" s="299"/>
      <c r="N15" s="300"/>
      <c r="O15" s="301"/>
    </row>
    <row r="16" spans="1:16" s="47" customFormat="1" ht="15" x14ac:dyDescent="0.3">
      <c r="A16" s="55">
        <v>8</v>
      </c>
      <c r="B16" s="757"/>
      <c r="C16" s="758"/>
      <c r="D16" s="759"/>
      <c r="E16" s="803" t="s">
        <v>292</v>
      </c>
      <c r="F16" s="761">
        <v>8467</v>
      </c>
      <c r="G16" s="761"/>
      <c r="H16" s="761"/>
      <c r="I16" s="761"/>
      <c r="J16" s="761"/>
      <c r="K16" s="761"/>
      <c r="L16" s="761">
        <v>11315</v>
      </c>
      <c r="M16" s="761">
        <v>359478</v>
      </c>
      <c r="N16" s="762">
        <v>257545</v>
      </c>
      <c r="O16" s="763">
        <f>SUM(F16:M16)</f>
        <v>379260</v>
      </c>
    </row>
    <row r="17" spans="1:16" s="765" customFormat="1" ht="15" x14ac:dyDescent="0.3">
      <c r="A17" s="55">
        <v>9</v>
      </c>
      <c r="B17" s="757"/>
      <c r="C17" s="758"/>
      <c r="D17" s="759"/>
      <c r="E17" s="1449" t="s">
        <v>926</v>
      </c>
      <c r="F17" s="761"/>
      <c r="G17" s="761"/>
      <c r="H17" s="761"/>
      <c r="I17" s="761"/>
      <c r="J17" s="761"/>
      <c r="K17" s="761"/>
      <c r="L17" s="152">
        <v>9921</v>
      </c>
      <c r="M17" s="761"/>
      <c r="N17" s="762"/>
      <c r="O17" s="1077">
        <f>SUM(F17:M17)</f>
        <v>9921</v>
      </c>
      <c r="P17" s="764"/>
    </row>
    <row r="18" spans="1:16" s="147" customFormat="1" ht="15" x14ac:dyDescent="0.3">
      <c r="A18" s="55">
        <v>10</v>
      </c>
      <c r="B18" s="757"/>
      <c r="C18" s="758"/>
      <c r="D18" s="759"/>
      <c r="E18" s="327" t="s">
        <v>927</v>
      </c>
      <c r="F18" s="1285">
        <f>SUM(F16:F17)</f>
        <v>8467</v>
      </c>
      <c r="G18" s="1285"/>
      <c r="H18" s="1285"/>
      <c r="I18" s="1285"/>
      <c r="J18" s="1285"/>
      <c r="K18" s="1285"/>
      <c r="L18" s="1285">
        <f>SUM(L16:L17)</f>
        <v>21236</v>
      </c>
      <c r="M18" s="1285">
        <f>SUM(M16:M17)</f>
        <v>359478</v>
      </c>
      <c r="N18" s="1285">
        <f>SUM(N16:N17)</f>
        <v>257545</v>
      </c>
      <c r="O18" s="310">
        <f>SUM(F18:M18)</f>
        <v>389181</v>
      </c>
    </row>
    <row r="19" spans="1:16" s="146" customFormat="1" ht="15" x14ac:dyDescent="0.3">
      <c r="A19" s="55">
        <v>11</v>
      </c>
      <c r="B19" s="290">
        <v>3</v>
      </c>
      <c r="C19" s="291"/>
      <c r="D19" s="1911" t="s">
        <v>255</v>
      </c>
      <c r="E19" s="1912"/>
      <c r="F19" s="299"/>
      <c r="G19" s="299"/>
      <c r="H19" s="299"/>
      <c r="I19" s="299"/>
      <c r="J19" s="299"/>
      <c r="K19" s="299"/>
      <c r="L19" s="299"/>
      <c r="M19" s="299"/>
      <c r="N19" s="300"/>
      <c r="O19" s="301"/>
    </row>
    <row r="20" spans="1:16" s="767" customFormat="1" ht="15" x14ac:dyDescent="0.3">
      <c r="A20" s="55">
        <v>12</v>
      </c>
      <c r="B20" s="292"/>
      <c r="C20" s="291"/>
      <c r="D20" s="1920" t="s">
        <v>144</v>
      </c>
      <c r="E20" s="1921"/>
      <c r="F20" s="302"/>
      <c r="G20" s="302"/>
      <c r="H20" s="302"/>
      <c r="I20" s="302"/>
      <c r="J20" s="302"/>
      <c r="K20" s="302"/>
      <c r="L20" s="302"/>
      <c r="M20" s="302"/>
      <c r="N20" s="303"/>
      <c r="O20" s="314"/>
    </row>
    <row r="21" spans="1:16" s="50" customFormat="1" ht="15" x14ac:dyDescent="0.3">
      <c r="A21" s="55">
        <v>13</v>
      </c>
      <c r="B21" s="757"/>
      <c r="C21" s="758"/>
      <c r="D21" s="759"/>
      <c r="E21" s="803" t="s">
        <v>292</v>
      </c>
      <c r="F21" s="761">
        <v>12371</v>
      </c>
      <c r="G21" s="761"/>
      <c r="H21" s="761"/>
      <c r="I21" s="761"/>
      <c r="J21" s="761"/>
      <c r="K21" s="761"/>
      <c r="L21" s="761">
        <v>24423</v>
      </c>
      <c r="M21" s="761">
        <v>393657</v>
      </c>
      <c r="N21" s="762">
        <v>302420</v>
      </c>
      <c r="O21" s="763">
        <f>SUM(F21:M21)</f>
        <v>430451</v>
      </c>
    </row>
    <row r="22" spans="1:16" s="147" customFormat="1" ht="15" x14ac:dyDescent="0.3">
      <c r="A22" s="55">
        <v>14</v>
      </c>
      <c r="B22" s="757"/>
      <c r="C22" s="758"/>
      <c r="D22" s="759"/>
      <c r="E22" s="1449" t="s">
        <v>926</v>
      </c>
      <c r="F22" s="761"/>
      <c r="G22" s="761"/>
      <c r="H22" s="761"/>
      <c r="I22" s="761"/>
      <c r="J22" s="761"/>
      <c r="K22" s="761"/>
      <c r="L22" s="152">
        <v>12931</v>
      </c>
      <c r="M22" s="761"/>
      <c r="N22" s="762"/>
      <c r="O22" s="1077">
        <f>SUM(F22:M22)</f>
        <v>12931</v>
      </c>
    </row>
    <row r="23" spans="1:16" s="766" customFormat="1" ht="15" x14ac:dyDescent="0.3">
      <c r="A23" s="55">
        <v>15</v>
      </c>
      <c r="B23" s="757"/>
      <c r="C23" s="758"/>
      <c r="D23" s="759"/>
      <c r="E23" s="327" t="s">
        <v>927</v>
      </c>
      <c r="F23" s="1285">
        <f>SUM(F21:F22)</f>
        <v>12371</v>
      </c>
      <c r="G23" s="1285"/>
      <c r="H23" s="1285"/>
      <c r="I23" s="1285"/>
      <c r="J23" s="1285"/>
      <c r="K23" s="1285"/>
      <c r="L23" s="1285">
        <f>SUM(L21:L22)</f>
        <v>37354</v>
      </c>
      <c r="M23" s="1285">
        <f>SUM(M21:M22)</f>
        <v>393657</v>
      </c>
      <c r="N23" s="1285">
        <f>SUM(N21:N22)</f>
        <v>302420</v>
      </c>
      <c r="O23" s="310">
        <f>SUM(F23:M23)</f>
        <v>443382</v>
      </c>
    </row>
    <row r="24" spans="1:16" s="50" customFormat="1" ht="15" x14ac:dyDescent="0.3">
      <c r="A24" s="55">
        <v>16</v>
      </c>
      <c r="B24" s="290">
        <v>4</v>
      </c>
      <c r="C24" s="291"/>
      <c r="D24" s="1911" t="s">
        <v>256</v>
      </c>
      <c r="E24" s="1912"/>
      <c r="F24" s="299"/>
      <c r="G24" s="299"/>
      <c r="H24" s="299"/>
      <c r="I24" s="299"/>
      <c r="J24" s="299"/>
      <c r="K24" s="299"/>
      <c r="L24" s="299"/>
      <c r="M24" s="299"/>
      <c r="N24" s="300"/>
      <c r="O24" s="301"/>
    </row>
    <row r="25" spans="1:16" s="50" customFormat="1" ht="15" x14ac:dyDescent="0.3">
      <c r="A25" s="55">
        <v>17</v>
      </c>
      <c r="B25" s="292"/>
      <c r="C25" s="291"/>
      <c r="D25" s="1920" t="s">
        <v>145</v>
      </c>
      <c r="E25" s="1921"/>
      <c r="F25" s="302"/>
      <c r="G25" s="302"/>
      <c r="H25" s="302"/>
      <c r="I25" s="302"/>
      <c r="J25" s="302"/>
      <c r="K25" s="302"/>
      <c r="L25" s="302"/>
      <c r="M25" s="302"/>
      <c r="N25" s="303"/>
      <c r="O25" s="314"/>
    </row>
    <row r="26" spans="1:16" s="768" customFormat="1" ht="15" x14ac:dyDescent="0.3">
      <c r="A26" s="55">
        <v>18</v>
      </c>
      <c r="B26" s="757"/>
      <c r="C26" s="758"/>
      <c r="D26" s="759"/>
      <c r="E26" s="803" t="s">
        <v>292</v>
      </c>
      <c r="F26" s="761">
        <v>12382</v>
      </c>
      <c r="G26" s="761"/>
      <c r="H26" s="761"/>
      <c r="I26" s="761"/>
      <c r="J26" s="761"/>
      <c r="K26" s="761"/>
      <c r="L26" s="761">
        <v>8718</v>
      </c>
      <c r="M26" s="761">
        <v>319580</v>
      </c>
      <c r="N26" s="762">
        <v>244034</v>
      </c>
      <c r="O26" s="763">
        <f>SUM(F26:M26)</f>
        <v>340680</v>
      </c>
    </row>
    <row r="27" spans="1:16" s="42" customFormat="1" ht="15" x14ac:dyDescent="0.3">
      <c r="A27" s="55">
        <v>19</v>
      </c>
      <c r="B27" s="757"/>
      <c r="C27" s="758"/>
      <c r="D27" s="759"/>
      <c r="E27" s="1449" t="s">
        <v>926</v>
      </c>
      <c r="F27" s="761"/>
      <c r="G27" s="761"/>
      <c r="H27" s="761"/>
      <c r="I27" s="761"/>
      <c r="J27" s="761"/>
      <c r="K27" s="761"/>
      <c r="L27" s="152">
        <v>10116</v>
      </c>
      <c r="M27" s="761"/>
      <c r="N27" s="762"/>
      <c r="O27" s="1077">
        <f>SUM(F27:M27)</f>
        <v>10116</v>
      </c>
    </row>
    <row r="28" spans="1:16" s="765" customFormat="1" ht="15" x14ac:dyDescent="0.3">
      <c r="A28" s="55">
        <v>20</v>
      </c>
      <c r="B28" s="757"/>
      <c r="C28" s="758"/>
      <c r="D28" s="759"/>
      <c r="E28" s="1449" t="s">
        <v>928</v>
      </c>
      <c r="F28" s="1450">
        <v>579</v>
      </c>
      <c r="G28" s="761"/>
      <c r="H28" s="761"/>
      <c r="I28" s="761"/>
      <c r="J28" s="761"/>
      <c r="K28" s="761"/>
      <c r="L28" s="761"/>
      <c r="M28" s="761"/>
      <c r="N28" s="762"/>
      <c r="O28" s="1077">
        <f>SUM(F28:M28)</f>
        <v>579</v>
      </c>
      <c r="P28" s="764"/>
    </row>
    <row r="29" spans="1:16" s="47" customFormat="1" ht="15" x14ac:dyDescent="0.3">
      <c r="A29" s="55">
        <v>21</v>
      </c>
      <c r="B29" s="757"/>
      <c r="C29" s="758"/>
      <c r="D29" s="759"/>
      <c r="E29" s="327" t="s">
        <v>927</v>
      </c>
      <c r="F29" s="1285">
        <f>SUM(F26:F28)</f>
        <v>12961</v>
      </c>
      <c r="G29" s="1285"/>
      <c r="H29" s="1285"/>
      <c r="I29" s="1285"/>
      <c r="J29" s="1285"/>
      <c r="K29" s="1285"/>
      <c r="L29" s="1285">
        <f t="shared" ref="L29:N29" si="0">SUM(L26:L28)</f>
        <v>18834</v>
      </c>
      <c r="M29" s="1285">
        <f t="shared" si="0"/>
        <v>319580</v>
      </c>
      <c r="N29" s="1285">
        <f t="shared" si="0"/>
        <v>244034</v>
      </c>
      <c r="O29" s="310">
        <f>SUM(F29:M29)</f>
        <v>351375</v>
      </c>
    </row>
    <row r="30" spans="1:16" s="764" customFormat="1" ht="15" x14ac:dyDescent="0.3">
      <c r="A30" s="55">
        <v>22</v>
      </c>
      <c r="B30" s="290">
        <v>5</v>
      </c>
      <c r="C30" s="291"/>
      <c r="D30" s="1911" t="s">
        <v>257</v>
      </c>
      <c r="E30" s="1912"/>
      <c r="F30" s="299"/>
      <c r="G30" s="299"/>
      <c r="H30" s="299"/>
      <c r="I30" s="299"/>
      <c r="J30" s="299"/>
      <c r="K30" s="299"/>
      <c r="L30" s="299"/>
      <c r="M30" s="299"/>
      <c r="N30" s="300"/>
      <c r="O30" s="301"/>
    </row>
    <row r="31" spans="1:16" s="262" customFormat="1" ht="15" x14ac:dyDescent="0.3">
      <c r="A31" s="55">
        <v>23</v>
      </c>
      <c r="B31" s="292"/>
      <c r="C31" s="291"/>
      <c r="D31" s="1920" t="s">
        <v>146</v>
      </c>
      <c r="E31" s="1921"/>
      <c r="F31" s="302"/>
      <c r="G31" s="302"/>
      <c r="H31" s="302"/>
      <c r="I31" s="302"/>
      <c r="J31" s="302"/>
      <c r="K31" s="302"/>
      <c r="L31" s="302"/>
      <c r="M31" s="302"/>
      <c r="N31" s="303"/>
      <c r="O31" s="314"/>
      <c r="P31" s="47"/>
    </row>
    <row r="32" spans="1:16" s="766" customFormat="1" ht="15" x14ac:dyDescent="0.3">
      <c r="A32" s="55">
        <v>24</v>
      </c>
      <c r="B32" s="757"/>
      <c r="C32" s="758"/>
      <c r="D32" s="759"/>
      <c r="E32" s="803" t="s">
        <v>292</v>
      </c>
      <c r="F32" s="761">
        <v>17622</v>
      </c>
      <c r="G32" s="761"/>
      <c r="H32" s="761"/>
      <c r="I32" s="761"/>
      <c r="J32" s="761"/>
      <c r="K32" s="761"/>
      <c r="L32" s="761">
        <v>11563</v>
      </c>
      <c r="M32" s="761">
        <v>333644</v>
      </c>
      <c r="N32" s="762">
        <v>276219</v>
      </c>
      <c r="O32" s="763">
        <f>SUM(F32:M32)</f>
        <v>362829</v>
      </c>
    </row>
    <row r="33" spans="1:16" s="262" customFormat="1" ht="15" x14ac:dyDescent="0.3">
      <c r="A33" s="55">
        <v>25</v>
      </c>
      <c r="B33" s="757"/>
      <c r="C33" s="758"/>
      <c r="D33" s="759"/>
      <c r="E33" s="1449" t="s">
        <v>926</v>
      </c>
      <c r="F33" s="761"/>
      <c r="G33" s="761"/>
      <c r="H33" s="761"/>
      <c r="I33" s="761"/>
      <c r="J33" s="761"/>
      <c r="K33" s="761"/>
      <c r="L33" s="152">
        <v>10762</v>
      </c>
      <c r="M33" s="761"/>
      <c r="N33" s="762"/>
      <c r="O33" s="1077">
        <f>SUM(F33:M33)</f>
        <v>10762</v>
      </c>
      <c r="P33" s="47"/>
    </row>
    <row r="34" spans="1:16" s="766" customFormat="1" ht="15" x14ac:dyDescent="0.3">
      <c r="A34" s="55">
        <v>26</v>
      </c>
      <c r="B34" s="757"/>
      <c r="C34" s="758"/>
      <c r="D34" s="759"/>
      <c r="E34" s="327" t="s">
        <v>927</v>
      </c>
      <c r="F34" s="1285">
        <f>SUM(F32:F33)</f>
        <v>17622</v>
      </c>
      <c r="G34" s="1285"/>
      <c r="H34" s="1285"/>
      <c r="I34" s="1285"/>
      <c r="J34" s="1285"/>
      <c r="K34" s="1285"/>
      <c r="L34" s="1285">
        <f>SUM(L32:L33)</f>
        <v>22325</v>
      </c>
      <c r="M34" s="1285">
        <f>SUM(M32:M33)</f>
        <v>333644</v>
      </c>
      <c r="N34" s="1285">
        <f>SUM(N32:N33)</f>
        <v>276219</v>
      </c>
      <c r="O34" s="310">
        <f>SUM(F34:M34)</f>
        <v>373591</v>
      </c>
    </row>
    <row r="35" spans="1:16" s="50" customFormat="1" ht="15" x14ac:dyDescent="0.3">
      <c r="A35" s="55">
        <v>27</v>
      </c>
      <c r="B35" s="290">
        <v>6</v>
      </c>
      <c r="C35" s="291"/>
      <c r="D35" s="1911" t="s">
        <v>258</v>
      </c>
      <c r="E35" s="1912"/>
      <c r="F35" s="299"/>
      <c r="G35" s="299"/>
      <c r="H35" s="299"/>
      <c r="I35" s="299"/>
      <c r="J35" s="299"/>
      <c r="K35" s="299"/>
      <c r="L35" s="299"/>
      <c r="M35" s="299"/>
      <c r="N35" s="300"/>
      <c r="O35" s="301"/>
    </row>
    <row r="36" spans="1:16" s="766" customFormat="1" ht="15" x14ac:dyDescent="0.3">
      <c r="A36" s="55">
        <v>28</v>
      </c>
      <c r="B36" s="292"/>
      <c r="C36" s="291"/>
      <c r="D36" s="1920" t="s">
        <v>147</v>
      </c>
      <c r="E36" s="1921"/>
      <c r="F36" s="302"/>
      <c r="G36" s="302"/>
      <c r="H36" s="302"/>
      <c r="I36" s="302"/>
      <c r="J36" s="302"/>
      <c r="K36" s="302"/>
      <c r="L36" s="302"/>
      <c r="M36" s="302"/>
      <c r="N36" s="303"/>
      <c r="O36" s="314"/>
    </row>
    <row r="37" spans="1:16" s="43" customFormat="1" ht="15" x14ac:dyDescent="0.3">
      <c r="A37" s="55">
        <v>29</v>
      </c>
      <c r="B37" s="757"/>
      <c r="C37" s="758"/>
      <c r="D37" s="759"/>
      <c r="E37" s="803" t="s">
        <v>292</v>
      </c>
      <c r="F37" s="761">
        <v>5471</v>
      </c>
      <c r="G37" s="761"/>
      <c r="H37" s="761"/>
      <c r="I37" s="761"/>
      <c r="J37" s="761"/>
      <c r="K37" s="761"/>
      <c r="L37" s="761">
        <v>15705</v>
      </c>
      <c r="M37" s="761">
        <v>184907</v>
      </c>
      <c r="N37" s="762">
        <v>126960</v>
      </c>
      <c r="O37" s="763">
        <f>SUM(F37:M37)</f>
        <v>206083</v>
      </c>
      <c r="P37" s="42"/>
    </row>
    <row r="38" spans="1:16" s="764" customFormat="1" ht="15" x14ac:dyDescent="0.3">
      <c r="A38" s="55">
        <v>30</v>
      </c>
      <c r="B38" s="757"/>
      <c r="C38" s="758"/>
      <c r="D38" s="1451"/>
      <c r="E38" s="1449" t="s">
        <v>926</v>
      </c>
      <c r="F38" s="1452"/>
      <c r="G38" s="1452"/>
      <c r="H38" s="1452"/>
      <c r="I38" s="1452"/>
      <c r="J38" s="1452"/>
      <c r="K38" s="1452"/>
      <c r="L38" s="317">
        <v>2406</v>
      </c>
      <c r="M38" s="1452"/>
      <c r="N38" s="1453"/>
      <c r="O38" s="1077">
        <f>SUM(F38:M38)</f>
        <v>2406</v>
      </c>
    </row>
    <row r="39" spans="1:16" s="51" customFormat="1" ht="15.75" thickBot="1" x14ac:dyDescent="0.35">
      <c r="A39" s="55">
        <v>31</v>
      </c>
      <c r="B39" s="757"/>
      <c r="C39" s="1454"/>
      <c r="D39" s="1455"/>
      <c r="E39" s="1456" t="s">
        <v>927</v>
      </c>
      <c r="F39" s="1457">
        <f>SUM(F37:F38)</f>
        <v>5471</v>
      </c>
      <c r="G39" s="1457"/>
      <c r="H39" s="1457"/>
      <c r="I39" s="1457"/>
      <c r="J39" s="1457"/>
      <c r="K39" s="1457"/>
      <c r="L39" s="1457">
        <f>SUM(L37:L38)</f>
        <v>18111</v>
      </c>
      <c r="M39" s="1457">
        <f>SUM(M37:M38)</f>
        <v>184907</v>
      </c>
      <c r="N39" s="1457">
        <f>SUM(N37:N38)</f>
        <v>126960</v>
      </c>
      <c r="O39" s="310">
        <f>SUM(F39:M39)</f>
        <v>208489</v>
      </c>
      <c r="P39" s="42"/>
    </row>
    <row r="40" spans="1:16" s="764" customFormat="1" ht="15.75" thickTop="1" x14ac:dyDescent="0.2">
      <c r="A40" s="55">
        <v>32</v>
      </c>
      <c r="B40" s="292"/>
      <c r="C40" s="1932" t="s">
        <v>497</v>
      </c>
      <c r="D40" s="1933"/>
      <c r="E40" s="1934"/>
      <c r="F40" s="755"/>
      <c r="G40" s="755"/>
      <c r="H40" s="755"/>
      <c r="I40" s="755"/>
      <c r="J40" s="755"/>
      <c r="K40" s="755"/>
      <c r="L40" s="755"/>
      <c r="M40" s="755"/>
      <c r="N40" s="686"/>
      <c r="O40" s="756"/>
    </row>
    <row r="41" spans="1:16" s="51" customFormat="1" ht="15" x14ac:dyDescent="0.3">
      <c r="A41" s="55">
        <v>33</v>
      </c>
      <c r="B41" s="769"/>
      <c r="C41" s="770"/>
      <c r="D41" s="771"/>
      <c r="E41" s="796" t="s">
        <v>292</v>
      </c>
      <c r="F41" s="772">
        <f t="shared" ref="F41:N41" si="1">SUM(F11,F16,F21,F26,F32,F37,)</f>
        <v>60656</v>
      </c>
      <c r="G41" s="772">
        <f t="shared" si="1"/>
        <v>0</v>
      </c>
      <c r="H41" s="772">
        <f t="shared" si="1"/>
        <v>0</v>
      </c>
      <c r="I41" s="772">
        <f t="shared" si="1"/>
        <v>0</v>
      </c>
      <c r="J41" s="772">
        <f t="shared" si="1"/>
        <v>0</v>
      </c>
      <c r="K41" s="772">
        <f t="shared" si="1"/>
        <v>0</v>
      </c>
      <c r="L41" s="772">
        <f t="shared" si="1"/>
        <v>78624</v>
      </c>
      <c r="M41" s="772">
        <f t="shared" si="1"/>
        <v>1808796</v>
      </c>
      <c r="N41" s="772">
        <f t="shared" si="1"/>
        <v>1384902</v>
      </c>
      <c r="O41" s="774">
        <f>SUM(F41:M41)</f>
        <v>1948076</v>
      </c>
      <c r="P41" s="42"/>
    </row>
    <row r="42" spans="1:16" s="764" customFormat="1" ht="15" x14ac:dyDescent="0.3">
      <c r="A42" s="55">
        <v>34</v>
      </c>
      <c r="B42" s="1458"/>
      <c r="C42" s="758"/>
      <c r="D42" s="1451"/>
      <c r="E42" s="1449" t="s">
        <v>929</v>
      </c>
      <c r="F42" s="297">
        <f t="shared" ref="F42:N42" si="2">SUM(F12:F12,F17:F17,F22:F22,F27:F28,F33:F33,F38:F38)</f>
        <v>579</v>
      </c>
      <c r="G42" s="297">
        <f t="shared" si="2"/>
        <v>0</v>
      </c>
      <c r="H42" s="297">
        <f t="shared" si="2"/>
        <v>0</v>
      </c>
      <c r="I42" s="297">
        <f t="shared" si="2"/>
        <v>0</v>
      </c>
      <c r="J42" s="297">
        <f t="shared" si="2"/>
        <v>0</v>
      </c>
      <c r="K42" s="297">
        <f t="shared" si="2"/>
        <v>0</v>
      </c>
      <c r="L42" s="297">
        <f t="shared" si="2"/>
        <v>54751</v>
      </c>
      <c r="M42" s="297">
        <f t="shared" si="2"/>
        <v>0</v>
      </c>
      <c r="N42" s="297">
        <f t="shared" si="2"/>
        <v>0</v>
      </c>
      <c r="O42" s="1459">
        <f>SUM(F42:M42)</f>
        <v>55330</v>
      </c>
    </row>
    <row r="43" spans="1:16" s="51" customFormat="1" ht="15.75" thickBot="1" x14ac:dyDescent="0.35">
      <c r="A43" s="55">
        <v>35</v>
      </c>
      <c r="B43" s="1458"/>
      <c r="C43" s="1454"/>
      <c r="D43" s="1460"/>
      <c r="E43" s="1461" t="s">
        <v>927</v>
      </c>
      <c r="F43" s="1462">
        <f>SUM(F41:F42)</f>
        <v>61235</v>
      </c>
      <c r="G43" s="1462">
        <f t="shared" ref="G43:N43" si="3">SUM(G41:G42)</f>
        <v>0</v>
      </c>
      <c r="H43" s="1462">
        <f t="shared" si="3"/>
        <v>0</v>
      </c>
      <c r="I43" s="1462">
        <f t="shared" si="3"/>
        <v>0</v>
      </c>
      <c r="J43" s="1462">
        <f t="shared" si="3"/>
        <v>0</v>
      </c>
      <c r="K43" s="1462">
        <f t="shared" si="3"/>
        <v>0</v>
      </c>
      <c r="L43" s="1462">
        <f t="shared" si="3"/>
        <v>133375</v>
      </c>
      <c r="M43" s="1462">
        <f t="shared" si="3"/>
        <v>1808796</v>
      </c>
      <c r="N43" s="1462">
        <f t="shared" si="3"/>
        <v>1384902</v>
      </c>
      <c r="O43" s="1463">
        <f>SUM(F43:M43)</f>
        <v>2003406</v>
      </c>
      <c r="P43" s="42"/>
    </row>
    <row r="44" spans="1:16" s="764" customFormat="1" ht="15.75" thickTop="1" x14ac:dyDescent="0.3">
      <c r="A44" s="55">
        <v>36</v>
      </c>
      <c r="B44" s="304">
        <v>7</v>
      </c>
      <c r="C44" s="305"/>
      <c r="D44" s="1935" t="s">
        <v>343</v>
      </c>
      <c r="E44" s="1936"/>
      <c r="F44" s="306"/>
      <c r="G44" s="306"/>
      <c r="H44" s="306"/>
      <c r="I44" s="306"/>
      <c r="J44" s="306"/>
      <c r="K44" s="306"/>
      <c r="L44" s="306"/>
      <c r="M44" s="306"/>
      <c r="N44" s="307"/>
      <c r="O44" s="308"/>
    </row>
    <row r="45" spans="1:16" s="146" customFormat="1" ht="15" x14ac:dyDescent="0.3">
      <c r="A45" s="55">
        <v>37</v>
      </c>
      <c r="B45" s="757"/>
      <c r="C45" s="758"/>
      <c r="D45" s="759"/>
      <c r="E45" s="803" t="s">
        <v>292</v>
      </c>
      <c r="F45" s="779">
        <v>20992</v>
      </c>
      <c r="G45" s="779">
        <v>1502</v>
      </c>
      <c r="H45" s="779"/>
      <c r="I45" s="779"/>
      <c r="J45" s="779"/>
      <c r="K45" s="779"/>
      <c r="L45" s="779">
        <v>57280</v>
      </c>
      <c r="M45" s="779">
        <v>1041123</v>
      </c>
      <c r="N45" s="780">
        <v>763054</v>
      </c>
      <c r="O45" s="776">
        <f>SUM(F45:M45)</f>
        <v>1120897</v>
      </c>
    </row>
    <row r="46" spans="1:16" s="767" customFormat="1" ht="15" x14ac:dyDescent="0.3">
      <c r="A46" s="55">
        <v>38</v>
      </c>
      <c r="B46" s="757"/>
      <c r="C46" s="758"/>
      <c r="D46" s="759"/>
      <c r="E46" s="1449" t="s">
        <v>930</v>
      </c>
      <c r="F46" s="779"/>
      <c r="G46" s="779"/>
      <c r="H46" s="779"/>
      <c r="I46" s="779"/>
      <c r="J46" s="779"/>
      <c r="K46" s="779"/>
      <c r="L46" s="779"/>
      <c r="M46" s="297">
        <v>3645</v>
      </c>
      <c r="N46" s="297">
        <v>3645</v>
      </c>
      <c r="O46" s="1077">
        <f t="shared" ref="O46:O49" si="4">SUM(F46:M46)</f>
        <v>3645</v>
      </c>
    </row>
    <row r="47" spans="1:16" s="146" customFormat="1" ht="15" x14ac:dyDescent="0.3">
      <c r="A47" s="55">
        <v>39</v>
      </c>
      <c r="B47" s="757"/>
      <c r="C47" s="758"/>
      <c r="D47" s="759"/>
      <c r="E47" s="1449" t="s">
        <v>931</v>
      </c>
      <c r="F47" s="779"/>
      <c r="G47" s="779"/>
      <c r="H47" s="779"/>
      <c r="I47" s="779"/>
      <c r="J47" s="779"/>
      <c r="K47" s="779"/>
      <c r="L47" s="297">
        <v>14029</v>
      </c>
      <c r="M47" s="779"/>
      <c r="N47" s="780"/>
      <c r="O47" s="1077">
        <f t="shared" si="4"/>
        <v>14029</v>
      </c>
    </row>
    <row r="48" spans="1:16" s="765" customFormat="1" ht="15" x14ac:dyDescent="0.3">
      <c r="A48" s="55">
        <v>40</v>
      </c>
      <c r="B48" s="757"/>
      <c r="C48" s="758"/>
      <c r="D48" s="759"/>
      <c r="E48" s="1449" t="s">
        <v>932</v>
      </c>
      <c r="F48" s="779"/>
      <c r="G48" s="297">
        <v>1008</v>
      </c>
      <c r="H48" s="779"/>
      <c r="I48" s="779"/>
      <c r="J48" s="779"/>
      <c r="K48" s="779"/>
      <c r="L48" s="297"/>
      <c r="M48" s="779"/>
      <c r="N48" s="780"/>
      <c r="O48" s="1077">
        <f t="shared" si="4"/>
        <v>1008</v>
      </c>
      <c r="P48" s="764"/>
    </row>
    <row r="49" spans="1:16" s="146" customFormat="1" ht="15" x14ac:dyDescent="0.3">
      <c r="A49" s="55">
        <v>41</v>
      </c>
      <c r="B49" s="757"/>
      <c r="C49" s="758"/>
      <c r="D49" s="759"/>
      <c r="E49" s="1449" t="s">
        <v>933</v>
      </c>
      <c r="F49" s="779"/>
      <c r="G49" s="297"/>
      <c r="H49" s="779"/>
      <c r="I49" s="779"/>
      <c r="J49" s="779"/>
      <c r="K49" s="779"/>
      <c r="L49" s="297"/>
      <c r="M49" s="297">
        <v>1299</v>
      </c>
      <c r="N49" s="780"/>
      <c r="O49" s="1077">
        <f t="shared" si="4"/>
        <v>1299</v>
      </c>
    </row>
    <row r="50" spans="1:16" s="767" customFormat="1" ht="15" x14ac:dyDescent="0.3">
      <c r="A50" s="55">
        <v>42</v>
      </c>
      <c r="B50" s="757"/>
      <c r="C50" s="758"/>
      <c r="D50" s="759"/>
      <c r="E50" s="327" t="s">
        <v>927</v>
      </c>
      <c r="F50" s="1277">
        <f>SUM(F45:F49)</f>
        <v>20992</v>
      </c>
      <c r="G50" s="1277">
        <f t="shared" ref="G50:N50" si="5">SUM(G45:G49)</f>
        <v>2510</v>
      </c>
      <c r="H50" s="1277"/>
      <c r="I50" s="1277"/>
      <c r="J50" s="1277"/>
      <c r="K50" s="1277"/>
      <c r="L50" s="1277">
        <f t="shared" si="5"/>
        <v>71309</v>
      </c>
      <c r="M50" s="1277">
        <f t="shared" si="5"/>
        <v>1046067</v>
      </c>
      <c r="N50" s="1277">
        <f t="shared" si="5"/>
        <v>766699</v>
      </c>
      <c r="O50" s="310">
        <f>SUM(F50:M50)</f>
        <v>1140878</v>
      </c>
    </row>
    <row r="51" spans="1:16" s="51" customFormat="1" ht="15" x14ac:dyDescent="0.3">
      <c r="A51" s="55">
        <v>43</v>
      </c>
      <c r="B51" s="290">
        <v>8</v>
      </c>
      <c r="C51" s="291"/>
      <c r="D51" s="1911" t="s">
        <v>116</v>
      </c>
      <c r="E51" s="1912"/>
      <c r="F51" s="296"/>
      <c r="G51" s="296"/>
      <c r="H51" s="296"/>
      <c r="I51" s="296"/>
      <c r="J51" s="296"/>
      <c r="K51" s="296"/>
      <c r="L51" s="296"/>
      <c r="M51" s="296"/>
      <c r="N51" s="297"/>
      <c r="O51" s="298"/>
      <c r="P51" s="42"/>
    </row>
    <row r="52" spans="1:16" s="764" customFormat="1" ht="15" x14ac:dyDescent="0.3">
      <c r="A52" s="55">
        <v>44</v>
      </c>
      <c r="B52" s="757"/>
      <c r="C52" s="758"/>
      <c r="D52" s="759"/>
      <c r="E52" s="803" t="s">
        <v>292</v>
      </c>
      <c r="F52" s="779">
        <v>14100</v>
      </c>
      <c r="G52" s="779"/>
      <c r="H52" s="779"/>
      <c r="I52" s="779"/>
      <c r="J52" s="779"/>
      <c r="K52" s="779"/>
      <c r="L52" s="779">
        <v>3410</v>
      </c>
      <c r="M52" s="779">
        <v>56257</v>
      </c>
      <c r="N52" s="780">
        <v>34258</v>
      </c>
      <c r="O52" s="776">
        <f>SUM(F52:M52)</f>
        <v>73767</v>
      </c>
    </row>
    <row r="53" spans="1:16" s="146" customFormat="1" ht="15" x14ac:dyDescent="0.3">
      <c r="A53" s="55">
        <v>45</v>
      </c>
      <c r="B53" s="757"/>
      <c r="C53" s="758"/>
      <c r="D53" s="759"/>
      <c r="E53" s="1449" t="s">
        <v>930</v>
      </c>
      <c r="F53" s="779"/>
      <c r="G53" s="779"/>
      <c r="H53" s="779"/>
      <c r="I53" s="779"/>
      <c r="J53" s="779"/>
      <c r="K53" s="779"/>
      <c r="L53" s="779"/>
      <c r="M53" s="297">
        <v>2765</v>
      </c>
      <c r="N53" s="297">
        <v>2765</v>
      </c>
      <c r="O53" s="1077">
        <f t="shared" ref="O53:O55" si="6">SUM(F53:M53)</f>
        <v>2765</v>
      </c>
    </row>
    <row r="54" spans="1:16" s="767" customFormat="1" ht="15" x14ac:dyDescent="0.3">
      <c r="A54" s="55">
        <v>46</v>
      </c>
      <c r="B54" s="757"/>
      <c r="C54" s="758"/>
      <c r="D54" s="759"/>
      <c r="E54" s="1449" t="s">
        <v>934</v>
      </c>
      <c r="F54" s="779"/>
      <c r="G54" s="779"/>
      <c r="H54" s="779"/>
      <c r="I54" s="779"/>
      <c r="J54" s="779"/>
      <c r="K54" s="779"/>
      <c r="L54" s="779"/>
      <c r="M54" s="297">
        <v>6266</v>
      </c>
      <c r="N54" s="297">
        <v>6266</v>
      </c>
      <c r="O54" s="1077">
        <f t="shared" si="6"/>
        <v>6266</v>
      </c>
    </row>
    <row r="55" spans="1:16" s="260" customFormat="1" ht="15" x14ac:dyDescent="0.3">
      <c r="A55" s="55">
        <v>47</v>
      </c>
      <c r="B55" s="757"/>
      <c r="C55" s="758"/>
      <c r="D55" s="759"/>
      <c r="E55" s="1449" t="s">
        <v>931</v>
      </c>
      <c r="F55" s="779"/>
      <c r="G55" s="779"/>
      <c r="H55" s="779"/>
      <c r="I55" s="779"/>
      <c r="J55" s="779"/>
      <c r="K55" s="779"/>
      <c r="L55" s="297">
        <v>15025</v>
      </c>
      <c r="M55" s="779"/>
      <c r="N55" s="780"/>
      <c r="O55" s="1077">
        <f t="shared" si="6"/>
        <v>15025</v>
      </c>
      <c r="P55" s="43"/>
    </row>
    <row r="56" spans="1:16" s="784" customFormat="1" ht="15" x14ac:dyDescent="0.3">
      <c r="A56" s="55">
        <v>48</v>
      </c>
      <c r="B56" s="757"/>
      <c r="C56" s="758"/>
      <c r="D56" s="759"/>
      <c r="E56" s="327" t="s">
        <v>927</v>
      </c>
      <c r="F56" s="1277">
        <f>SUM(F52:F55)</f>
        <v>14100</v>
      </c>
      <c r="G56" s="1277"/>
      <c r="H56" s="1277"/>
      <c r="I56" s="1277"/>
      <c r="J56" s="1464"/>
      <c r="K56" s="1277"/>
      <c r="L56" s="1277">
        <f t="shared" ref="L56:N56" si="7">SUM(L52:L55)</f>
        <v>18435</v>
      </c>
      <c r="M56" s="1277">
        <f t="shared" si="7"/>
        <v>65288</v>
      </c>
      <c r="N56" s="1277">
        <f t="shared" si="7"/>
        <v>43289</v>
      </c>
      <c r="O56" s="310">
        <f>SUM(F56:M56)</f>
        <v>97823</v>
      </c>
      <c r="P56" s="783"/>
    </row>
    <row r="57" spans="1:16" s="51" customFormat="1" ht="15" x14ac:dyDescent="0.3">
      <c r="A57" s="55">
        <v>49</v>
      </c>
      <c r="B57" s="290">
        <v>9</v>
      </c>
      <c r="C57" s="291"/>
      <c r="D57" s="1911" t="s">
        <v>435</v>
      </c>
      <c r="E57" s="1912"/>
      <c r="F57" s="296"/>
      <c r="G57" s="296"/>
      <c r="H57" s="296"/>
      <c r="I57" s="296"/>
      <c r="J57" s="296"/>
      <c r="K57" s="296"/>
      <c r="L57" s="296"/>
      <c r="M57" s="296"/>
      <c r="N57" s="297"/>
      <c r="O57" s="298"/>
      <c r="P57" s="42"/>
    </row>
    <row r="58" spans="1:16" s="764" customFormat="1" ht="15" x14ac:dyDescent="0.3">
      <c r="A58" s="55">
        <v>50</v>
      </c>
      <c r="B58" s="757"/>
      <c r="C58" s="770"/>
      <c r="D58" s="771"/>
      <c r="E58" s="795" t="s">
        <v>292</v>
      </c>
      <c r="F58" s="785">
        <v>1800</v>
      </c>
      <c r="G58" s="785"/>
      <c r="H58" s="785"/>
      <c r="I58" s="785"/>
      <c r="J58" s="785"/>
      <c r="K58" s="785"/>
      <c r="L58" s="785">
        <v>32587</v>
      </c>
      <c r="M58" s="785">
        <v>228803</v>
      </c>
      <c r="N58" s="786">
        <v>159828</v>
      </c>
      <c r="O58" s="778">
        <f>SUM(F58:M58)</f>
        <v>263190</v>
      </c>
    </row>
    <row r="59" spans="1:16" s="147" customFormat="1" ht="15" x14ac:dyDescent="0.3">
      <c r="A59" s="55">
        <v>51</v>
      </c>
      <c r="B59" s="757"/>
      <c r="C59" s="758"/>
      <c r="D59" s="1451"/>
      <c r="E59" s="1449" t="s">
        <v>930</v>
      </c>
      <c r="F59" s="779"/>
      <c r="G59" s="779"/>
      <c r="H59" s="779"/>
      <c r="I59" s="779"/>
      <c r="J59" s="779"/>
      <c r="K59" s="779"/>
      <c r="L59" s="779"/>
      <c r="M59" s="297">
        <v>17501</v>
      </c>
      <c r="N59" s="297">
        <v>17501</v>
      </c>
      <c r="O59" s="1077">
        <f t="shared" ref="O59:O60" si="8">SUM(F59:M59)</f>
        <v>17501</v>
      </c>
    </row>
    <row r="60" spans="1:16" s="766" customFormat="1" ht="15" x14ac:dyDescent="0.3">
      <c r="A60" s="55">
        <v>52</v>
      </c>
      <c r="B60" s="757"/>
      <c r="C60" s="1465"/>
      <c r="D60" s="1451"/>
      <c r="E60" s="1466" t="s">
        <v>931</v>
      </c>
      <c r="F60" s="1467"/>
      <c r="G60" s="1467"/>
      <c r="H60" s="1467"/>
      <c r="I60" s="1467"/>
      <c r="J60" s="1467"/>
      <c r="K60" s="1467"/>
      <c r="L60" s="1468">
        <v>10787</v>
      </c>
      <c r="M60" s="1467"/>
      <c r="N60" s="1469"/>
      <c r="O60" s="1077">
        <f t="shared" si="8"/>
        <v>10787</v>
      </c>
    </row>
    <row r="61" spans="1:16" s="147" customFormat="1" ht="15.75" thickBot="1" x14ac:dyDescent="0.35">
      <c r="A61" s="55">
        <v>53</v>
      </c>
      <c r="B61" s="757"/>
      <c r="C61" s="775"/>
      <c r="D61" s="1470"/>
      <c r="E61" s="1456" t="s">
        <v>927</v>
      </c>
      <c r="F61" s="1281">
        <f>SUM(F58:F60)</f>
        <v>1800</v>
      </c>
      <c r="G61" s="1281"/>
      <c r="H61" s="1281"/>
      <c r="I61" s="1281"/>
      <c r="J61" s="1281"/>
      <c r="K61" s="1281"/>
      <c r="L61" s="1281">
        <f t="shared" ref="L61:N61" si="9">SUM(L58:L60)</f>
        <v>43374</v>
      </c>
      <c r="M61" s="1281">
        <f t="shared" si="9"/>
        <v>246304</v>
      </c>
      <c r="N61" s="1281">
        <f t="shared" si="9"/>
        <v>177329</v>
      </c>
      <c r="O61" s="310">
        <f>SUM(F61:M61)</f>
        <v>291478</v>
      </c>
    </row>
    <row r="62" spans="1:16" s="766" customFormat="1" ht="15.75" thickTop="1" x14ac:dyDescent="0.2">
      <c r="A62" s="55">
        <v>54</v>
      </c>
      <c r="B62" s="292"/>
      <c r="C62" s="1932" t="s">
        <v>498</v>
      </c>
      <c r="D62" s="1933"/>
      <c r="E62" s="1934"/>
      <c r="F62" s="755"/>
      <c r="G62" s="755"/>
      <c r="H62" s="755"/>
      <c r="I62" s="755"/>
      <c r="J62" s="755"/>
      <c r="K62" s="755"/>
      <c r="L62" s="755"/>
      <c r="M62" s="755"/>
      <c r="N62" s="755"/>
      <c r="O62" s="756"/>
    </row>
    <row r="63" spans="1:16" ht="15" x14ac:dyDescent="0.3">
      <c r="A63" s="55">
        <v>55</v>
      </c>
      <c r="B63" s="757"/>
      <c r="C63" s="770"/>
      <c r="D63" s="771"/>
      <c r="E63" s="795" t="s">
        <v>292</v>
      </c>
      <c r="F63" s="785">
        <f>SUM(F45,F52,F58)</f>
        <v>36892</v>
      </c>
      <c r="G63" s="785">
        <f t="shared" ref="G63:N63" si="10">SUM(G45,G52,G58)</f>
        <v>1502</v>
      </c>
      <c r="H63" s="785">
        <f t="shared" si="10"/>
        <v>0</v>
      </c>
      <c r="I63" s="785">
        <f t="shared" si="10"/>
        <v>0</v>
      </c>
      <c r="J63" s="785">
        <f t="shared" si="10"/>
        <v>0</v>
      </c>
      <c r="K63" s="785">
        <f t="shared" si="10"/>
        <v>0</v>
      </c>
      <c r="L63" s="785">
        <f t="shared" si="10"/>
        <v>93277</v>
      </c>
      <c r="M63" s="785">
        <f t="shared" si="10"/>
        <v>1326183</v>
      </c>
      <c r="N63" s="786">
        <f t="shared" si="10"/>
        <v>957140</v>
      </c>
      <c r="O63" s="778">
        <f>SUM(F63:M63)</f>
        <v>1457854</v>
      </c>
      <c r="P63" s="42"/>
    </row>
    <row r="64" spans="1:16" s="784" customFormat="1" ht="15" x14ac:dyDescent="0.3">
      <c r="A64" s="55">
        <v>56</v>
      </c>
      <c r="B64" s="1471"/>
      <c r="C64" s="758"/>
      <c r="D64" s="1451"/>
      <c r="E64" s="1449" t="s">
        <v>929</v>
      </c>
      <c r="F64" s="297">
        <f>SUM(F46:F49,F53:F55,F59:F60)</f>
        <v>0</v>
      </c>
      <c r="G64" s="297">
        <f t="shared" ref="G64:N64" si="11">SUM(G46:G49,G53:G55,G59:G60)</f>
        <v>1008</v>
      </c>
      <c r="H64" s="297">
        <f t="shared" si="11"/>
        <v>0</v>
      </c>
      <c r="I64" s="297">
        <f t="shared" si="11"/>
        <v>0</v>
      </c>
      <c r="J64" s="297">
        <f t="shared" si="11"/>
        <v>0</v>
      </c>
      <c r="K64" s="297">
        <f t="shared" si="11"/>
        <v>0</v>
      </c>
      <c r="L64" s="297">
        <f t="shared" si="11"/>
        <v>39841</v>
      </c>
      <c r="M64" s="297">
        <f t="shared" si="11"/>
        <v>31476</v>
      </c>
      <c r="N64" s="297">
        <f t="shared" si="11"/>
        <v>30177</v>
      </c>
      <c r="O64" s="1459">
        <f>SUM(F64:M64)</f>
        <v>72325</v>
      </c>
      <c r="P64" s="783"/>
    </row>
    <row r="65" spans="1:16" s="260" customFormat="1" ht="15.75" thickBot="1" x14ac:dyDescent="0.35">
      <c r="A65" s="55">
        <v>57</v>
      </c>
      <c r="B65" s="1471"/>
      <c r="C65" s="1454"/>
      <c r="D65" s="1460"/>
      <c r="E65" s="1456" t="s">
        <v>927</v>
      </c>
      <c r="F65" s="1472">
        <f>SUM(F63:F64)</f>
        <v>36892</v>
      </c>
      <c r="G65" s="1472">
        <f t="shared" ref="G65:N65" si="12">SUM(G63:G64)</f>
        <v>2510</v>
      </c>
      <c r="H65" s="1472">
        <f t="shared" si="12"/>
        <v>0</v>
      </c>
      <c r="I65" s="1472">
        <f t="shared" si="12"/>
        <v>0</v>
      </c>
      <c r="J65" s="1472">
        <f t="shared" si="12"/>
        <v>0</v>
      </c>
      <c r="K65" s="1472">
        <f t="shared" si="12"/>
        <v>0</v>
      </c>
      <c r="L65" s="1472">
        <f t="shared" si="12"/>
        <v>133118</v>
      </c>
      <c r="M65" s="1472">
        <f t="shared" si="12"/>
        <v>1357659</v>
      </c>
      <c r="N65" s="1472">
        <f t="shared" si="12"/>
        <v>987317</v>
      </c>
      <c r="O65" s="1463">
        <f>SUM(F65:M65)</f>
        <v>1530179</v>
      </c>
      <c r="P65" s="43"/>
    </row>
    <row r="66" spans="1:16" s="784" customFormat="1" ht="15.75" thickTop="1" x14ac:dyDescent="0.3">
      <c r="A66" s="55">
        <v>58</v>
      </c>
      <c r="B66" s="304">
        <v>10</v>
      </c>
      <c r="C66" s="305"/>
      <c r="D66" s="1935" t="s">
        <v>437</v>
      </c>
      <c r="E66" s="1936"/>
      <c r="F66" s="316"/>
      <c r="G66" s="316"/>
      <c r="H66" s="316"/>
      <c r="I66" s="316"/>
      <c r="J66" s="316"/>
      <c r="K66" s="316"/>
      <c r="L66" s="316"/>
      <c r="M66" s="316"/>
      <c r="N66" s="317"/>
      <c r="O66" s="318"/>
      <c r="P66" s="783"/>
    </row>
    <row r="67" spans="1:16" ht="15" x14ac:dyDescent="0.3">
      <c r="A67" s="55">
        <v>59</v>
      </c>
      <c r="B67" s="757"/>
      <c r="C67" s="758"/>
      <c r="D67" s="759"/>
      <c r="E67" s="803" t="s">
        <v>292</v>
      </c>
      <c r="F67" s="779">
        <v>35916</v>
      </c>
      <c r="G67" s="779"/>
      <c r="H67" s="779"/>
      <c r="I67" s="779"/>
      <c r="J67" s="779"/>
      <c r="K67" s="779"/>
      <c r="L67" s="779">
        <v>8683</v>
      </c>
      <c r="M67" s="779">
        <v>195101</v>
      </c>
      <c r="N67" s="780">
        <v>4716</v>
      </c>
      <c r="O67" s="776">
        <f>SUM(F67:M67)</f>
        <v>239700</v>
      </c>
      <c r="P67" s="42"/>
    </row>
    <row r="68" spans="1:16" s="784" customFormat="1" ht="15" x14ac:dyDescent="0.3">
      <c r="A68" s="55">
        <v>60</v>
      </c>
      <c r="B68" s="757"/>
      <c r="C68" s="758"/>
      <c r="D68" s="759"/>
      <c r="E68" s="1449" t="s">
        <v>926</v>
      </c>
      <c r="F68" s="779"/>
      <c r="G68" s="779"/>
      <c r="H68" s="779"/>
      <c r="I68" s="779"/>
      <c r="J68" s="779"/>
      <c r="K68" s="779"/>
      <c r="L68" s="297">
        <v>40230</v>
      </c>
      <c r="M68" s="779"/>
      <c r="N68" s="780"/>
      <c r="O68" s="1077">
        <f t="shared" ref="O68:O70" si="13">SUM(F68:M68)</f>
        <v>40230</v>
      </c>
      <c r="P68" s="783"/>
    </row>
    <row r="69" spans="1:16" s="260" customFormat="1" ht="15" x14ac:dyDescent="0.3">
      <c r="A69" s="55">
        <v>61</v>
      </c>
      <c r="B69" s="757"/>
      <c r="C69" s="758"/>
      <c r="D69" s="759"/>
      <c r="E69" s="1449" t="s">
        <v>935</v>
      </c>
      <c r="F69" s="779"/>
      <c r="G69" s="779"/>
      <c r="H69" s="779"/>
      <c r="I69" s="779"/>
      <c r="J69" s="779"/>
      <c r="K69" s="779"/>
      <c r="L69" s="1473"/>
      <c r="M69" s="297">
        <v>2500</v>
      </c>
      <c r="N69" s="780"/>
      <c r="O69" s="1077">
        <f t="shared" si="13"/>
        <v>2500</v>
      </c>
      <c r="P69" s="43"/>
    </row>
    <row r="70" spans="1:16" s="784" customFormat="1" ht="15" x14ac:dyDescent="0.3">
      <c r="A70" s="55">
        <v>62</v>
      </c>
      <c r="B70" s="757"/>
      <c r="C70" s="758"/>
      <c r="D70" s="759"/>
      <c r="E70" s="1449" t="s">
        <v>936</v>
      </c>
      <c r="F70" s="779"/>
      <c r="G70" s="297">
        <v>700</v>
      </c>
      <c r="H70" s="779"/>
      <c r="I70" s="779"/>
      <c r="J70" s="779"/>
      <c r="K70" s="779"/>
      <c r="L70" s="779"/>
      <c r="M70" s="779"/>
      <c r="N70" s="780"/>
      <c r="O70" s="1077">
        <f t="shared" si="13"/>
        <v>700</v>
      </c>
      <c r="P70" s="783"/>
    </row>
    <row r="71" spans="1:16" ht="15" x14ac:dyDescent="0.3">
      <c r="A71" s="55">
        <v>63</v>
      </c>
      <c r="B71" s="757"/>
      <c r="C71" s="758"/>
      <c r="D71" s="759"/>
      <c r="E71" s="327" t="s">
        <v>927</v>
      </c>
      <c r="F71" s="1277">
        <f>SUM(F67:F70)</f>
        <v>35916</v>
      </c>
      <c r="G71" s="1277">
        <f>SUM(G70)</f>
        <v>700</v>
      </c>
      <c r="H71" s="1277"/>
      <c r="I71" s="1277"/>
      <c r="J71" s="1277"/>
      <c r="K71" s="1277"/>
      <c r="L71" s="1277">
        <f t="shared" ref="L71:N71" si="14">SUM(L67:L70)</f>
        <v>48913</v>
      </c>
      <c r="M71" s="1277">
        <f t="shared" si="14"/>
        <v>197601</v>
      </c>
      <c r="N71" s="1277">
        <f t="shared" si="14"/>
        <v>4716</v>
      </c>
      <c r="O71" s="310">
        <f>SUM(F71:M71)</f>
        <v>283130</v>
      </c>
    </row>
    <row r="72" spans="1:16" ht="15" x14ac:dyDescent="0.3">
      <c r="A72" s="55">
        <v>64</v>
      </c>
      <c r="B72" s="290"/>
      <c r="C72" s="291">
        <v>1</v>
      </c>
      <c r="D72" s="1920" t="s">
        <v>492</v>
      </c>
      <c r="E72" s="1921"/>
      <c r="F72" s="115"/>
      <c r="G72" s="115"/>
      <c r="H72" s="115"/>
      <c r="I72" s="115"/>
      <c r="J72" s="115"/>
      <c r="K72" s="115"/>
      <c r="L72" s="115"/>
      <c r="M72" s="115"/>
      <c r="N72" s="152"/>
      <c r="O72" s="310"/>
    </row>
    <row r="73" spans="1:16" ht="15" x14ac:dyDescent="0.3">
      <c r="A73" s="55">
        <v>65</v>
      </c>
      <c r="B73" s="769"/>
      <c r="C73" s="770"/>
      <c r="D73" s="771"/>
      <c r="E73" s="796" t="s">
        <v>292</v>
      </c>
      <c r="F73" s="772"/>
      <c r="G73" s="772">
        <v>51720</v>
      </c>
      <c r="H73" s="772"/>
      <c r="I73" s="772"/>
      <c r="J73" s="772">
        <v>4050</v>
      </c>
      <c r="K73" s="772"/>
      <c r="L73" s="772">
        <v>19870</v>
      </c>
      <c r="M73" s="772"/>
      <c r="N73" s="773"/>
      <c r="O73" s="774">
        <f>SUM(F73:M73)</f>
        <v>75640</v>
      </c>
    </row>
    <row r="74" spans="1:16" ht="15" x14ac:dyDescent="0.3">
      <c r="A74" s="55">
        <v>66</v>
      </c>
      <c r="B74" s="769"/>
      <c r="C74" s="770"/>
      <c r="D74" s="771"/>
      <c r="E74" s="1449" t="s">
        <v>929</v>
      </c>
      <c r="F74" s="772"/>
      <c r="G74" s="772"/>
      <c r="H74" s="772"/>
      <c r="I74" s="772"/>
      <c r="J74" s="772"/>
      <c r="K74" s="772"/>
      <c r="L74" s="772"/>
      <c r="M74" s="772"/>
      <c r="N74" s="773"/>
      <c r="O74" s="1077">
        <f t="shared" ref="O74" si="15">SUM(F74:M74)</f>
        <v>0</v>
      </c>
    </row>
    <row r="75" spans="1:16" ht="15" x14ac:dyDescent="0.3">
      <c r="A75" s="55">
        <v>67</v>
      </c>
      <c r="B75" s="769"/>
      <c r="C75" s="770"/>
      <c r="D75" s="771"/>
      <c r="E75" s="327" t="s">
        <v>927</v>
      </c>
      <c r="F75" s="1474"/>
      <c r="G75" s="1474">
        <f>SUM(G73:G74)</f>
        <v>51720</v>
      </c>
      <c r="H75" s="1474"/>
      <c r="I75" s="1474"/>
      <c r="J75" s="1474">
        <f>SUM(J73:J74)</f>
        <v>4050</v>
      </c>
      <c r="K75" s="1474"/>
      <c r="L75" s="1474">
        <f>SUM(L73:L74)</f>
        <v>19870</v>
      </c>
      <c r="M75" s="1474">
        <f>SUM(M73:M74)</f>
        <v>0</v>
      </c>
      <c r="N75" s="1474">
        <f>SUM(N73:N74)</f>
        <v>0</v>
      </c>
      <c r="O75" s="310">
        <f>SUM(F75:M75)</f>
        <v>75640</v>
      </c>
    </row>
    <row r="76" spans="1:16" ht="15" x14ac:dyDescent="0.3">
      <c r="A76" s="55">
        <v>68</v>
      </c>
      <c r="B76" s="290">
        <v>11</v>
      </c>
      <c r="C76" s="291"/>
      <c r="D76" s="1911" t="s">
        <v>428</v>
      </c>
      <c r="E76" s="1912"/>
      <c r="F76" s="296"/>
      <c r="G76" s="296"/>
      <c r="H76" s="296"/>
      <c r="I76" s="296"/>
      <c r="J76" s="296"/>
      <c r="K76" s="296"/>
      <c r="L76" s="296"/>
      <c r="M76" s="296"/>
      <c r="N76" s="297"/>
      <c r="O76" s="298"/>
    </row>
    <row r="77" spans="1:16" ht="15" x14ac:dyDescent="0.3">
      <c r="A77" s="55">
        <v>69</v>
      </c>
      <c r="B77" s="757"/>
      <c r="C77" s="758"/>
      <c r="D77" s="759"/>
      <c r="E77" s="803" t="s">
        <v>292</v>
      </c>
      <c r="F77" s="779">
        <v>11431</v>
      </c>
      <c r="G77" s="779">
        <v>2650</v>
      </c>
      <c r="H77" s="779"/>
      <c r="I77" s="779"/>
      <c r="J77" s="779"/>
      <c r="K77" s="779"/>
      <c r="L77" s="779">
        <v>11421</v>
      </c>
      <c r="M77" s="779">
        <v>131413</v>
      </c>
      <c r="N77" s="780">
        <v>4037</v>
      </c>
      <c r="O77" s="776">
        <f>SUM(F77:M77)</f>
        <v>156915</v>
      </c>
    </row>
    <row r="78" spans="1:16" ht="15" x14ac:dyDescent="0.3">
      <c r="A78" s="55">
        <v>70</v>
      </c>
      <c r="B78" s="757"/>
      <c r="C78" s="758"/>
      <c r="D78" s="759"/>
      <c r="E78" s="1449" t="s">
        <v>926</v>
      </c>
      <c r="F78" s="779"/>
      <c r="G78" s="779"/>
      <c r="H78" s="779"/>
      <c r="I78" s="779"/>
      <c r="J78" s="779"/>
      <c r="K78" s="779"/>
      <c r="L78" s="297">
        <v>6609</v>
      </c>
      <c r="M78" s="779"/>
      <c r="N78" s="780"/>
      <c r="O78" s="1077">
        <f t="shared" ref="O78:O79" si="16">SUM(F78:M78)</f>
        <v>6609</v>
      </c>
    </row>
    <row r="79" spans="1:16" ht="15" x14ac:dyDescent="0.3">
      <c r="A79" s="55">
        <v>71</v>
      </c>
      <c r="B79" s="757"/>
      <c r="C79" s="758"/>
      <c r="D79" s="759"/>
      <c r="E79" s="1449" t="s">
        <v>937</v>
      </c>
      <c r="F79" s="779"/>
      <c r="G79" s="779"/>
      <c r="H79" s="779"/>
      <c r="I79" s="779"/>
      <c r="J79" s="779"/>
      <c r="K79" s="779"/>
      <c r="L79" s="779"/>
      <c r="M79" s="297">
        <f>462+3258</f>
        <v>3720</v>
      </c>
      <c r="N79" s="780"/>
      <c r="O79" s="1077">
        <f t="shared" si="16"/>
        <v>3720</v>
      </c>
    </row>
    <row r="80" spans="1:16" ht="15" x14ac:dyDescent="0.3">
      <c r="A80" s="55">
        <v>72</v>
      </c>
      <c r="B80" s="757"/>
      <c r="C80" s="758"/>
      <c r="D80" s="759"/>
      <c r="E80" s="327" t="s">
        <v>927</v>
      </c>
      <c r="F80" s="1277">
        <f>SUM(F77:F79)</f>
        <v>11431</v>
      </c>
      <c r="G80" s="1277">
        <f t="shared" ref="G80:N80" si="17">SUM(G77:G79)</f>
        <v>2650</v>
      </c>
      <c r="H80" s="1277"/>
      <c r="I80" s="1277"/>
      <c r="J80" s="1277"/>
      <c r="K80" s="1277"/>
      <c r="L80" s="1277">
        <f t="shared" si="17"/>
        <v>18030</v>
      </c>
      <c r="M80" s="1277">
        <f t="shared" si="17"/>
        <v>135133</v>
      </c>
      <c r="N80" s="1277">
        <f t="shared" si="17"/>
        <v>4037</v>
      </c>
      <c r="O80" s="310">
        <f>SUM(F80:M80)</f>
        <v>167244</v>
      </c>
    </row>
    <row r="81" spans="1:15" ht="15" x14ac:dyDescent="0.3">
      <c r="A81" s="55">
        <v>73</v>
      </c>
      <c r="B81" s="290"/>
      <c r="C81" s="291">
        <v>1</v>
      </c>
      <c r="D81" s="1911" t="s">
        <v>640</v>
      </c>
      <c r="E81" s="1912"/>
      <c r="F81" s="115"/>
      <c r="G81" s="115"/>
      <c r="H81" s="115"/>
      <c r="I81" s="115"/>
      <c r="J81" s="115"/>
      <c r="K81" s="115"/>
      <c r="L81" s="115"/>
      <c r="M81" s="115"/>
      <c r="N81" s="152"/>
      <c r="O81" s="310"/>
    </row>
    <row r="82" spans="1:15" ht="15" x14ac:dyDescent="0.3">
      <c r="A82" s="55">
        <v>74</v>
      </c>
      <c r="B82" s="769"/>
      <c r="C82" s="770"/>
      <c r="D82" s="771"/>
      <c r="E82" s="796" t="s">
        <v>292</v>
      </c>
      <c r="F82" s="772"/>
      <c r="G82" s="772"/>
      <c r="H82" s="772">
        <v>470</v>
      </c>
      <c r="I82" s="772"/>
      <c r="J82" s="772"/>
      <c r="K82" s="772"/>
      <c r="L82" s="772">
        <v>1879</v>
      </c>
      <c r="M82" s="772"/>
      <c r="N82" s="773"/>
      <c r="O82" s="774">
        <f>SUM(F82:M82)</f>
        <v>2349</v>
      </c>
    </row>
    <row r="83" spans="1:15" ht="15" x14ac:dyDescent="0.3">
      <c r="A83" s="55">
        <v>75</v>
      </c>
      <c r="B83" s="769"/>
      <c r="C83" s="770"/>
      <c r="D83" s="771"/>
      <c r="E83" s="1449" t="s">
        <v>929</v>
      </c>
      <c r="F83" s="772"/>
      <c r="G83" s="772"/>
      <c r="H83" s="772"/>
      <c r="I83" s="772"/>
      <c r="J83" s="772"/>
      <c r="K83" s="772"/>
      <c r="L83" s="772"/>
      <c r="M83" s="772"/>
      <c r="N83" s="773"/>
      <c r="O83" s="1077">
        <f t="shared" ref="O83" si="18">SUM(F83:M83)</f>
        <v>0</v>
      </c>
    </row>
    <row r="84" spans="1:15" ht="15" x14ac:dyDescent="0.3">
      <c r="A84" s="55">
        <v>76</v>
      </c>
      <c r="B84" s="769"/>
      <c r="C84" s="770"/>
      <c r="D84" s="771"/>
      <c r="E84" s="327" t="s">
        <v>927</v>
      </c>
      <c r="F84" s="772"/>
      <c r="G84" s="772"/>
      <c r="H84" s="772">
        <f>SUM(H82:H83)</f>
        <v>470</v>
      </c>
      <c r="I84" s="772"/>
      <c r="J84" s="772"/>
      <c r="K84" s="772"/>
      <c r="L84" s="1474">
        <f>SUM(L82:L83)</f>
        <v>1879</v>
      </c>
      <c r="M84" s="772"/>
      <c r="N84" s="773"/>
      <c r="O84" s="310">
        <f>SUM(F84:M84)</f>
        <v>2349</v>
      </c>
    </row>
    <row r="85" spans="1:15" ht="15" x14ac:dyDescent="0.3">
      <c r="A85" s="55">
        <v>77</v>
      </c>
      <c r="B85" s="290">
        <v>12</v>
      </c>
      <c r="C85" s="291"/>
      <c r="D85" s="1911" t="s">
        <v>25</v>
      </c>
      <c r="E85" s="1912"/>
      <c r="F85" s="299"/>
      <c r="G85" s="299"/>
      <c r="H85" s="299"/>
      <c r="I85" s="299"/>
      <c r="J85" s="299"/>
      <c r="K85" s="299"/>
      <c r="L85" s="299"/>
      <c r="M85" s="299"/>
      <c r="N85" s="300"/>
      <c r="O85" s="301"/>
    </row>
    <row r="86" spans="1:15" ht="15" x14ac:dyDescent="0.3">
      <c r="A86" s="55">
        <v>78</v>
      </c>
      <c r="B86" s="757"/>
      <c r="C86" s="758"/>
      <c r="D86" s="759"/>
      <c r="E86" s="803" t="s">
        <v>292</v>
      </c>
      <c r="F86" s="779">
        <v>21200</v>
      </c>
      <c r="G86" s="779"/>
      <c r="H86" s="779"/>
      <c r="I86" s="779"/>
      <c r="J86" s="779"/>
      <c r="K86" s="779"/>
      <c r="L86" s="779">
        <v>2863</v>
      </c>
      <c r="M86" s="779">
        <v>434671</v>
      </c>
      <c r="N86" s="780">
        <v>299996</v>
      </c>
      <c r="O86" s="776">
        <f>SUM(F86:M86)</f>
        <v>458734</v>
      </c>
    </row>
    <row r="87" spans="1:15" ht="15" x14ac:dyDescent="0.3">
      <c r="A87" s="55">
        <v>79</v>
      </c>
      <c r="B87" s="757"/>
      <c r="C87" s="758"/>
      <c r="D87" s="759"/>
      <c r="E87" s="1449" t="s">
        <v>926</v>
      </c>
      <c r="F87" s="779"/>
      <c r="G87" s="779"/>
      <c r="H87" s="779"/>
      <c r="I87" s="779"/>
      <c r="J87" s="779"/>
      <c r="K87" s="779"/>
      <c r="L87" s="297">
        <v>8053</v>
      </c>
      <c r="M87" s="779"/>
      <c r="N87" s="780"/>
      <c r="O87" s="1077">
        <f t="shared" ref="O87" si="19">SUM(F87:M87)</f>
        <v>8053</v>
      </c>
    </row>
    <row r="88" spans="1:15" ht="15" x14ac:dyDescent="0.3">
      <c r="A88" s="55">
        <v>80</v>
      </c>
      <c r="B88" s="757"/>
      <c r="C88" s="758"/>
      <c r="D88" s="759"/>
      <c r="E88" s="327" t="s">
        <v>927</v>
      </c>
      <c r="F88" s="1277">
        <f>SUM(F86:F87)</f>
        <v>21200</v>
      </c>
      <c r="G88" s="1277"/>
      <c r="H88" s="1277"/>
      <c r="I88" s="1277"/>
      <c r="J88" s="1277"/>
      <c r="K88" s="1277"/>
      <c r="L88" s="1277">
        <f>SUM(L86:L87)</f>
        <v>10916</v>
      </c>
      <c r="M88" s="1277">
        <f>SUM(M86:M87)</f>
        <v>434671</v>
      </c>
      <c r="N88" s="1277">
        <f>SUM(N86:N87)</f>
        <v>299996</v>
      </c>
      <c r="O88" s="310">
        <f>SUM(F88:M88)</f>
        <v>466787</v>
      </c>
    </row>
    <row r="89" spans="1:15" ht="31.5" customHeight="1" x14ac:dyDescent="0.3">
      <c r="A89" s="55">
        <v>81</v>
      </c>
      <c r="B89" s="292"/>
      <c r="C89" s="291">
        <v>2</v>
      </c>
      <c r="D89" s="1937" t="s">
        <v>492</v>
      </c>
      <c r="E89" s="1938"/>
      <c r="F89" s="296"/>
      <c r="G89" s="296"/>
      <c r="H89" s="296"/>
      <c r="I89" s="296"/>
      <c r="J89" s="296"/>
      <c r="K89" s="296"/>
      <c r="L89" s="296"/>
      <c r="M89" s="296"/>
      <c r="N89" s="297"/>
      <c r="O89" s="298"/>
    </row>
    <row r="90" spans="1:15" ht="15" x14ac:dyDescent="0.3">
      <c r="A90" s="55">
        <v>82</v>
      </c>
      <c r="B90" s="769"/>
      <c r="C90" s="758"/>
      <c r="D90" s="759"/>
      <c r="E90" s="1346" t="s">
        <v>292</v>
      </c>
      <c r="F90" s="781"/>
      <c r="G90" s="781">
        <v>36849</v>
      </c>
      <c r="H90" s="781"/>
      <c r="I90" s="781"/>
      <c r="J90" s="781"/>
      <c r="K90" s="781"/>
      <c r="L90" s="781">
        <v>12841</v>
      </c>
      <c r="M90" s="781"/>
      <c r="N90" s="782"/>
      <c r="O90" s="777">
        <f>SUM(F90:M90)</f>
        <v>49690</v>
      </c>
    </row>
    <row r="91" spans="1:15" ht="15" x14ac:dyDescent="0.3">
      <c r="A91" s="55">
        <v>83</v>
      </c>
      <c r="B91" s="769"/>
      <c r="C91" s="758"/>
      <c r="D91" s="759"/>
      <c r="E91" s="1449" t="s">
        <v>929</v>
      </c>
      <c r="F91" s="781"/>
      <c r="G91" s="781"/>
      <c r="H91" s="781"/>
      <c r="I91" s="781"/>
      <c r="J91" s="781"/>
      <c r="K91" s="781"/>
      <c r="L91" s="781"/>
      <c r="M91" s="781"/>
      <c r="N91" s="782"/>
      <c r="O91" s="1077">
        <f t="shared" ref="O91" si="20">SUM(F91:M91)</f>
        <v>0</v>
      </c>
    </row>
    <row r="92" spans="1:15" ht="15" x14ac:dyDescent="0.3">
      <c r="A92" s="55">
        <v>84</v>
      </c>
      <c r="B92" s="769"/>
      <c r="C92" s="758"/>
      <c r="D92" s="759"/>
      <c r="E92" s="327" t="s">
        <v>927</v>
      </c>
      <c r="F92" s="781"/>
      <c r="G92" s="1475">
        <f>SUM(G90:G91)</f>
        <v>36849</v>
      </c>
      <c r="H92" s="1475"/>
      <c r="I92" s="1475"/>
      <c r="J92" s="1475"/>
      <c r="K92" s="1475"/>
      <c r="L92" s="1475">
        <f>SUM(L90:L91)</f>
        <v>12841</v>
      </c>
      <c r="M92" s="781"/>
      <c r="N92" s="782"/>
      <c r="O92" s="310">
        <f>SUM(F92:M92)</f>
        <v>49690</v>
      </c>
    </row>
    <row r="93" spans="1:15" ht="15" x14ac:dyDescent="0.3">
      <c r="A93" s="55">
        <v>85</v>
      </c>
      <c r="B93" s="290">
        <v>13</v>
      </c>
      <c r="C93" s="291"/>
      <c r="D93" s="1911" t="s">
        <v>32</v>
      </c>
      <c r="E93" s="1912"/>
      <c r="F93" s="299"/>
      <c r="G93" s="299"/>
      <c r="H93" s="299"/>
      <c r="I93" s="299"/>
      <c r="J93" s="299"/>
      <c r="K93" s="299"/>
      <c r="L93" s="299"/>
      <c r="M93" s="299"/>
      <c r="N93" s="300"/>
      <c r="O93" s="301"/>
    </row>
    <row r="94" spans="1:15" ht="15" x14ac:dyDescent="0.3">
      <c r="A94" s="55">
        <v>86</v>
      </c>
      <c r="B94" s="757"/>
      <c r="C94" s="758"/>
      <c r="D94" s="759"/>
      <c r="E94" s="803" t="s">
        <v>292</v>
      </c>
      <c r="F94" s="779">
        <v>185069</v>
      </c>
      <c r="G94" s="779">
        <v>2500</v>
      </c>
      <c r="H94" s="779"/>
      <c r="I94" s="779"/>
      <c r="J94" s="779"/>
      <c r="K94" s="779"/>
      <c r="L94" s="779">
        <v>16981</v>
      </c>
      <c r="M94" s="779">
        <v>237734</v>
      </c>
      <c r="N94" s="780">
        <v>130450</v>
      </c>
      <c r="O94" s="776">
        <f>SUM(F94:M94)</f>
        <v>442284</v>
      </c>
    </row>
    <row r="95" spans="1:15" ht="15" x14ac:dyDescent="0.3">
      <c r="A95" s="55">
        <v>87</v>
      </c>
      <c r="B95" s="757"/>
      <c r="C95" s="758"/>
      <c r="D95" s="759"/>
      <c r="E95" s="1449" t="s">
        <v>926</v>
      </c>
      <c r="F95" s="779"/>
      <c r="G95" s="779"/>
      <c r="H95" s="779"/>
      <c r="I95" s="779"/>
      <c r="J95" s="779"/>
      <c r="K95" s="779"/>
      <c r="L95" s="297">
        <v>21415</v>
      </c>
      <c r="M95" s="779"/>
      <c r="N95" s="780"/>
      <c r="O95" s="1077">
        <f t="shared" ref="O95:O97" si="21">SUM(F95:M95)</f>
        <v>21415</v>
      </c>
    </row>
    <row r="96" spans="1:15" ht="15" x14ac:dyDescent="0.3">
      <c r="A96" s="55">
        <v>88</v>
      </c>
      <c r="B96" s="757"/>
      <c r="C96" s="758"/>
      <c r="D96" s="759"/>
      <c r="E96" s="1449" t="s">
        <v>938</v>
      </c>
      <c r="F96" s="297">
        <v>-69850</v>
      </c>
      <c r="G96" s="779"/>
      <c r="H96" s="779"/>
      <c r="I96" s="779"/>
      <c r="J96" s="779"/>
      <c r="K96" s="779"/>
      <c r="L96" s="779"/>
      <c r="M96" s="779"/>
      <c r="N96" s="780"/>
      <c r="O96" s="1077">
        <f t="shared" si="21"/>
        <v>-69850</v>
      </c>
    </row>
    <row r="97" spans="1:15" ht="30" x14ac:dyDescent="0.3">
      <c r="A97" s="55">
        <v>89</v>
      </c>
      <c r="B97" s="757"/>
      <c r="C97" s="758"/>
      <c r="D97" s="759"/>
      <c r="E97" s="1476" t="s">
        <v>939</v>
      </c>
      <c r="F97" s="297">
        <v>1490</v>
      </c>
      <c r="G97" s="297"/>
      <c r="H97" s="297"/>
      <c r="I97" s="297"/>
      <c r="J97" s="297"/>
      <c r="K97" s="297">
        <v>5518</v>
      </c>
      <c r="L97" s="779"/>
      <c r="M97" s="779"/>
      <c r="N97" s="780"/>
      <c r="O97" s="1077">
        <f t="shared" si="21"/>
        <v>7008</v>
      </c>
    </row>
    <row r="98" spans="1:15" ht="15" x14ac:dyDescent="0.3">
      <c r="A98" s="55">
        <v>90</v>
      </c>
      <c r="B98" s="757"/>
      <c r="C98" s="758"/>
      <c r="D98" s="759"/>
      <c r="E98" s="327" t="s">
        <v>927</v>
      </c>
      <c r="F98" s="1277">
        <f>SUM(F94:F97)</f>
        <v>116709</v>
      </c>
      <c r="G98" s="1277">
        <f>SUM(G94:G97)</f>
        <v>2500</v>
      </c>
      <c r="H98" s="1277"/>
      <c r="I98" s="1277"/>
      <c r="J98" s="1277"/>
      <c r="K98" s="1277">
        <f>SUM(K97:K97)</f>
        <v>5518</v>
      </c>
      <c r="L98" s="1277">
        <f>SUM(L94:L97)</f>
        <v>38396</v>
      </c>
      <c r="M98" s="1277">
        <f>SUM(M94:M97)</f>
        <v>237734</v>
      </c>
      <c r="N98" s="1277">
        <f>SUM(N94:N97)</f>
        <v>130450</v>
      </c>
      <c r="O98" s="310">
        <f>SUM(F98:M98)</f>
        <v>400857</v>
      </c>
    </row>
    <row r="99" spans="1:15" ht="15" x14ac:dyDescent="0.3">
      <c r="A99" s="55">
        <v>91</v>
      </c>
      <c r="B99" s="290"/>
      <c r="C99" s="291">
        <v>1</v>
      </c>
      <c r="D99" s="1911" t="s">
        <v>640</v>
      </c>
      <c r="E99" s="1912"/>
      <c r="F99" s="115"/>
      <c r="G99" s="115"/>
      <c r="H99" s="115"/>
      <c r="I99" s="115"/>
      <c r="J99" s="115"/>
      <c r="K99" s="115"/>
      <c r="L99" s="115"/>
      <c r="M99" s="115"/>
      <c r="N99" s="152"/>
      <c r="O99" s="310"/>
    </row>
    <row r="100" spans="1:15" ht="15" x14ac:dyDescent="0.3">
      <c r="A100" s="55">
        <v>92</v>
      </c>
      <c r="B100" s="769"/>
      <c r="C100" s="770"/>
      <c r="D100" s="771"/>
      <c r="E100" s="796" t="s">
        <v>292</v>
      </c>
      <c r="F100" s="772"/>
      <c r="G100" s="772"/>
      <c r="H100" s="772"/>
      <c r="I100" s="772"/>
      <c r="J100" s="772"/>
      <c r="K100" s="772"/>
      <c r="L100" s="772">
        <v>8944</v>
      </c>
      <c r="M100" s="772"/>
      <c r="N100" s="773"/>
      <c r="O100" s="774">
        <f>SUM(F100:M100)</f>
        <v>8944</v>
      </c>
    </row>
    <row r="101" spans="1:15" ht="15" x14ac:dyDescent="0.3">
      <c r="A101" s="55">
        <v>93</v>
      </c>
      <c r="B101" s="769"/>
      <c r="C101" s="770"/>
      <c r="D101" s="771"/>
      <c r="E101" s="1449" t="s">
        <v>929</v>
      </c>
      <c r="F101" s="772"/>
      <c r="G101" s="772"/>
      <c r="H101" s="772"/>
      <c r="I101" s="772"/>
      <c r="J101" s="772"/>
      <c r="K101" s="772"/>
      <c r="L101" s="772"/>
      <c r="M101" s="772"/>
      <c r="N101" s="773"/>
      <c r="O101" s="1077">
        <f t="shared" ref="O101" si="22">SUM(F101:M101)</f>
        <v>0</v>
      </c>
    </row>
    <row r="102" spans="1:15" ht="15" x14ac:dyDescent="0.3">
      <c r="A102" s="55">
        <v>94</v>
      </c>
      <c r="B102" s="769"/>
      <c r="C102" s="770"/>
      <c r="D102" s="771"/>
      <c r="E102" s="327" t="s">
        <v>927</v>
      </c>
      <c r="F102" s="772"/>
      <c r="G102" s="772"/>
      <c r="H102" s="772"/>
      <c r="I102" s="772"/>
      <c r="J102" s="772"/>
      <c r="K102" s="772"/>
      <c r="L102" s="772">
        <f>SUM(L100:L101)</f>
        <v>8944</v>
      </c>
      <c r="M102" s="772"/>
      <c r="N102" s="773"/>
      <c r="O102" s="310">
        <f>SUM(F102:M102)</f>
        <v>8944</v>
      </c>
    </row>
    <row r="103" spans="1:15" ht="15" x14ac:dyDescent="0.3">
      <c r="A103" s="55">
        <v>95</v>
      </c>
      <c r="B103" s="290">
        <v>14</v>
      </c>
      <c r="C103" s="291"/>
      <c r="D103" s="1911" t="s">
        <v>429</v>
      </c>
      <c r="E103" s="1912"/>
      <c r="F103" s="299"/>
      <c r="G103" s="299"/>
      <c r="H103" s="299"/>
      <c r="I103" s="299"/>
      <c r="J103" s="299"/>
      <c r="K103" s="299"/>
      <c r="L103" s="299"/>
      <c r="M103" s="299"/>
      <c r="N103" s="300"/>
      <c r="O103" s="301"/>
    </row>
    <row r="104" spans="1:15" ht="15" x14ac:dyDescent="0.3">
      <c r="A104" s="55">
        <v>96</v>
      </c>
      <c r="B104" s="757"/>
      <c r="C104" s="758"/>
      <c r="D104" s="759"/>
      <c r="E104" s="803" t="s">
        <v>292</v>
      </c>
      <c r="F104" s="779">
        <v>28366</v>
      </c>
      <c r="G104" s="779"/>
      <c r="H104" s="779"/>
      <c r="I104" s="779"/>
      <c r="J104" s="779"/>
      <c r="K104" s="779"/>
      <c r="L104" s="779">
        <v>371</v>
      </c>
      <c r="M104" s="779">
        <v>122176</v>
      </c>
      <c r="N104" s="780">
        <v>65741</v>
      </c>
      <c r="O104" s="776">
        <f>SUM(F104:M104)</f>
        <v>150913</v>
      </c>
    </row>
    <row r="105" spans="1:15" ht="15" x14ac:dyDescent="0.3">
      <c r="A105" s="55">
        <v>97</v>
      </c>
      <c r="B105" s="757"/>
      <c r="C105" s="758"/>
      <c r="D105" s="759"/>
      <c r="E105" s="1449" t="s">
        <v>940</v>
      </c>
      <c r="F105" s="297">
        <v>-12181</v>
      </c>
      <c r="G105" s="297">
        <v>12181</v>
      </c>
      <c r="H105" s="1473"/>
      <c r="I105" s="1473"/>
      <c r="J105" s="1473"/>
      <c r="K105" s="1473"/>
      <c r="L105" s="1473"/>
      <c r="M105" s="1473"/>
      <c r="N105" s="297"/>
      <c r="O105" s="1077">
        <f t="shared" ref="O105:O106" si="23">SUM(F105:M105)</f>
        <v>0</v>
      </c>
    </row>
    <row r="106" spans="1:15" ht="15" x14ac:dyDescent="0.3">
      <c r="A106" s="55">
        <v>98</v>
      </c>
      <c r="B106" s="757"/>
      <c r="C106" s="758"/>
      <c r="D106" s="759"/>
      <c r="E106" s="1449" t="s">
        <v>931</v>
      </c>
      <c r="F106" s="1473"/>
      <c r="G106" s="1473"/>
      <c r="H106" s="1473"/>
      <c r="I106" s="1473"/>
      <c r="J106" s="1473"/>
      <c r="K106" s="1473"/>
      <c r="L106" s="297">
        <v>3448</v>
      </c>
      <c r="M106" s="1473"/>
      <c r="N106" s="1473"/>
      <c r="O106" s="1077">
        <f t="shared" si="23"/>
        <v>3448</v>
      </c>
    </row>
    <row r="107" spans="1:15" ht="15" x14ac:dyDescent="0.3">
      <c r="A107" s="55">
        <v>99</v>
      </c>
      <c r="B107" s="757"/>
      <c r="C107" s="758"/>
      <c r="D107" s="759"/>
      <c r="E107" s="327" t="s">
        <v>927</v>
      </c>
      <c r="F107" s="1277">
        <f>SUM(F104:F106)</f>
        <v>16185</v>
      </c>
      <c r="G107" s="1277">
        <f>SUM(G104:G106)</f>
        <v>12181</v>
      </c>
      <c r="H107" s="1277"/>
      <c r="I107" s="1277"/>
      <c r="J107" s="1277"/>
      <c r="K107" s="1277"/>
      <c r="L107" s="1277">
        <f t="shared" ref="L107:N107" si="24">SUM(L104:L106)</f>
        <v>3819</v>
      </c>
      <c r="M107" s="1277">
        <f t="shared" si="24"/>
        <v>122176</v>
      </c>
      <c r="N107" s="1277">
        <f t="shared" si="24"/>
        <v>65741</v>
      </c>
      <c r="O107" s="310">
        <f>SUM(F107:M107)</f>
        <v>154361</v>
      </c>
    </row>
    <row r="108" spans="1:15" ht="15" x14ac:dyDescent="0.3">
      <c r="A108" s="55">
        <v>100</v>
      </c>
      <c r="B108" s="294"/>
      <c r="C108" s="291">
        <v>1</v>
      </c>
      <c r="D108" s="1920" t="s">
        <v>143</v>
      </c>
      <c r="E108" s="1921"/>
      <c r="F108" s="115"/>
      <c r="G108" s="115"/>
      <c r="H108" s="115"/>
      <c r="I108" s="115"/>
      <c r="J108" s="115"/>
      <c r="K108" s="115"/>
      <c r="L108" s="115"/>
      <c r="M108" s="115"/>
      <c r="N108" s="152"/>
      <c r="O108" s="310"/>
    </row>
    <row r="109" spans="1:15" ht="15" x14ac:dyDescent="0.3">
      <c r="A109" s="55">
        <v>101</v>
      </c>
      <c r="B109" s="769"/>
      <c r="C109" s="758"/>
      <c r="D109" s="759"/>
      <c r="E109" s="1346" t="s">
        <v>292</v>
      </c>
      <c r="F109" s="761"/>
      <c r="G109" s="761">
        <v>1054</v>
      </c>
      <c r="H109" s="761"/>
      <c r="I109" s="761"/>
      <c r="J109" s="761"/>
      <c r="K109" s="761"/>
      <c r="L109" s="761"/>
      <c r="M109" s="761"/>
      <c r="N109" s="762"/>
      <c r="O109" s="777">
        <f>SUM(F109:M109)</f>
        <v>1054</v>
      </c>
    </row>
    <row r="110" spans="1:15" ht="15" x14ac:dyDescent="0.3">
      <c r="A110" s="55">
        <v>102</v>
      </c>
      <c r="B110" s="769"/>
      <c r="C110" s="758"/>
      <c r="D110" s="759"/>
      <c r="E110" s="1449" t="s">
        <v>929</v>
      </c>
      <c r="F110" s="761"/>
      <c r="G110" s="761"/>
      <c r="H110" s="761"/>
      <c r="I110" s="761"/>
      <c r="J110" s="761"/>
      <c r="K110" s="761"/>
      <c r="L110" s="761"/>
      <c r="M110" s="761"/>
      <c r="N110" s="762"/>
      <c r="O110" s="1077">
        <f t="shared" ref="O110" si="25">SUM(F110:M110)</f>
        <v>0</v>
      </c>
    </row>
    <row r="111" spans="1:15" ht="15" x14ac:dyDescent="0.3">
      <c r="A111" s="55">
        <v>103</v>
      </c>
      <c r="B111" s="769"/>
      <c r="C111" s="758"/>
      <c r="D111" s="759"/>
      <c r="E111" s="327" t="s">
        <v>927</v>
      </c>
      <c r="F111" s="761"/>
      <c r="G111" s="1285">
        <f>SUM(G109:G110)</f>
        <v>1054</v>
      </c>
      <c r="H111" s="761"/>
      <c r="I111" s="761"/>
      <c r="J111" s="761"/>
      <c r="K111" s="761"/>
      <c r="L111" s="761"/>
      <c r="M111" s="761"/>
      <c r="N111" s="762"/>
      <c r="O111" s="310">
        <f>SUM(F111:M111)</f>
        <v>1054</v>
      </c>
    </row>
    <row r="112" spans="1:15" ht="15" x14ac:dyDescent="0.3">
      <c r="A112" s="55">
        <v>104</v>
      </c>
      <c r="B112" s="290"/>
      <c r="C112" s="291">
        <v>2</v>
      </c>
      <c r="D112" s="1911" t="s">
        <v>640</v>
      </c>
      <c r="E112" s="1912"/>
      <c r="F112" s="115"/>
      <c r="G112" s="115"/>
      <c r="H112" s="115"/>
      <c r="I112" s="115"/>
      <c r="J112" s="115"/>
      <c r="K112" s="115"/>
      <c r="L112" s="115"/>
      <c r="M112" s="115"/>
      <c r="N112" s="152"/>
      <c r="O112" s="310"/>
    </row>
    <row r="113" spans="1:15" ht="15" x14ac:dyDescent="0.3">
      <c r="A113" s="55">
        <v>105</v>
      </c>
      <c r="B113" s="769"/>
      <c r="C113" s="770"/>
      <c r="D113" s="771"/>
      <c r="E113" s="796" t="s">
        <v>292</v>
      </c>
      <c r="F113" s="772"/>
      <c r="G113" s="772"/>
      <c r="H113" s="772">
        <v>4099</v>
      </c>
      <c r="I113" s="772"/>
      <c r="J113" s="772"/>
      <c r="K113" s="772"/>
      <c r="L113" s="772">
        <v>2602</v>
      </c>
      <c r="M113" s="772"/>
      <c r="N113" s="773"/>
      <c r="O113" s="774">
        <f>SUM(F113:M113)</f>
        <v>6701</v>
      </c>
    </row>
    <row r="114" spans="1:15" ht="15" x14ac:dyDescent="0.3">
      <c r="A114" s="55">
        <v>106</v>
      </c>
      <c r="B114" s="769"/>
      <c r="C114" s="770"/>
      <c r="D114" s="771"/>
      <c r="E114" s="1449" t="s">
        <v>929</v>
      </c>
      <c r="F114" s="772"/>
      <c r="G114" s="772"/>
      <c r="H114" s="772"/>
      <c r="I114" s="772"/>
      <c r="J114" s="772"/>
      <c r="K114" s="772"/>
      <c r="L114" s="772"/>
      <c r="M114" s="772"/>
      <c r="N114" s="773"/>
      <c r="O114" s="1077">
        <f t="shared" ref="O114" si="26">SUM(F114:M114)</f>
        <v>0</v>
      </c>
    </row>
    <row r="115" spans="1:15" ht="15" x14ac:dyDescent="0.3">
      <c r="A115" s="55">
        <v>107</v>
      </c>
      <c r="B115" s="769"/>
      <c r="C115" s="770"/>
      <c r="D115" s="771"/>
      <c r="E115" s="327" t="s">
        <v>927</v>
      </c>
      <c r="F115" s="772"/>
      <c r="G115" s="772"/>
      <c r="H115" s="1474">
        <f>SUM(H113:H114)</f>
        <v>4099</v>
      </c>
      <c r="I115" s="1474"/>
      <c r="J115" s="1474"/>
      <c r="K115" s="1474"/>
      <c r="L115" s="1474">
        <f>SUM(L113:L114)</f>
        <v>2602</v>
      </c>
      <c r="M115" s="772"/>
      <c r="N115" s="773"/>
      <c r="O115" s="310">
        <f>SUM(F115:M115)</f>
        <v>6701</v>
      </c>
    </row>
    <row r="116" spans="1:15" ht="15" x14ac:dyDescent="0.3">
      <c r="A116" s="55">
        <v>108</v>
      </c>
      <c r="B116" s="290">
        <v>15</v>
      </c>
      <c r="C116" s="291"/>
      <c r="D116" s="1911" t="s">
        <v>148</v>
      </c>
      <c r="E116" s="1912"/>
      <c r="F116" s="299"/>
      <c r="G116" s="299"/>
      <c r="H116" s="299"/>
      <c r="I116" s="299"/>
      <c r="J116" s="299"/>
      <c r="K116" s="299"/>
      <c r="L116" s="299"/>
      <c r="M116" s="299"/>
      <c r="N116" s="300"/>
      <c r="O116" s="301"/>
    </row>
    <row r="117" spans="1:15" ht="15" x14ac:dyDescent="0.3">
      <c r="A117" s="55">
        <v>109</v>
      </c>
      <c r="B117" s="757"/>
      <c r="C117" s="770"/>
      <c r="D117" s="771"/>
      <c r="E117" s="795" t="s">
        <v>292</v>
      </c>
      <c r="F117" s="785">
        <v>127760</v>
      </c>
      <c r="G117" s="785">
        <v>55000</v>
      </c>
      <c r="H117" s="785"/>
      <c r="I117" s="785"/>
      <c r="J117" s="785"/>
      <c r="K117" s="785"/>
      <c r="L117" s="785">
        <v>15204</v>
      </c>
      <c r="M117" s="785">
        <v>549188</v>
      </c>
      <c r="N117" s="786">
        <v>375129</v>
      </c>
      <c r="O117" s="778">
        <f>SUM(F117:M117)</f>
        <v>747152</v>
      </c>
    </row>
    <row r="118" spans="1:15" ht="15" x14ac:dyDescent="0.3">
      <c r="A118" s="55">
        <v>110</v>
      </c>
      <c r="B118" s="757"/>
      <c r="C118" s="758"/>
      <c r="D118" s="1451"/>
      <c r="E118" s="1449" t="s">
        <v>926</v>
      </c>
      <c r="F118" s="779"/>
      <c r="G118" s="779"/>
      <c r="H118" s="779"/>
      <c r="I118" s="779"/>
      <c r="J118" s="779"/>
      <c r="K118" s="779"/>
      <c r="L118" s="297">
        <v>117577</v>
      </c>
      <c r="M118" s="779"/>
      <c r="N118" s="780"/>
      <c r="O118" s="1077">
        <f t="shared" ref="O118" si="27">SUM(F118:M118)</f>
        <v>117577</v>
      </c>
    </row>
    <row r="119" spans="1:15" ht="15.75" thickBot="1" x14ac:dyDescent="0.35">
      <c r="A119" s="55">
        <v>111</v>
      </c>
      <c r="B119" s="757"/>
      <c r="C119" s="1465"/>
      <c r="D119" s="1470"/>
      <c r="E119" s="1461" t="s">
        <v>927</v>
      </c>
      <c r="F119" s="1477">
        <f>SUM(F117:F118)</f>
        <v>127760</v>
      </c>
      <c r="G119" s="1477">
        <f>SUM(G117:G118)</f>
        <v>55000</v>
      </c>
      <c r="H119" s="1477"/>
      <c r="I119" s="1477"/>
      <c r="J119" s="1477"/>
      <c r="K119" s="1477"/>
      <c r="L119" s="1477">
        <f>SUM(L117:L118)</f>
        <v>132781</v>
      </c>
      <c r="M119" s="1477">
        <f>SUM(M117:M118)</f>
        <v>549188</v>
      </c>
      <c r="N119" s="1477">
        <f>SUM(N117:N118)</f>
        <v>375129</v>
      </c>
      <c r="O119" s="310">
        <f>SUM(F119:M119)</f>
        <v>864729</v>
      </c>
    </row>
    <row r="120" spans="1:15" ht="15.75" thickTop="1" x14ac:dyDescent="0.2">
      <c r="A120" s="55">
        <v>112</v>
      </c>
      <c r="B120" s="292"/>
      <c r="C120" s="1932" t="s">
        <v>499</v>
      </c>
      <c r="D120" s="1933"/>
      <c r="E120" s="1934"/>
      <c r="F120" s="755"/>
      <c r="G120" s="755"/>
      <c r="H120" s="755"/>
      <c r="I120" s="755"/>
      <c r="J120" s="755"/>
      <c r="K120" s="755"/>
      <c r="L120" s="755"/>
      <c r="M120" s="755"/>
      <c r="N120" s="755"/>
      <c r="O120" s="756"/>
    </row>
    <row r="121" spans="1:15" ht="15" x14ac:dyDescent="0.3">
      <c r="A121" s="55">
        <v>113</v>
      </c>
      <c r="B121" s="757"/>
      <c r="C121" s="770"/>
      <c r="D121" s="771"/>
      <c r="E121" s="795" t="s">
        <v>292</v>
      </c>
      <c r="F121" s="785">
        <f t="shared" ref="F121:N121" si="28">SUM(F67,F73,F77,F86,F90,F94,F104,F109,F117,F82,F100,F113)</f>
        <v>409742</v>
      </c>
      <c r="G121" s="785">
        <f t="shared" si="28"/>
        <v>149773</v>
      </c>
      <c r="H121" s="785">
        <f t="shared" si="28"/>
        <v>4569</v>
      </c>
      <c r="I121" s="785">
        <f t="shared" si="28"/>
        <v>0</v>
      </c>
      <c r="J121" s="785">
        <f t="shared" si="28"/>
        <v>4050</v>
      </c>
      <c r="K121" s="785">
        <f t="shared" si="28"/>
        <v>0</v>
      </c>
      <c r="L121" s="785">
        <f t="shared" si="28"/>
        <v>101659</v>
      </c>
      <c r="M121" s="785">
        <f t="shared" si="28"/>
        <v>1670283</v>
      </c>
      <c r="N121" s="785">
        <f t="shared" si="28"/>
        <v>880069</v>
      </c>
      <c r="O121" s="778">
        <f>SUM(F121:M121)</f>
        <v>2340076</v>
      </c>
    </row>
    <row r="122" spans="1:15" ht="15" x14ac:dyDescent="0.3">
      <c r="A122" s="55">
        <v>114</v>
      </c>
      <c r="B122" s="1471"/>
      <c r="C122" s="758"/>
      <c r="D122" s="1451"/>
      <c r="E122" s="1449" t="s">
        <v>929</v>
      </c>
      <c r="F122" s="297">
        <f t="shared" ref="F122:N122" si="29">SUM(F68:F70,F74,F78:F79,F83,F87:F87,F91,F95:F97,F101,F105:F106,F110,F114,F118:F118)</f>
        <v>-80541</v>
      </c>
      <c r="G122" s="297">
        <f t="shared" si="29"/>
        <v>12881</v>
      </c>
      <c r="H122" s="297">
        <f t="shared" si="29"/>
        <v>0</v>
      </c>
      <c r="I122" s="297">
        <f t="shared" si="29"/>
        <v>0</v>
      </c>
      <c r="J122" s="297">
        <f t="shared" si="29"/>
        <v>0</v>
      </c>
      <c r="K122" s="297">
        <f t="shared" si="29"/>
        <v>5518</v>
      </c>
      <c r="L122" s="297">
        <f t="shared" si="29"/>
        <v>197332</v>
      </c>
      <c r="M122" s="297">
        <f t="shared" si="29"/>
        <v>6220</v>
      </c>
      <c r="N122" s="297">
        <f t="shared" si="29"/>
        <v>0</v>
      </c>
      <c r="O122" s="1077">
        <f t="shared" ref="O122" si="30">SUM(F122:M122)</f>
        <v>141410</v>
      </c>
    </row>
    <row r="123" spans="1:15" ht="15.75" thickBot="1" x14ac:dyDescent="0.35">
      <c r="A123" s="55">
        <v>115</v>
      </c>
      <c r="B123" s="1471"/>
      <c r="C123" s="1454"/>
      <c r="D123" s="1460"/>
      <c r="E123" s="1478" t="s">
        <v>927</v>
      </c>
      <c r="F123" s="1472">
        <f>SUM(F121:F122)</f>
        <v>329201</v>
      </c>
      <c r="G123" s="1472">
        <f t="shared" ref="G123:N123" si="31">SUM(G121:G122)</f>
        <v>162654</v>
      </c>
      <c r="H123" s="1472">
        <f t="shared" si="31"/>
        <v>4569</v>
      </c>
      <c r="I123" s="1472">
        <f t="shared" si="31"/>
        <v>0</v>
      </c>
      <c r="J123" s="1472">
        <f t="shared" si="31"/>
        <v>4050</v>
      </c>
      <c r="K123" s="1472">
        <f t="shared" si="31"/>
        <v>5518</v>
      </c>
      <c r="L123" s="1472">
        <f t="shared" si="31"/>
        <v>298991</v>
      </c>
      <c r="M123" s="1472">
        <f t="shared" si="31"/>
        <v>1676503</v>
      </c>
      <c r="N123" s="1472">
        <f t="shared" si="31"/>
        <v>880069</v>
      </c>
      <c r="O123" s="1463">
        <f>SUM(F123:M123)</f>
        <v>2481486</v>
      </c>
    </row>
    <row r="124" spans="1:15" ht="15.75" thickTop="1" x14ac:dyDescent="0.3">
      <c r="A124" s="55">
        <v>116</v>
      </c>
      <c r="B124" s="304">
        <v>16</v>
      </c>
      <c r="C124" s="305"/>
      <c r="D124" s="1935" t="s">
        <v>259</v>
      </c>
      <c r="E124" s="1936"/>
      <c r="F124" s="316"/>
      <c r="G124" s="316"/>
      <c r="H124" s="316"/>
      <c r="I124" s="316"/>
      <c r="J124" s="316"/>
      <c r="K124" s="316"/>
      <c r="L124" s="316"/>
      <c r="M124" s="316"/>
      <c r="N124" s="317"/>
      <c r="O124" s="318"/>
    </row>
    <row r="125" spans="1:15" ht="15" x14ac:dyDescent="0.3">
      <c r="A125" s="55">
        <v>117</v>
      </c>
      <c r="B125" s="794"/>
      <c r="C125" s="770"/>
      <c r="D125" s="771"/>
      <c r="E125" s="795" t="s">
        <v>292</v>
      </c>
      <c r="F125" s="785">
        <v>346280</v>
      </c>
      <c r="G125" s="785"/>
      <c r="H125" s="785"/>
      <c r="I125" s="785"/>
      <c r="J125" s="785"/>
      <c r="K125" s="785"/>
      <c r="L125" s="785">
        <v>58857</v>
      </c>
      <c r="M125" s="785">
        <v>794675</v>
      </c>
      <c r="N125" s="786">
        <v>336855</v>
      </c>
      <c r="O125" s="778">
        <f>SUM(F125:M125)</f>
        <v>1199812</v>
      </c>
    </row>
    <row r="126" spans="1:15" ht="15" x14ac:dyDescent="0.3">
      <c r="A126" s="55">
        <v>118</v>
      </c>
      <c r="B126" s="757"/>
      <c r="C126" s="758"/>
      <c r="D126" s="1451"/>
      <c r="E126" s="1449" t="s">
        <v>926</v>
      </c>
      <c r="F126" s="779"/>
      <c r="G126" s="779"/>
      <c r="H126" s="779"/>
      <c r="I126" s="779"/>
      <c r="J126" s="779"/>
      <c r="K126" s="779"/>
      <c r="L126" s="297">
        <v>133434</v>
      </c>
      <c r="M126" s="779"/>
      <c r="N126" s="780"/>
      <c r="O126" s="1077">
        <f t="shared" ref="O126" si="32">SUM(F126:M126)</f>
        <v>133434</v>
      </c>
    </row>
    <row r="127" spans="1:15" ht="15.75" thickBot="1" x14ac:dyDescent="0.35">
      <c r="A127" s="55">
        <v>119</v>
      </c>
      <c r="B127" s="1479"/>
      <c r="C127" s="788"/>
      <c r="D127" s="789"/>
      <c r="E127" s="1480" t="s">
        <v>927</v>
      </c>
      <c r="F127" s="1481">
        <f>SUM(F125:F126)</f>
        <v>346280</v>
      </c>
      <c r="G127" s="1481"/>
      <c r="H127" s="1481"/>
      <c r="I127" s="1481"/>
      <c r="J127" s="1481"/>
      <c r="K127" s="1481"/>
      <c r="L127" s="1481">
        <f>SUM(L125:L126)</f>
        <v>192291</v>
      </c>
      <c r="M127" s="1481">
        <f>SUM(M125:M126)</f>
        <v>794675</v>
      </c>
      <c r="N127" s="1481">
        <f>SUM(N125:N126)</f>
        <v>336855</v>
      </c>
      <c r="O127" s="318">
        <f>SUM(F127:M127)</f>
        <v>1333246</v>
      </c>
    </row>
    <row r="128" spans="1:15" ht="15" x14ac:dyDescent="0.2">
      <c r="A128" s="55">
        <v>120</v>
      </c>
      <c r="B128" s="1942" t="s">
        <v>149</v>
      </c>
      <c r="C128" s="1943"/>
      <c r="D128" s="1943"/>
      <c r="E128" s="1944"/>
      <c r="F128" s="790"/>
      <c r="G128" s="790"/>
      <c r="H128" s="790"/>
      <c r="I128" s="790"/>
      <c r="J128" s="790"/>
      <c r="K128" s="790"/>
      <c r="L128" s="790"/>
      <c r="M128" s="790"/>
      <c r="N128" s="791"/>
      <c r="O128" s="792"/>
    </row>
    <row r="129" spans="1:15" ht="15" x14ac:dyDescent="0.3">
      <c r="A129" s="55">
        <v>121</v>
      </c>
      <c r="B129" s="794"/>
      <c r="C129" s="770"/>
      <c r="D129" s="771"/>
      <c r="E129" s="795" t="s">
        <v>292</v>
      </c>
      <c r="F129" s="785">
        <f t="shared" ref="F129:N129" si="33">SUM(F125,F121,F63,F41)</f>
        <v>853570</v>
      </c>
      <c r="G129" s="785">
        <f t="shared" si="33"/>
        <v>151275</v>
      </c>
      <c r="H129" s="785">
        <f t="shared" si="33"/>
        <v>4569</v>
      </c>
      <c r="I129" s="785">
        <f t="shared" si="33"/>
        <v>0</v>
      </c>
      <c r="J129" s="785">
        <f t="shared" si="33"/>
        <v>4050</v>
      </c>
      <c r="K129" s="785">
        <f t="shared" si="33"/>
        <v>0</v>
      </c>
      <c r="L129" s="785">
        <f t="shared" si="33"/>
        <v>332417</v>
      </c>
      <c r="M129" s="785">
        <f t="shared" si="33"/>
        <v>5599937</v>
      </c>
      <c r="N129" s="786">
        <f t="shared" si="33"/>
        <v>3558966</v>
      </c>
      <c r="O129" s="778">
        <f>SUM(F129:M129)</f>
        <v>6945818</v>
      </c>
    </row>
    <row r="130" spans="1:15" ht="15" x14ac:dyDescent="0.3">
      <c r="A130" s="55">
        <v>122</v>
      </c>
      <c r="B130" s="757"/>
      <c r="C130" s="758"/>
      <c r="D130" s="1451"/>
      <c r="E130" s="1449" t="s">
        <v>929</v>
      </c>
      <c r="F130" s="297">
        <f>F126+F122+F64+F42</f>
        <v>-79962</v>
      </c>
      <c r="G130" s="297">
        <f t="shared" ref="G130:N130" si="34">G126+G122+G64+G42</f>
        <v>13889</v>
      </c>
      <c r="H130" s="297">
        <f t="shared" si="34"/>
        <v>0</v>
      </c>
      <c r="I130" s="297">
        <f t="shared" si="34"/>
        <v>0</v>
      </c>
      <c r="J130" s="297">
        <f t="shared" si="34"/>
        <v>0</v>
      </c>
      <c r="K130" s="297">
        <f t="shared" si="34"/>
        <v>5518</v>
      </c>
      <c r="L130" s="297">
        <f t="shared" si="34"/>
        <v>425358</v>
      </c>
      <c r="M130" s="297">
        <f t="shared" si="34"/>
        <v>37696</v>
      </c>
      <c r="N130" s="297">
        <f t="shared" si="34"/>
        <v>30177</v>
      </c>
      <c r="O130" s="1077">
        <f t="shared" ref="O130" si="35">SUM(F130:M130)</f>
        <v>402499</v>
      </c>
    </row>
    <row r="131" spans="1:15" ht="15.75" thickBot="1" x14ac:dyDescent="0.35">
      <c r="A131" s="55">
        <v>123</v>
      </c>
      <c r="B131" s="1482"/>
      <c r="C131" s="1483"/>
      <c r="D131" s="1484"/>
      <c r="E131" s="1485" t="s">
        <v>927</v>
      </c>
      <c r="F131" s="1283">
        <f>SUM(F129:F130)</f>
        <v>773608</v>
      </c>
      <c r="G131" s="1283">
        <f t="shared" ref="G131:N131" si="36">SUM(G129:G130)</f>
        <v>165164</v>
      </c>
      <c r="H131" s="1283">
        <f t="shared" si="36"/>
        <v>4569</v>
      </c>
      <c r="I131" s="1283">
        <f t="shared" si="36"/>
        <v>0</v>
      </c>
      <c r="J131" s="1283">
        <f t="shared" si="36"/>
        <v>4050</v>
      </c>
      <c r="K131" s="1283">
        <f t="shared" si="36"/>
        <v>5518</v>
      </c>
      <c r="L131" s="1283">
        <f t="shared" si="36"/>
        <v>757775</v>
      </c>
      <c r="M131" s="1283">
        <f t="shared" si="36"/>
        <v>5637633</v>
      </c>
      <c r="N131" s="1486">
        <f t="shared" si="36"/>
        <v>3589143</v>
      </c>
      <c r="O131" s="318">
        <f>SUM(F131:M131)</f>
        <v>7348317</v>
      </c>
    </row>
    <row r="132" spans="1:15" ht="15" x14ac:dyDescent="0.3">
      <c r="A132" s="55">
        <v>124</v>
      </c>
      <c r="B132" s="286">
        <v>17</v>
      </c>
      <c r="C132" s="287"/>
      <c r="D132" s="1487" t="s">
        <v>150</v>
      </c>
      <c r="E132" s="1488"/>
      <c r="F132" s="1489"/>
      <c r="G132" s="644"/>
      <c r="H132" s="288"/>
      <c r="I132" s="288"/>
      <c r="J132" s="288"/>
      <c r="K132" s="288"/>
      <c r="L132" s="288"/>
      <c r="M132" s="288"/>
      <c r="N132" s="289"/>
      <c r="O132" s="313"/>
    </row>
    <row r="133" spans="1:15" ht="15" x14ac:dyDescent="0.3">
      <c r="A133" s="55">
        <v>125</v>
      </c>
      <c r="B133" s="794"/>
      <c r="C133" s="770"/>
      <c r="D133" s="1490"/>
      <c r="E133" s="795" t="s">
        <v>292</v>
      </c>
      <c r="F133" s="785">
        <v>4445</v>
      </c>
      <c r="G133" s="785">
        <v>16195</v>
      </c>
      <c r="H133" s="785"/>
      <c r="I133" s="785"/>
      <c r="J133" s="785"/>
      <c r="K133" s="785"/>
      <c r="L133" s="785">
        <v>81050</v>
      </c>
      <c r="M133" s="785">
        <f>1800194-12700</f>
        <v>1787494</v>
      </c>
      <c r="N133" s="786">
        <v>776793</v>
      </c>
      <c r="O133" s="778">
        <f>SUM(F133:M133)</f>
        <v>1889184</v>
      </c>
    </row>
    <row r="134" spans="1:15" ht="15" x14ac:dyDescent="0.3">
      <c r="A134" s="55">
        <v>126</v>
      </c>
      <c r="B134" s="794"/>
      <c r="C134" s="770"/>
      <c r="D134" s="1490"/>
      <c r="E134" s="1449" t="s">
        <v>941</v>
      </c>
      <c r="F134" s="785"/>
      <c r="G134" s="1491">
        <v>-16195</v>
      </c>
      <c r="H134" s="785"/>
      <c r="I134" s="785"/>
      <c r="J134" s="785"/>
      <c r="K134" s="785"/>
      <c r="L134" s="785"/>
      <c r="M134" s="785"/>
      <c r="N134" s="786"/>
      <c r="O134" s="1077">
        <f t="shared" ref="O134:O139" si="37">SUM(F134:M134)</f>
        <v>-16195</v>
      </c>
    </row>
    <row r="135" spans="1:15" ht="15" x14ac:dyDescent="0.3">
      <c r="A135" s="55">
        <v>127</v>
      </c>
      <c r="B135" s="757"/>
      <c r="C135" s="758"/>
      <c r="D135" s="1451"/>
      <c r="E135" s="1449" t="s">
        <v>926</v>
      </c>
      <c r="F135" s="779"/>
      <c r="G135" s="779"/>
      <c r="H135" s="779"/>
      <c r="I135" s="779"/>
      <c r="J135" s="779"/>
      <c r="K135" s="779"/>
      <c r="L135" s="297">
        <v>376932</v>
      </c>
      <c r="M135" s="779"/>
      <c r="N135" s="780"/>
      <c r="O135" s="1077">
        <f t="shared" si="37"/>
        <v>376932</v>
      </c>
    </row>
    <row r="136" spans="1:15" ht="15" x14ac:dyDescent="0.3">
      <c r="A136" s="55">
        <v>128</v>
      </c>
      <c r="B136" s="1492"/>
      <c r="C136" s="770"/>
      <c r="D136" s="1493"/>
      <c r="E136" s="1494" t="s">
        <v>942</v>
      </c>
      <c r="F136" s="1467"/>
      <c r="G136" s="1467"/>
      <c r="H136" s="1467"/>
      <c r="I136" s="1467"/>
      <c r="J136" s="1467"/>
      <c r="K136" s="1467"/>
      <c r="L136" s="1468"/>
      <c r="M136" s="1468">
        <v>5664</v>
      </c>
      <c r="N136" s="1469"/>
      <c r="O136" s="1077">
        <f t="shared" si="37"/>
        <v>5664</v>
      </c>
    </row>
    <row r="137" spans="1:15" ht="15" x14ac:dyDescent="0.3">
      <c r="A137" s="55">
        <v>129</v>
      </c>
      <c r="B137" s="757"/>
      <c r="C137" s="758"/>
      <c r="D137" s="1451"/>
      <c r="E137" s="1449" t="s">
        <v>943</v>
      </c>
      <c r="F137" s="779"/>
      <c r="G137" s="779"/>
      <c r="H137" s="779"/>
      <c r="I137" s="779"/>
      <c r="J137" s="779"/>
      <c r="K137" s="779"/>
      <c r="L137" s="297"/>
      <c r="M137" s="297">
        <v>2555</v>
      </c>
      <c r="N137" s="780"/>
      <c r="O137" s="1077">
        <f t="shared" si="37"/>
        <v>2555</v>
      </c>
    </row>
    <row r="138" spans="1:15" ht="15" x14ac:dyDescent="0.3">
      <c r="A138" s="55">
        <v>130</v>
      </c>
      <c r="B138" s="757"/>
      <c r="C138" s="758"/>
      <c r="D138" s="1451"/>
      <c r="E138" s="1449" t="s">
        <v>944</v>
      </c>
      <c r="F138" s="779"/>
      <c r="G138" s="779"/>
      <c r="H138" s="779"/>
      <c r="I138" s="779"/>
      <c r="J138" s="779"/>
      <c r="K138" s="779"/>
      <c r="L138" s="297"/>
      <c r="M138" s="297">
        <f>-84-13</f>
        <v>-97</v>
      </c>
      <c r="N138" s="780"/>
      <c r="O138" s="1077">
        <f t="shared" si="37"/>
        <v>-97</v>
      </c>
    </row>
    <row r="139" spans="1:15" ht="15" x14ac:dyDescent="0.3">
      <c r="A139" s="55">
        <v>131</v>
      </c>
      <c r="B139" s="1492"/>
      <c r="C139" s="1495"/>
      <c r="D139" s="1493"/>
      <c r="E139" s="1494" t="s">
        <v>945</v>
      </c>
      <c r="F139" s="1467"/>
      <c r="G139" s="1467"/>
      <c r="H139" s="1467"/>
      <c r="I139" s="1467"/>
      <c r="J139" s="1467"/>
      <c r="K139" s="1467"/>
      <c r="L139" s="1468"/>
      <c r="M139" s="1468">
        <f>16160+2504</f>
        <v>18664</v>
      </c>
      <c r="N139" s="1469"/>
      <c r="O139" s="1496">
        <f t="shared" si="37"/>
        <v>18664</v>
      </c>
    </row>
    <row r="140" spans="1:15" ht="15.75" thickBot="1" x14ac:dyDescent="0.35">
      <c r="A140" s="55">
        <v>132</v>
      </c>
      <c r="B140" s="1479"/>
      <c r="C140" s="788"/>
      <c r="D140" s="789"/>
      <c r="E140" s="1480" t="s">
        <v>927</v>
      </c>
      <c r="F140" s="1283">
        <f>SUM(F133:F139)</f>
        <v>4445</v>
      </c>
      <c r="G140" s="1283">
        <f t="shared" ref="G140:N140" si="38">SUM(G133:G139)</f>
        <v>0</v>
      </c>
      <c r="H140" s="1283">
        <f t="shared" si="38"/>
        <v>0</v>
      </c>
      <c r="I140" s="1283">
        <f t="shared" si="38"/>
        <v>0</v>
      </c>
      <c r="J140" s="1283">
        <f t="shared" si="38"/>
        <v>0</v>
      </c>
      <c r="K140" s="1283">
        <f t="shared" si="38"/>
        <v>0</v>
      </c>
      <c r="L140" s="1283">
        <f>SUM(L133:L139)</f>
        <v>457982</v>
      </c>
      <c r="M140" s="1283">
        <f t="shared" si="38"/>
        <v>1814280</v>
      </c>
      <c r="N140" s="1283">
        <f t="shared" si="38"/>
        <v>776793</v>
      </c>
      <c r="O140" s="1497">
        <f>SUM(F140:M140)</f>
        <v>2276707</v>
      </c>
    </row>
    <row r="141" spans="1:15" ht="15" x14ac:dyDescent="0.2">
      <c r="A141" s="55">
        <v>133</v>
      </c>
      <c r="B141" s="1939" t="s">
        <v>13</v>
      </c>
      <c r="C141" s="1940"/>
      <c r="D141" s="1940"/>
      <c r="E141" s="1941"/>
      <c r="F141" s="437"/>
      <c r="G141" s="437"/>
      <c r="H141" s="437"/>
      <c r="I141" s="437"/>
      <c r="J141" s="437"/>
      <c r="K141" s="437"/>
      <c r="L141" s="437"/>
      <c r="M141" s="437"/>
      <c r="N141" s="793"/>
      <c r="O141" s="792"/>
    </row>
    <row r="142" spans="1:15" ht="15" x14ac:dyDescent="0.3">
      <c r="A142" s="55">
        <v>134</v>
      </c>
      <c r="B142" s="794"/>
      <c r="C142" s="770"/>
      <c r="D142" s="1490"/>
      <c r="E142" s="796" t="s">
        <v>292</v>
      </c>
      <c r="F142" s="785">
        <f t="shared" ref="F142:N142" si="39">SUM(F129,F133)</f>
        <v>858015</v>
      </c>
      <c r="G142" s="785">
        <f t="shared" si="39"/>
        <v>167470</v>
      </c>
      <c r="H142" s="785">
        <f t="shared" si="39"/>
        <v>4569</v>
      </c>
      <c r="I142" s="785">
        <f t="shared" si="39"/>
        <v>0</v>
      </c>
      <c r="J142" s="785">
        <f t="shared" si="39"/>
        <v>4050</v>
      </c>
      <c r="K142" s="785">
        <f t="shared" si="39"/>
        <v>0</v>
      </c>
      <c r="L142" s="785">
        <f t="shared" si="39"/>
        <v>413467</v>
      </c>
      <c r="M142" s="785">
        <f t="shared" si="39"/>
        <v>7387431</v>
      </c>
      <c r="N142" s="786">
        <f t="shared" si="39"/>
        <v>4335759</v>
      </c>
      <c r="O142" s="778">
        <f>SUM(F142:M142)</f>
        <v>8835002</v>
      </c>
    </row>
    <row r="143" spans="1:15" ht="15" x14ac:dyDescent="0.3">
      <c r="A143" s="55">
        <v>135</v>
      </c>
      <c r="B143" s="757"/>
      <c r="C143" s="758"/>
      <c r="D143" s="1451"/>
      <c r="E143" s="1449" t="s">
        <v>929</v>
      </c>
      <c r="F143" s="297">
        <f>F135+F130+F136+F137+F138+F139+F134</f>
        <v>-79962</v>
      </c>
      <c r="G143" s="297">
        <f t="shared" ref="G143:N143" si="40">G135+G130+G136+G137+G138+G139+G134</f>
        <v>-2306</v>
      </c>
      <c r="H143" s="297">
        <f t="shared" si="40"/>
        <v>0</v>
      </c>
      <c r="I143" s="297">
        <f t="shared" si="40"/>
        <v>0</v>
      </c>
      <c r="J143" s="297">
        <f t="shared" si="40"/>
        <v>0</v>
      </c>
      <c r="K143" s="297">
        <f t="shared" si="40"/>
        <v>5518</v>
      </c>
      <c r="L143" s="297">
        <f t="shared" si="40"/>
        <v>802290</v>
      </c>
      <c r="M143" s="297">
        <f t="shared" si="40"/>
        <v>64482</v>
      </c>
      <c r="N143" s="297">
        <f t="shared" si="40"/>
        <v>30177</v>
      </c>
      <c r="O143" s="1459">
        <f t="shared" ref="O143" si="41">SUM(F143:M143)</f>
        <v>790022</v>
      </c>
    </row>
    <row r="144" spans="1:15" ht="15.75" thickBot="1" x14ac:dyDescent="0.35">
      <c r="A144" s="55">
        <v>136</v>
      </c>
      <c r="B144" s="787"/>
      <c r="C144" s="788"/>
      <c r="D144" s="1498"/>
      <c r="E144" s="1480" t="s">
        <v>927</v>
      </c>
      <c r="F144" s="1283">
        <f>SUM(F142:F143)</f>
        <v>778053</v>
      </c>
      <c r="G144" s="1283">
        <f t="shared" ref="G144:N144" si="42">SUM(G142:G143)</f>
        <v>165164</v>
      </c>
      <c r="H144" s="1283">
        <f t="shared" si="42"/>
        <v>4569</v>
      </c>
      <c r="I144" s="1283">
        <f t="shared" si="42"/>
        <v>0</v>
      </c>
      <c r="J144" s="1283">
        <f t="shared" si="42"/>
        <v>4050</v>
      </c>
      <c r="K144" s="1283">
        <f t="shared" si="42"/>
        <v>5518</v>
      </c>
      <c r="L144" s="1283">
        <f t="shared" si="42"/>
        <v>1215757</v>
      </c>
      <c r="M144" s="1283">
        <f t="shared" si="42"/>
        <v>7451913</v>
      </c>
      <c r="N144" s="1283">
        <f t="shared" si="42"/>
        <v>4365936</v>
      </c>
      <c r="O144" s="1497">
        <f>SUM(F144:M144)</f>
        <v>9625024</v>
      </c>
    </row>
  </sheetData>
  <mergeCells count="46">
    <mergeCell ref="D93:E93"/>
    <mergeCell ref="D99:E99"/>
    <mergeCell ref="D103:E103"/>
    <mergeCell ref="D108:E108"/>
    <mergeCell ref="B141:E141"/>
    <mergeCell ref="D112:E112"/>
    <mergeCell ref="D116:E116"/>
    <mergeCell ref="C120:E120"/>
    <mergeCell ref="D124:E124"/>
    <mergeCell ref="B128:E128"/>
    <mergeCell ref="D72:E72"/>
    <mergeCell ref="D76:E76"/>
    <mergeCell ref="D81:E81"/>
    <mergeCell ref="D85:E85"/>
    <mergeCell ref="D89:E89"/>
    <mergeCell ref="D44:E44"/>
    <mergeCell ref="D51:E51"/>
    <mergeCell ref="D57:E57"/>
    <mergeCell ref="C62:E62"/>
    <mergeCell ref="D66:E66"/>
    <mergeCell ref="D30:E30"/>
    <mergeCell ref="D31:E31"/>
    <mergeCell ref="D35:E35"/>
    <mergeCell ref="D36:E36"/>
    <mergeCell ref="C40:E40"/>
    <mergeCell ref="B7:B8"/>
    <mergeCell ref="C7:C8"/>
    <mergeCell ref="D7:E8"/>
    <mergeCell ref="F7:H7"/>
    <mergeCell ref="D25:E25"/>
    <mergeCell ref="D24:E24"/>
    <mergeCell ref="M7:N7"/>
    <mergeCell ref="O7:O8"/>
    <mergeCell ref="I7:K7"/>
    <mergeCell ref="B1:E1"/>
    <mergeCell ref="B3:O3"/>
    <mergeCell ref="B4:O4"/>
    <mergeCell ref="N5:O5"/>
    <mergeCell ref="D6:E6"/>
    <mergeCell ref="B2:F2"/>
    <mergeCell ref="D10:E10"/>
    <mergeCell ref="D14:E14"/>
    <mergeCell ref="D15:E15"/>
    <mergeCell ref="D19:E19"/>
    <mergeCell ref="D20:E20"/>
    <mergeCell ref="L7:L8"/>
  </mergeCells>
  <printOptions horizontalCentered="1"/>
  <pageMargins left="0.19685039370078741" right="0.19685039370078741" top="0.59055118110236227" bottom="0.59055118110236227" header="0.51181102362204722" footer="0.51181102362204722"/>
  <pageSetup paperSize="9" scale="74" fitToHeight="0" orientation="landscape" verticalDpi="300" r:id="rId1"/>
  <headerFooter alignWithMargins="0">
    <oddFooter>&amp;C- &amp;P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view="pageBreakPreview" zoomScaleNormal="100" zoomScaleSheetLayoutView="100" workbookViewId="0">
      <selection activeCell="B2" sqref="B2:F2"/>
    </sheetView>
  </sheetViews>
  <sheetFormatPr defaultColWidth="9.140625" defaultRowHeight="12.75" x14ac:dyDescent="0.2"/>
  <cols>
    <col min="1" max="1" width="3.7109375" style="139" customWidth="1"/>
    <col min="2" max="3" width="5.7109375" style="259" customWidth="1"/>
    <col min="4" max="4" width="58.7109375" style="259" customWidth="1"/>
    <col min="5" max="7" width="10.7109375" style="259" customWidth="1"/>
    <col min="8" max="8" width="13.7109375" style="259" customWidth="1"/>
    <col min="9" max="16384" width="9.140625" style="259"/>
  </cols>
  <sheetData>
    <row r="1" spans="1:10" s="272" customFormat="1" ht="18" customHeight="1" x14ac:dyDescent="0.2">
      <c r="A1" s="263"/>
      <c r="B1" s="1953" t="s">
        <v>905</v>
      </c>
      <c r="C1" s="1953"/>
      <c r="D1" s="1953"/>
      <c r="E1" s="661"/>
      <c r="F1" s="661"/>
      <c r="G1" s="661"/>
      <c r="H1" s="428"/>
    </row>
    <row r="2" spans="1:10" s="141" customFormat="1" ht="16.5" x14ac:dyDescent="0.3">
      <c r="A2" s="126"/>
      <c r="B2" s="1896"/>
      <c r="C2" s="1896"/>
      <c r="D2" s="1896"/>
      <c r="E2" s="1896"/>
      <c r="F2" s="1896"/>
      <c r="G2" s="118"/>
      <c r="H2" s="118"/>
      <c r="I2" s="118"/>
      <c r="J2" s="282"/>
    </row>
    <row r="3" spans="1:10" s="272" customFormat="1" ht="24.75" customHeight="1" x14ac:dyDescent="0.2">
      <c r="A3" s="55"/>
      <c r="B3" s="1917" t="s">
        <v>133</v>
      </c>
      <c r="C3" s="1917"/>
      <c r="D3" s="1917"/>
      <c r="E3" s="1917"/>
      <c r="F3" s="1917"/>
      <c r="G3" s="1917"/>
      <c r="H3" s="1917"/>
    </row>
    <row r="4" spans="1:10" s="272" customFormat="1" ht="24.75" customHeight="1" x14ac:dyDescent="0.2">
      <c r="A4" s="55"/>
      <c r="B4" s="1917" t="s">
        <v>641</v>
      </c>
      <c r="C4" s="1917"/>
      <c r="D4" s="1917"/>
      <c r="E4" s="1917"/>
      <c r="F4" s="1917"/>
      <c r="G4" s="1917"/>
      <c r="H4" s="1917"/>
    </row>
    <row r="5" spans="1:10" ht="18" customHeight="1" x14ac:dyDescent="0.2">
      <c r="A5" s="55"/>
      <c r="B5" s="44"/>
      <c r="C5" s="42"/>
      <c r="D5" s="42"/>
      <c r="E5" s="42"/>
      <c r="F5" s="42"/>
      <c r="G5" s="42"/>
      <c r="H5" s="975" t="s">
        <v>0</v>
      </c>
    </row>
    <row r="6" spans="1:10" s="55" customFormat="1" ht="18" customHeight="1" thickBot="1" x14ac:dyDescent="0.25">
      <c r="B6" s="55" t="s">
        <v>1</v>
      </c>
      <c r="C6" s="55" t="s">
        <v>3</v>
      </c>
      <c r="D6" s="55" t="s">
        <v>2</v>
      </c>
      <c r="E6" s="55" t="s">
        <v>4</v>
      </c>
      <c r="F6" s="55" t="s">
        <v>5</v>
      </c>
      <c r="G6" s="55" t="s">
        <v>15</v>
      </c>
      <c r="H6" s="55" t="s">
        <v>16</v>
      </c>
    </row>
    <row r="7" spans="1:10" s="44" customFormat="1" ht="30" customHeight="1" x14ac:dyDescent="0.2">
      <c r="A7" s="55"/>
      <c r="B7" s="1923" t="s">
        <v>18</v>
      </c>
      <c r="C7" s="1954" t="s">
        <v>19</v>
      </c>
      <c r="D7" s="1956" t="s">
        <v>6</v>
      </c>
      <c r="E7" s="1945" t="s">
        <v>642</v>
      </c>
      <c r="F7" s="1958" t="s">
        <v>636</v>
      </c>
      <c r="G7" s="1945" t="s">
        <v>727</v>
      </c>
      <c r="H7" s="1914" t="s">
        <v>643</v>
      </c>
    </row>
    <row r="8" spans="1:10" ht="60.75" customHeight="1" thickBot="1" x14ac:dyDescent="0.25">
      <c r="A8" s="55"/>
      <c r="B8" s="1924"/>
      <c r="C8" s="1955"/>
      <c r="D8" s="1957"/>
      <c r="E8" s="1946"/>
      <c r="F8" s="1959"/>
      <c r="G8" s="1946"/>
      <c r="H8" s="1915"/>
    </row>
    <row r="9" spans="1:10" ht="29.25" customHeight="1" x14ac:dyDescent="0.2">
      <c r="A9" s="55">
        <v>1</v>
      </c>
      <c r="B9" s="649">
        <v>1</v>
      </c>
      <c r="C9" s="322"/>
      <c r="D9" s="797" t="s">
        <v>363</v>
      </c>
      <c r="E9" s="306">
        <v>4440</v>
      </c>
      <c r="F9" s="306">
        <v>4940</v>
      </c>
      <c r="G9" s="306">
        <v>3634</v>
      </c>
      <c r="H9" s="315">
        <v>4343</v>
      </c>
    </row>
    <row r="10" spans="1:10" ht="30" customHeight="1" x14ac:dyDescent="0.2">
      <c r="A10" s="55">
        <v>2</v>
      </c>
      <c r="B10" s="645">
        <v>2</v>
      </c>
      <c r="C10" s="293"/>
      <c r="D10" s="797" t="s">
        <v>482</v>
      </c>
      <c r="E10" s="296">
        <v>8462</v>
      </c>
      <c r="F10" s="296">
        <v>9516</v>
      </c>
      <c r="G10" s="296">
        <v>6016</v>
      </c>
      <c r="H10" s="309">
        <v>8467</v>
      </c>
    </row>
    <row r="11" spans="1:10" ht="30" customHeight="1" x14ac:dyDescent="0.2">
      <c r="A11" s="55">
        <v>3</v>
      </c>
      <c r="B11" s="645">
        <v>3</v>
      </c>
      <c r="C11" s="293"/>
      <c r="D11" s="797" t="s">
        <v>483</v>
      </c>
      <c r="E11" s="296">
        <v>15398</v>
      </c>
      <c r="F11" s="296">
        <v>17581</v>
      </c>
      <c r="G11" s="296">
        <v>9514</v>
      </c>
      <c r="H11" s="309">
        <v>12371</v>
      </c>
    </row>
    <row r="12" spans="1:10" ht="30" customHeight="1" x14ac:dyDescent="0.2">
      <c r="A12" s="55">
        <v>4</v>
      </c>
      <c r="B12" s="645">
        <v>4</v>
      </c>
      <c r="C12" s="293"/>
      <c r="D12" s="797" t="s">
        <v>484</v>
      </c>
      <c r="E12" s="296">
        <v>10994</v>
      </c>
      <c r="F12" s="296">
        <v>10020</v>
      </c>
      <c r="G12" s="296">
        <v>8264</v>
      </c>
      <c r="H12" s="309">
        <v>12961</v>
      </c>
    </row>
    <row r="13" spans="1:10" ht="30" customHeight="1" x14ac:dyDescent="0.2">
      <c r="A13" s="55">
        <v>5</v>
      </c>
      <c r="B13" s="645">
        <v>5</v>
      </c>
      <c r="C13" s="293"/>
      <c r="D13" s="797" t="s">
        <v>485</v>
      </c>
      <c r="E13" s="296">
        <v>17279</v>
      </c>
      <c r="F13" s="296">
        <v>18635</v>
      </c>
      <c r="G13" s="296">
        <v>14426</v>
      </c>
      <c r="H13" s="309">
        <v>17622</v>
      </c>
    </row>
    <row r="14" spans="1:10" ht="30" customHeight="1" thickBot="1" x14ac:dyDescent="0.25">
      <c r="A14" s="55">
        <v>6</v>
      </c>
      <c r="B14" s="645">
        <v>6</v>
      </c>
      <c r="C14" s="319"/>
      <c r="D14" s="798" t="s">
        <v>364</v>
      </c>
      <c r="E14" s="320">
        <v>4464</v>
      </c>
      <c r="F14" s="320">
        <v>5441</v>
      </c>
      <c r="G14" s="320">
        <v>5191</v>
      </c>
      <c r="H14" s="321">
        <v>5471</v>
      </c>
    </row>
    <row r="15" spans="1:10" s="312" customFormat="1" ht="30" customHeight="1" thickBot="1" x14ac:dyDescent="0.25">
      <c r="A15" s="55">
        <v>7</v>
      </c>
      <c r="B15" s="646"/>
      <c r="C15" s="422"/>
      <c r="D15" s="800" t="s">
        <v>497</v>
      </c>
      <c r="E15" s="422">
        <f>SUM(E9:E14)</f>
        <v>61037</v>
      </c>
      <c r="F15" s="422">
        <f>SUM(F9:F14)</f>
        <v>66133</v>
      </c>
      <c r="G15" s="422">
        <f>SUM(G9:G14)</f>
        <v>47045</v>
      </c>
      <c r="H15" s="660">
        <f>SUM(H9:H14)</f>
        <v>61235</v>
      </c>
    </row>
    <row r="16" spans="1:10" ht="30" customHeight="1" x14ac:dyDescent="0.2">
      <c r="A16" s="55">
        <v>8</v>
      </c>
      <c r="B16" s="645">
        <v>7</v>
      </c>
      <c r="C16" s="322"/>
      <c r="D16" s="799" t="s">
        <v>343</v>
      </c>
      <c r="E16" s="306">
        <v>23407</v>
      </c>
      <c r="F16" s="306">
        <v>21777</v>
      </c>
      <c r="G16" s="306">
        <v>21493</v>
      </c>
      <c r="H16" s="315">
        <v>20992</v>
      </c>
    </row>
    <row r="17" spans="1:10" ht="30" customHeight="1" x14ac:dyDescent="0.2">
      <c r="A17" s="55">
        <v>9</v>
      </c>
      <c r="B17" s="645">
        <v>8</v>
      </c>
      <c r="C17" s="319"/>
      <c r="D17" s="797" t="s">
        <v>116</v>
      </c>
      <c r="E17" s="320">
        <v>15109</v>
      </c>
      <c r="F17" s="320">
        <v>13800</v>
      </c>
      <c r="G17" s="320">
        <v>9656</v>
      </c>
      <c r="H17" s="321">
        <v>14100</v>
      </c>
    </row>
    <row r="18" spans="1:10" ht="30" customHeight="1" thickBot="1" x14ac:dyDescent="0.25">
      <c r="A18" s="55">
        <v>10</v>
      </c>
      <c r="B18" s="645">
        <v>9</v>
      </c>
      <c r="C18" s="319"/>
      <c r="D18" s="798" t="s">
        <v>435</v>
      </c>
      <c r="E18" s="320">
        <v>2909</v>
      </c>
      <c r="F18" s="320">
        <v>1800</v>
      </c>
      <c r="G18" s="320">
        <v>2937</v>
      </c>
      <c r="H18" s="321">
        <v>1800</v>
      </c>
    </row>
    <row r="19" spans="1:10" s="312" customFormat="1" ht="30" customHeight="1" thickBot="1" x14ac:dyDescent="0.25">
      <c r="A19" s="55">
        <v>11</v>
      </c>
      <c r="B19" s="646"/>
      <c r="C19" s="422"/>
      <c r="D19" s="800" t="s">
        <v>498</v>
      </c>
      <c r="E19" s="422">
        <f>SUM(E16:E18)</f>
        <v>41425</v>
      </c>
      <c r="F19" s="422">
        <f>SUM(F16:F18)</f>
        <v>37377</v>
      </c>
      <c r="G19" s="422">
        <f>SUM(G16:G18)</f>
        <v>34086</v>
      </c>
      <c r="H19" s="660">
        <f>SUM(H16:H18)</f>
        <v>36892</v>
      </c>
    </row>
    <row r="20" spans="1:10" ht="30" customHeight="1" x14ac:dyDescent="0.2">
      <c r="A20" s="55">
        <v>12</v>
      </c>
      <c r="B20" s="645">
        <v>10</v>
      </c>
      <c r="C20" s="322"/>
      <c r="D20" s="743" t="s">
        <v>437</v>
      </c>
      <c r="E20" s="306">
        <v>43824</v>
      </c>
      <c r="F20" s="306">
        <v>39412</v>
      </c>
      <c r="G20" s="306">
        <v>24647</v>
      </c>
      <c r="H20" s="315">
        <v>35916</v>
      </c>
    </row>
    <row r="21" spans="1:10" ht="30" customHeight="1" x14ac:dyDescent="0.2">
      <c r="A21" s="55">
        <v>13</v>
      </c>
      <c r="B21" s="647">
        <v>11</v>
      </c>
      <c r="C21" s="293"/>
      <c r="D21" s="740" t="s">
        <v>428</v>
      </c>
      <c r="E21" s="296">
        <v>8889</v>
      </c>
      <c r="F21" s="296">
        <v>9529</v>
      </c>
      <c r="G21" s="296">
        <v>5799</v>
      </c>
      <c r="H21" s="309">
        <v>11431</v>
      </c>
    </row>
    <row r="22" spans="1:10" ht="30" customHeight="1" x14ac:dyDescent="0.2">
      <c r="A22" s="55">
        <v>14</v>
      </c>
      <c r="B22" s="645">
        <v>12</v>
      </c>
      <c r="C22" s="293"/>
      <c r="D22" s="742" t="s">
        <v>25</v>
      </c>
      <c r="E22" s="296">
        <v>31157</v>
      </c>
      <c r="F22" s="296">
        <v>21200</v>
      </c>
      <c r="G22" s="296">
        <v>29249</v>
      </c>
      <c r="H22" s="309">
        <v>21200</v>
      </c>
    </row>
    <row r="23" spans="1:10" ht="30" customHeight="1" x14ac:dyDescent="0.2">
      <c r="A23" s="55">
        <v>15</v>
      </c>
      <c r="B23" s="645">
        <v>13</v>
      </c>
      <c r="C23" s="293"/>
      <c r="D23" s="742" t="s">
        <v>32</v>
      </c>
      <c r="E23" s="296">
        <v>200194</v>
      </c>
      <c r="F23" s="296">
        <v>209389</v>
      </c>
      <c r="G23" s="296">
        <v>185069</v>
      </c>
      <c r="H23" s="309">
        <v>116709</v>
      </c>
    </row>
    <row r="24" spans="1:10" ht="30" customHeight="1" x14ac:dyDescent="0.2">
      <c r="A24" s="55">
        <v>16</v>
      </c>
      <c r="B24" s="645">
        <v>14</v>
      </c>
      <c r="C24" s="295"/>
      <c r="D24" s="740" t="s">
        <v>429</v>
      </c>
      <c r="E24" s="296">
        <v>25393</v>
      </c>
      <c r="F24" s="296">
        <f>30270</f>
        <v>30270</v>
      </c>
      <c r="G24" s="296">
        <f>9171+228</f>
        <v>9399</v>
      </c>
      <c r="H24" s="309">
        <v>16185</v>
      </c>
    </row>
    <row r="25" spans="1:10" ht="30" customHeight="1" thickBot="1" x14ac:dyDescent="0.25">
      <c r="A25" s="55">
        <v>17</v>
      </c>
      <c r="B25" s="645">
        <v>15</v>
      </c>
      <c r="C25" s="319"/>
      <c r="D25" s="741" t="s">
        <v>148</v>
      </c>
      <c r="E25" s="320">
        <v>303830</v>
      </c>
      <c r="F25" s="320">
        <v>205000</v>
      </c>
      <c r="G25" s="320">
        <v>122522</v>
      </c>
      <c r="H25" s="321">
        <v>127760</v>
      </c>
    </row>
    <row r="26" spans="1:10" s="312" customFormat="1" ht="30" customHeight="1" thickBot="1" x14ac:dyDescent="0.25">
      <c r="A26" s="55">
        <v>18</v>
      </c>
      <c r="B26" s="646"/>
      <c r="C26" s="422"/>
      <c r="D26" s="800" t="s">
        <v>499</v>
      </c>
      <c r="E26" s="422">
        <f>SUM(E20:E25)</f>
        <v>613287</v>
      </c>
      <c r="F26" s="422">
        <f>SUM(F20:F25)</f>
        <v>514800</v>
      </c>
      <c r="G26" s="422">
        <f>SUM(G20:G25)</f>
        <v>376685</v>
      </c>
      <c r="H26" s="660">
        <f>SUM(H20:H25)</f>
        <v>329201</v>
      </c>
    </row>
    <row r="27" spans="1:10" s="51" customFormat="1" ht="30" customHeight="1" thickBot="1" x14ac:dyDescent="0.25">
      <c r="A27" s="55">
        <v>19</v>
      </c>
      <c r="B27" s="650">
        <v>16</v>
      </c>
      <c r="C27" s="648"/>
      <c r="D27" s="801" t="s">
        <v>259</v>
      </c>
      <c r="E27" s="665">
        <v>386604</v>
      </c>
      <c r="F27" s="665">
        <v>410302</v>
      </c>
      <c r="G27" s="665">
        <v>289834</v>
      </c>
      <c r="H27" s="323">
        <v>346280</v>
      </c>
    </row>
    <row r="28" spans="1:10" ht="33" customHeight="1" thickBot="1" x14ac:dyDescent="0.25">
      <c r="A28" s="55">
        <v>20</v>
      </c>
      <c r="B28" s="1947" t="s">
        <v>149</v>
      </c>
      <c r="C28" s="1948"/>
      <c r="D28" s="1949"/>
      <c r="E28" s="421">
        <f>SUM(E15,E19,E26,E27)</f>
        <v>1102353</v>
      </c>
      <c r="F28" s="421">
        <f>SUM(F15,F19,F26,F27)</f>
        <v>1028612</v>
      </c>
      <c r="G28" s="421">
        <f>SUM(G15,G19,G26,G27)</f>
        <v>747650</v>
      </c>
      <c r="H28" s="324">
        <f>SUM(H15,H19,H26,H27)</f>
        <v>773608</v>
      </c>
      <c r="I28" s="42"/>
      <c r="J28" s="42"/>
    </row>
    <row r="29" spans="1:10" ht="33" customHeight="1" thickBot="1" x14ac:dyDescent="0.25">
      <c r="A29" s="55">
        <v>21</v>
      </c>
      <c r="B29" s="325">
        <v>17</v>
      </c>
      <c r="C29" s="651"/>
      <c r="D29" s="651" t="s">
        <v>150</v>
      </c>
      <c r="E29" s="665">
        <v>9526</v>
      </c>
      <c r="F29" s="665"/>
      <c r="G29" s="665">
        <v>7335</v>
      </c>
      <c r="H29" s="323">
        <v>4445</v>
      </c>
      <c r="I29" s="42"/>
      <c r="J29" s="42"/>
    </row>
    <row r="30" spans="1:10" ht="33" customHeight="1" thickTop="1" thickBot="1" x14ac:dyDescent="0.25">
      <c r="A30" s="55">
        <v>22</v>
      </c>
      <c r="B30" s="1950" t="s">
        <v>13</v>
      </c>
      <c r="C30" s="1951"/>
      <c r="D30" s="1952"/>
      <c r="E30" s="666">
        <f>SUM(E28,E29)</f>
        <v>1111879</v>
      </c>
      <c r="F30" s="666">
        <f>SUM(F28,F29)</f>
        <v>1028612</v>
      </c>
      <c r="G30" s="666">
        <f>SUM(G28,G29)</f>
        <v>754985</v>
      </c>
      <c r="H30" s="326">
        <f>SUM(H28,H29)</f>
        <v>778053</v>
      </c>
      <c r="I30" s="42"/>
      <c r="J30" s="42"/>
    </row>
    <row r="31" spans="1:10" x14ac:dyDescent="0.2">
      <c r="E31" s="597">
        <f>+E30-'1.Onbe'!G31</f>
        <v>0</v>
      </c>
      <c r="F31" s="597">
        <f>+F30-'1.Onbe'!H31</f>
        <v>0</v>
      </c>
      <c r="G31" s="597">
        <f>+G30-'1.Onbe'!I31</f>
        <v>0</v>
      </c>
      <c r="H31" s="597">
        <f>+H30-'1.Onbe'!J31</f>
        <v>-79962</v>
      </c>
    </row>
  </sheetData>
  <mergeCells count="13">
    <mergeCell ref="G7:G8"/>
    <mergeCell ref="H7:H8"/>
    <mergeCell ref="B28:D28"/>
    <mergeCell ref="B30:D30"/>
    <mergeCell ref="B1:D1"/>
    <mergeCell ref="B3:H3"/>
    <mergeCell ref="B4:H4"/>
    <mergeCell ref="B7:B8"/>
    <mergeCell ref="C7:C8"/>
    <mergeCell ref="D7:D8"/>
    <mergeCell ref="E7:E8"/>
    <mergeCell ref="F7:F8"/>
    <mergeCell ref="B2:F2"/>
  </mergeCells>
  <printOptions horizontalCentered="1"/>
  <pageMargins left="0.19685039370078741" right="0.19685039370078741" top="0.59055118110236227" bottom="0.59055118110236227" header="0.51181102362204722" footer="0.51181102362204722"/>
  <pageSetup paperSize="9" scale="85" fitToHeight="0" orientation="portrait" verticalDpi="300" r:id="rId1"/>
  <headerFooter alignWithMargins="0">
    <oddFooter>&amp;C- &amp;P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56"/>
  <sheetViews>
    <sheetView view="pageBreakPreview" zoomScale="85" zoomScaleNormal="100" zoomScaleSheetLayoutView="85" workbookViewId="0">
      <selection activeCell="B2" sqref="B2:F2"/>
    </sheetView>
  </sheetViews>
  <sheetFormatPr defaultColWidth="9.140625" defaultRowHeight="15" x14ac:dyDescent="0.3"/>
  <cols>
    <col min="1" max="1" width="3.7109375" style="55" customWidth="1"/>
    <col min="2" max="2" width="5.5703125" style="56" customWidth="1"/>
    <col min="3" max="3" width="5.7109375" style="56" customWidth="1"/>
    <col min="4" max="4" width="4.7109375" style="56" customWidth="1"/>
    <col min="5" max="5" width="60.7109375" style="47" customWidth="1"/>
    <col min="6" max="6" width="6.7109375" style="265" customWidth="1"/>
    <col min="7" max="9" width="10.7109375" style="266" customWidth="1"/>
    <col min="10" max="10" width="13.7109375" style="150" customWidth="1"/>
    <col min="11" max="18" width="14.7109375" style="266" customWidth="1"/>
    <col min="19" max="19" width="9.5703125" style="266" bestFit="1" customWidth="1"/>
    <col min="20" max="31" width="9.140625" style="266"/>
    <col min="32" max="16384" width="9.140625" style="267"/>
  </cols>
  <sheetData>
    <row r="1" spans="1:31" s="661" customFormat="1" ht="18" customHeight="1" x14ac:dyDescent="0.2">
      <c r="A1" s="55"/>
      <c r="B1" s="1953" t="s">
        <v>906</v>
      </c>
      <c r="C1" s="1953"/>
      <c r="D1" s="1953"/>
      <c r="E1" s="1953"/>
      <c r="F1" s="1953"/>
      <c r="G1" s="1953"/>
      <c r="H1" s="428"/>
      <c r="I1" s="428"/>
      <c r="J1" s="429"/>
      <c r="K1" s="428"/>
      <c r="L1" s="428"/>
      <c r="M1" s="428"/>
      <c r="N1" s="428"/>
      <c r="O1" s="428"/>
      <c r="P1" s="428"/>
      <c r="Q1" s="428"/>
      <c r="R1" s="428"/>
      <c r="S1" s="428"/>
      <c r="T1" s="428"/>
      <c r="U1" s="428"/>
      <c r="V1" s="428"/>
      <c r="W1" s="428"/>
      <c r="X1" s="428"/>
      <c r="Y1" s="428"/>
      <c r="Z1" s="428"/>
      <c r="AA1" s="428"/>
      <c r="AB1" s="428"/>
      <c r="AC1" s="428"/>
      <c r="AD1" s="428"/>
      <c r="AE1" s="428"/>
    </row>
    <row r="2" spans="1:31" s="141" customFormat="1" ht="16.5" x14ac:dyDescent="0.3">
      <c r="A2" s="126"/>
      <c r="B2" s="1896"/>
      <c r="C2" s="1896"/>
      <c r="D2" s="1896"/>
      <c r="E2" s="1896"/>
      <c r="F2" s="1896"/>
      <c r="G2" s="118"/>
      <c r="H2" s="118"/>
      <c r="I2" s="118"/>
      <c r="J2" s="282"/>
    </row>
    <row r="3" spans="1:31" s="661" customFormat="1" ht="24.75" customHeight="1" x14ac:dyDescent="0.2">
      <c r="A3" s="55"/>
      <c r="B3" s="1917" t="s">
        <v>133</v>
      </c>
      <c r="C3" s="1917"/>
      <c r="D3" s="1917"/>
      <c r="E3" s="1917"/>
      <c r="F3" s="1917"/>
      <c r="G3" s="1917"/>
      <c r="H3" s="1917"/>
      <c r="I3" s="1917"/>
      <c r="J3" s="1917"/>
      <c r="K3" s="1917"/>
      <c r="L3" s="1917"/>
      <c r="M3" s="1917"/>
      <c r="N3" s="1917"/>
      <c r="O3" s="1917"/>
      <c r="P3" s="1917"/>
      <c r="Q3" s="1917"/>
      <c r="R3" s="1917"/>
      <c r="S3" s="428"/>
      <c r="T3" s="428"/>
      <c r="U3" s="428"/>
      <c r="V3" s="428"/>
      <c r="W3" s="428"/>
      <c r="X3" s="428"/>
      <c r="Y3" s="428"/>
      <c r="Z3" s="428"/>
      <c r="AA3" s="428"/>
      <c r="AB3" s="428"/>
      <c r="AC3" s="428"/>
      <c r="AD3" s="428"/>
      <c r="AE3" s="428"/>
    </row>
    <row r="4" spans="1:31" s="661" customFormat="1" ht="24.75" customHeight="1" x14ac:dyDescent="0.2">
      <c r="A4" s="55"/>
      <c r="B4" s="1917" t="s">
        <v>639</v>
      </c>
      <c r="C4" s="1917"/>
      <c r="D4" s="1917"/>
      <c r="E4" s="1917"/>
      <c r="F4" s="1917"/>
      <c r="G4" s="1917"/>
      <c r="H4" s="1917"/>
      <c r="I4" s="1917"/>
      <c r="J4" s="1917"/>
      <c r="K4" s="1917"/>
      <c r="L4" s="1917"/>
      <c r="M4" s="1917"/>
      <c r="N4" s="1917"/>
      <c r="O4" s="1917"/>
      <c r="P4" s="1917"/>
      <c r="Q4" s="1917"/>
      <c r="R4" s="1917"/>
      <c r="S4" s="428"/>
      <c r="T4" s="428"/>
      <c r="U4" s="428"/>
      <c r="V4" s="428"/>
      <c r="W4" s="428"/>
      <c r="X4" s="428"/>
      <c r="Y4" s="428"/>
      <c r="Z4" s="428"/>
      <c r="AA4" s="428"/>
      <c r="AB4" s="428"/>
      <c r="AC4" s="428"/>
      <c r="AD4" s="428"/>
      <c r="AE4" s="428"/>
    </row>
    <row r="5" spans="1:31" ht="18" customHeight="1" x14ac:dyDescent="0.3">
      <c r="Q5" s="1974" t="s">
        <v>0</v>
      </c>
      <c r="R5" s="1974"/>
    </row>
    <row r="6" spans="1:31" s="55" customFormat="1" ht="18" customHeight="1" thickBot="1" x14ac:dyDescent="0.25">
      <c r="B6" s="55" t="s">
        <v>1</v>
      </c>
      <c r="C6" s="55" t="s">
        <v>3</v>
      </c>
      <c r="D6" s="1919" t="s">
        <v>2</v>
      </c>
      <c r="E6" s="1919"/>
      <c r="F6" s="55" t="s">
        <v>4</v>
      </c>
      <c r="G6" s="55" t="s">
        <v>5</v>
      </c>
      <c r="H6" s="55" t="s">
        <v>15</v>
      </c>
      <c r="I6" s="55" t="s">
        <v>16</v>
      </c>
      <c r="J6" s="55" t="s">
        <v>17</v>
      </c>
      <c r="K6" s="55" t="s">
        <v>34</v>
      </c>
      <c r="L6" s="55" t="s">
        <v>30</v>
      </c>
      <c r="M6" s="55" t="s">
        <v>23</v>
      </c>
      <c r="N6" s="55" t="s">
        <v>35</v>
      </c>
      <c r="O6" s="55" t="s">
        <v>36</v>
      </c>
      <c r="P6" s="55" t="s">
        <v>151</v>
      </c>
      <c r="Q6" s="55" t="s">
        <v>152</v>
      </c>
      <c r="R6" s="55" t="s">
        <v>153</v>
      </c>
    </row>
    <row r="7" spans="1:31" s="265" customFormat="1" ht="30" customHeight="1" x14ac:dyDescent="0.3">
      <c r="A7" s="55"/>
      <c r="B7" s="1923" t="s">
        <v>18</v>
      </c>
      <c r="C7" s="1954" t="s">
        <v>19</v>
      </c>
      <c r="D7" s="1927" t="s">
        <v>6</v>
      </c>
      <c r="E7" s="1966"/>
      <c r="F7" s="1968" t="s">
        <v>20</v>
      </c>
      <c r="G7" s="1945" t="s">
        <v>610</v>
      </c>
      <c r="H7" s="1945" t="s">
        <v>636</v>
      </c>
      <c r="I7" s="1970" t="s">
        <v>727</v>
      </c>
      <c r="J7" s="1972" t="s">
        <v>646</v>
      </c>
      <c r="K7" s="1962" t="s">
        <v>37</v>
      </c>
      <c r="L7" s="1963"/>
      <c r="M7" s="1963"/>
      <c r="N7" s="1963"/>
      <c r="O7" s="1964"/>
      <c r="P7" s="1965" t="s">
        <v>154</v>
      </c>
      <c r="Q7" s="1965"/>
      <c r="R7" s="1965"/>
    </row>
    <row r="8" spans="1:31" s="265" customFormat="1" ht="60.75" customHeight="1" thickBot="1" x14ac:dyDescent="0.35">
      <c r="A8" s="55"/>
      <c r="B8" s="1924"/>
      <c r="C8" s="1977"/>
      <c r="D8" s="1929"/>
      <c r="E8" s="1967"/>
      <c r="F8" s="1969"/>
      <c r="G8" s="1946"/>
      <c r="H8" s="1946"/>
      <c r="I8" s="1971"/>
      <c r="J8" s="1973"/>
      <c r="K8" s="1371" t="s">
        <v>38</v>
      </c>
      <c r="L8" s="1371" t="s">
        <v>39</v>
      </c>
      <c r="M8" s="1371" t="s">
        <v>40</v>
      </c>
      <c r="N8" s="1371" t="s">
        <v>211</v>
      </c>
      <c r="O8" s="1371" t="s">
        <v>41</v>
      </c>
      <c r="P8" s="58" t="s">
        <v>219</v>
      </c>
      <c r="Q8" s="1371" t="s">
        <v>220</v>
      </c>
      <c r="R8" s="1371" t="s">
        <v>155</v>
      </c>
    </row>
    <row r="9" spans="1:31" s="48" customFormat="1" x14ac:dyDescent="0.3">
      <c r="A9" s="124">
        <v>1</v>
      </c>
      <c r="B9" s="304">
        <v>1</v>
      </c>
      <c r="C9" s="655"/>
      <c r="D9" s="1975" t="s">
        <v>295</v>
      </c>
      <c r="E9" s="1976"/>
      <c r="F9" s="432" t="s">
        <v>23</v>
      </c>
      <c r="G9" s="316">
        <v>212753</v>
      </c>
      <c r="H9" s="316">
        <v>213625</v>
      </c>
      <c r="I9" s="433">
        <v>204045</v>
      </c>
      <c r="J9" s="656"/>
      <c r="K9" s="316"/>
      <c r="L9" s="316"/>
      <c r="M9" s="316"/>
      <c r="N9" s="316"/>
      <c r="O9" s="316"/>
      <c r="P9" s="316"/>
      <c r="Q9" s="316"/>
      <c r="R9" s="33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</row>
    <row r="10" spans="1:31" s="48" customFormat="1" x14ac:dyDescent="0.3">
      <c r="A10" s="124">
        <v>2</v>
      </c>
      <c r="B10" s="290"/>
      <c r="C10" s="653"/>
      <c r="D10" s="1920" t="s">
        <v>317</v>
      </c>
      <c r="E10" s="1921"/>
      <c r="F10" s="115"/>
      <c r="G10" s="115"/>
      <c r="H10" s="115"/>
      <c r="I10" s="333"/>
      <c r="J10" s="336"/>
      <c r="K10" s="115"/>
      <c r="L10" s="115"/>
      <c r="M10" s="115"/>
      <c r="N10" s="115"/>
      <c r="O10" s="115"/>
      <c r="P10" s="115"/>
      <c r="Q10" s="115"/>
      <c r="R10" s="12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</row>
    <row r="11" spans="1:31" s="809" customFormat="1" x14ac:dyDescent="0.3">
      <c r="A11" s="124">
        <v>3</v>
      </c>
      <c r="B11" s="757"/>
      <c r="C11" s="802"/>
      <c r="D11" s="802"/>
      <c r="E11" s="803" t="s">
        <v>292</v>
      </c>
      <c r="F11" s="779"/>
      <c r="G11" s="779"/>
      <c r="H11" s="779"/>
      <c r="I11" s="804"/>
      <c r="J11" s="805">
        <f>SUM(K11:R11)</f>
        <v>228773</v>
      </c>
      <c r="K11" s="806">
        <v>145314</v>
      </c>
      <c r="L11" s="806">
        <v>25560</v>
      </c>
      <c r="M11" s="806">
        <v>52787</v>
      </c>
      <c r="N11" s="806"/>
      <c r="O11" s="806"/>
      <c r="P11" s="806">
        <v>5112</v>
      </c>
      <c r="Q11" s="806"/>
      <c r="R11" s="807"/>
      <c r="S11" s="808"/>
      <c r="T11" s="808"/>
      <c r="U11" s="808"/>
      <c r="V11" s="808"/>
      <c r="W11" s="808"/>
      <c r="X11" s="808"/>
      <c r="Y11" s="808"/>
      <c r="Z11" s="808"/>
      <c r="AA11" s="808"/>
      <c r="AB11" s="808"/>
      <c r="AC11" s="808"/>
      <c r="AD11" s="808"/>
      <c r="AE11" s="808"/>
    </row>
    <row r="12" spans="1:31" s="52" customFormat="1" x14ac:dyDescent="0.3">
      <c r="A12" s="124">
        <v>4</v>
      </c>
      <c r="B12" s="757"/>
      <c r="C12" s="802"/>
      <c r="D12" s="802"/>
      <c r="E12" s="1499" t="s">
        <v>926</v>
      </c>
      <c r="F12" s="779"/>
      <c r="G12" s="779"/>
      <c r="H12" s="779"/>
      <c r="I12" s="804"/>
      <c r="J12" s="1500">
        <f t="shared" ref="J12:J13" si="0">SUM(K12:R12)</f>
        <v>8615</v>
      </c>
      <c r="K12" s="340">
        <v>2000</v>
      </c>
      <c r="L12" s="340">
        <v>615</v>
      </c>
      <c r="M12" s="340">
        <v>5112</v>
      </c>
      <c r="N12" s="340"/>
      <c r="O12" s="340"/>
      <c r="P12" s="340">
        <v>888</v>
      </c>
      <c r="Q12" s="1501"/>
      <c r="R12" s="1502"/>
      <c r="S12" s="268"/>
      <c r="T12" s="268"/>
      <c r="U12" s="268"/>
      <c r="V12" s="268"/>
      <c r="W12" s="268"/>
      <c r="X12" s="268"/>
      <c r="Y12" s="268"/>
      <c r="Z12" s="268"/>
      <c r="AA12" s="268"/>
      <c r="AB12" s="268"/>
      <c r="AC12" s="268"/>
      <c r="AD12" s="268"/>
      <c r="AE12" s="268"/>
    </row>
    <row r="13" spans="1:31" s="48" customFormat="1" x14ac:dyDescent="0.3">
      <c r="A13" s="124">
        <v>5</v>
      </c>
      <c r="B13" s="757"/>
      <c r="C13" s="802"/>
      <c r="D13" s="802"/>
      <c r="E13" s="641" t="s">
        <v>927</v>
      </c>
      <c r="F13" s="779"/>
      <c r="G13" s="779"/>
      <c r="H13" s="779"/>
      <c r="I13" s="804"/>
      <c r="J13" s="336">
        <f t="shared" si="0"/>
        <v>237388</v>
      </c>
      <c r="K13" s="1503">
        <f>SUM(K11:K12)</f>
        <v>147314</v>
      </c>
      <c r="L13" s="1503">
        <f>SUM(L11:L12)</f>
        <v>26175</v>
      </c>
      <c r="M13" s="1503">
        <f>SUM(M11:M12)</f>
        <v>57899</v>
      </c>
      <c r="N13" s="1503"/>
      <c r="O13" s="1503"/>
      <c r="P13" s="1503">
        <f>SUM(P11:P12)</f>
        <v>6000</v>
      </c>
      <c r="Q13" s="1503"/>
      <c r="R13" s="1504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</row>
    <row r="14" spans="1:31" s="811" customFormat="1" x14ac:dyDescent="0.3">
      <c r="A14" s="124">
        <v>6</v>
      </c>
      <c r="B14" s="290">
        <v>2</v>
      </c>
      <c r="C14" s="653"/>
      <c r="D14" s="1911" t="s">
        <v>294</v>
      </c>
      <c r="E14" s="1912"/>
      <c r="F14" s="431" t="s">
        <v>23</v>
      </c>
      <c r="G14" s="115">
        <v>358902</v>
      </c>
      <c r="H14" s="115">
        <v>367090</v>
      </c>
      <c r="I14" s="333">
        <v>376590</v>
      </c>
      <c r="J14" s="336"/>
      <c r="K14" s="115"/>
      <c r="L14" s="115"/>
      <c r="M14" s="115"/>
      <c r="N14" s="115"/>
      <c r="O14" s="115"/>
      <c r="P14" s="115"/>
      <c r="Q14" s="115"/>
      <c r="R14" s="129"/>
      <c r="S14" s="810"/>
      <c r="T14" s="810"/>
      <c r="U14" s="810"/>
      <c r="V14" s="810"/>
      <c r="W14" s="810"/>
      <c r="X14" s="810"/>
      <c r="Y14" s="810"/>
      <c r="Z14" s="810"/>
      <c r="AA14" s="810"/>
      <c r="AB14" s="810"/>
      <c r="AC14" s="810"/>
      <c r="AD14" s="810"/>
      <c r="AE14" s="810"/>
    </row>
    <row r="15" spans="1:31" s="48" customFormat="1" x14ac:dyDescent="0.3">
      <c r="A15" s="124">
        <v>7</v>
      </c>
      <c r="B15" s="290"/>
      <c r="C15" s="653"/>
      <c r="D15" s="1920" t="s">
        <v>293</v>
      </c>
      <c r="E15" s="1921"/>
      <c r="F15" s="115"/>
      <c r="G15" s="115"/>
      <c r="H15" s="115"/>
      <c r="I15" s="333"/>
      <c r="J15" s="336"/>
      <c r="K15" s="115"/>
      <c r="L15" s="115"/>
      <c r="M15" s="115"/>
      <c r="N15" s="115"/>
      <c r="O15" s="115"/>
      <c r="P15" s="115"/>
      <c r="Q15" s="115"/>
      <c r="R15" s="12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</row>
    <row r="16" spans="1:31" s="45" customFormat="1" x14ac:dyDescent="0.3">
      <c r="A16" s="124">
        <v>8</v>
      </c>
      <c r="B16" s="757"/>
      <c r="C16" s="802"/>
      <c r="D16" s="802"/>
      <c r="E16" s="803" t="s">
        <v>292</v>
      </c>
      <c r="F16" s="779"/>
      <c r="G16" s="779"/>
      <c r="H16" s="779"/>
      <c r="I16" s="804"/>
      <c r="J16" s="805">
        <f>SUM(K16:R16)</f>
        <v>379260</v>
      </c>
      <c r="K16" s="806">
        <v>251787</v>
      </c>
      <c r="L16" s="806">
        <v>44952</v>
      </c>
      <c r="M16" s="806">
        <v>77711</v>
      </c>
      <c r="N16" s="806"/>
      <c r="O16" s="806"/>
      <c r="P16" s="806">
        <v>4810</v>
      </c>
      <c r="Q16" s="806"/>
      <c r="R16" s="807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</row>
    <row r="17" spans="1:31" s="809" customFormat="1" x14ac:dyDescent="0.3">
      <c r="A17" s="124">
        <v>9</v>
      </c>
      <c r="B17" s="757"/>
      <c r="C17" s="802"/>
      <c r="D17" s="802"/>
      <c r="E17" s="1499" t="s">
        <v>926</v>
      </c>
      <c r="F17" s="779"/>
      <c r="G17" s="779"/>
      <c r="H17" s="779"/>
      <c r="I17" s="804"/>
      <c r="J17" s="1500">
        <f t="shared" ref="J17:J18" si="1">SUM(K17:R17)</f>
        <v>9921</v>
      </c>
      <c r="K17" s="340">
        <v>3457</v>
      </c>
      <c r="L17" s="340">
        <v>465</v>
      </c>
      <c r="M17" s="340">
        <v>2499</v>
      </c>
      <c r="N17" s="340"/>
      <c r="O17" s="340"/>
      <c r="P17" s="340">
        <v>3500</v>
      </c>
      <c r="Q17" s="1503"/>
      <c r="R17" s="1504"/>
      <c r="S17" s="808"/>
      <c r="T17" s="808"/>
      <c r="U17" s="808"/>
      <c r="V17" s="808"/>
      <c r="W17" s="808"/>
      <c r="X17" s="808"/>
      <c r="Y17" s="808"/>
      <c r="Z17" s="808"/>
      <c r="AA17" s="808"/>
      <c r="AB17" s="808"/>
      <c r="AC17" s="808"/>
      <c r="AD17" s="808"/>
      <c r="AE17" s="808"/>
    </row>
    <row r="18" spans="1:31" s="48" customFormat="1" x14ac:dyDescent="0.3">
      <c r="A18" s="124">
        <v>10</v>
      </c>
      <c r="B18" s="757"/>
      <c r="C18" s="802"/>
      <c r="D18" s="802"/>
      <c r="E18" s="641" t="s">
        <v>927</v>
      </c>
      <c r="F18" s="779"/>
      <c r="G18" s="779"/>
      <c r="H18" s="779"/>
      <c r="I18" s="804"/>
      <c r="J18" s="336">
        <f t="shared" si="1"/>
        <v>389181</v>
      </c>
      <c r="K18" s="1503">
        <f>SUM(K16:K17)</f>
        <v>255244</v>
      </c>
      <c r="L18" s="1503">
        <f>SUM(L16:L17)</f>
        <v>45417</v>
      </c>
      <c r="M18" s="1503">
        <f>SUM(M16:M17)</f>
        <v>80210</v>
      </c>
      <c r="N18" s="1503"/>
      <c r="O18" s="1503"/>
      <c r="P18" s="1503">
        <f>SUM(P16:P17)</f>
        <v>8310</v>
      </c>
      <c r="Q18" s="1503"/>
      <c r="R18" s="1504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</row>
    <row r="19" spans="1:31" s="48" customFormat="1" x14ac:dyDescent="0.3">
      <c r="A19" s="124">
        <v>11</v>
      </c>
      <c r="B19" s="290">
        <v>3</v>
      </c>
      <c r="C19" s="653"/>
      <c r="D19" s="1911" t="s">
        <v>255</v>
      </c>
      <c r="E19" s="1912"/>
      <c r="F19" s="431" t="s">
        <v>23</v>
      </c>
      <c r="G19" s="115">
        <v>431030</v>
      </c>
      <c r="H19" s="115">
        <v>428960</v>
      </c>
      <c r="I19" s="333">
        <v>410352</v>
      </c>
      <c r="J19" s="336"/>
      <c r="K19" s="115"/>
      <c r="L19" s="115"/>
      <c r="M19" s="115"/>
      <c r="N19" s="115"/>
      <c r="O19" s="115"/>
      <c r="P19" s="115"/>
      <c r="Q19" s="115"/>
      <c r="R19" s="12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</row>
    <row r="20" spans="1:31" s="809" customFormat="1" x14ac:dyDescent="0.3">
      <c r="A20" s="124">
        <v>12</v>
      </c>
      <c r="B20" s="290"/>
      <c r="C20" s="653"/>
      <c r="D20" s="1920" t="s">
        <v>144</v>
      </c>
      <c r="E20" s="1921"/>
      <c r="F20" s="115"/>
      <c r="G20" s="115"/>
      <c r="H20" s="115"/>
      <c r="I20" s="333"/>
      <c r="J20" s="336"/>
      <c r="K20" s="115"/>
      <c r="L20" s="115"/>
      <c r="M20" s="115"/>
      <c r="N20" s="115"/>
      <c r="O20" s="115"/>
      <c r="P20" s="115"/>
      <c r="Q20" s="115"/>
      <c r="R20" s="129"/>
      <c r="S20" s="808"/>
      <c r="T20" s="808"/>
      <c r="U20" s="808"/>
      <c r="V20" s="808"/>
      <c r="W20" s="808"/>
      <c r="X20" s="808"/>
      <c r="Y20" s="808"/>
      <c r="Z20" s="808"/>
      <c r="AA20" s="808"/>
      <c r="AB20" s="808"/>
      <c r="AC20" s="808"/>
      <c r="AD20" s="808"/>
      <c r="AE20" s="808"/>
    </row>
    <row r="21" spans="1:31" s="52" customFormat="1" x14ac:dyDescent="0.3">
      <c r="A21" s="124">
        <v>13</v>
      </c>
      <c r="B21" s="757"/>
      <c r="C21" s="802"/>
      <c r="D21" s="802"/>
      <c r="E21" s="803" t="s">
        <v>292</v>
      </c>
      <c r="F21" s="779"/>
      <c r="G21" s="779"/>
      <c r="H21" s="779"/>
      <c r="I21" s="804"/>
      <c r="J21" s="805">
        <f>SUM(K21:R21)</f>
        <v>430451</v>
      </c>
      <c r="K21" s="806">
        <v>292892</v>
      </c>
      <c r="L21" s="806">
        <v>52138</v>
      </c>
      <c r="M21" s="806">
        <v>81928</v>
      </c>
      <c r="N21" s="806"/>
      <c r="O21" s="806"/>
      <c r="P21" s="806">
        <v>3493</v>
      </c>
      <c r="Q21" s="806"/>
      <c r="R21" s="807"/>
      <c r="S21" s="268"/>
      <c r="T21" s="268"/>
      <c r="U21" s="268"/>
      <c r="V21" s="268"/>
      <c r="W21" s="268"/>
      <c r="X21" s="268"/>
      <c r="Y21" s="268"/>
      <c r="Z21" s="268"/>
      <c r="AA21" s="268"/>
      <c r="AB21" s="268"/>
      <c r="AC21" s="268"/>
      <c r="AD21" s="268"/>
      <c r="AE21" s="268"/>
    </row>
    <row r="22" spans="1:31" s="48" customFormat="1" x14ac:dyDescent="0.3">
      <c r="A22" s="124">
        <v>14</v>
      </c>
      <c r="B22" s="757"/>
      <c r="C22" s="802"/>
      <c r="D22" s="802"/>
      <c r="E22" s="1499" t="s">
        <v>926</v>
      </c>
      <c r="F22" s="779"/>
      <c r="G22" s="779"/>
      <c r="H22" s="779"/>
      <c r="I22" s="804"/>
      <c r="J22" s="1500">
        <f t="shared" ref="J22:J23" si="2">SUM(K22:R22)</f>
        <v>12931</v>
      </c>
      <c r="K22" s="340">
        <v>5200</v>
      </c>
      <c r="L22" s="340">
        <v>800</v>
      </c>
      <c r="M22" s="340">
        <v>6931</v>
      </c>
      <c r="N22" s="806"/>
      <c r="O22" s="806"/>
      <c r="P22" s="806"/>
      <c r="Q22" s="806"/>
      <c r="R22" s="807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</row>
    <row r="23" spans="1:31" s="811" customFormat="1" x14ac:dyDescent="0.3">
      <c r="A23" s="124">
        <v>15</v>
      </c>
      <c r="B23" s="757"/>
      <c r="C23" s="802"/>
      <c r="D23" s="802"/>
      <c r="E23" s="641" t="s">
        <v>927</v>
      </c>
      <c r="F23" s="779"/>
      <c r="G23" s="779"/>
      <c r="H23" s="779"/>
      <c r="I23" s="804"/>
      <c r="J23" s="336">
        <f t="shared" si="2"/>
        <v>443382</v>
      </c>
      <c r="K23" s="1503">
        <f>SUM(K21:K22)</f>
        <v>298092</v>
      </c>
      <c r="L23" s="1503">
        <f>SUM(L21:L22)</f>
        <v>52938</v>
      </c>
      <c r="M23" s="1503">
        <f>SUM(M21:M22)</f>
        <v>88859</v>
      </c>
      <c r="N23" s="1503"/>
      <c r="O23" s="1503"/>
      <c r="P23" s="1503">
        <f>SUM(P21:P22)</f>
        <v>3493</v>
      </c>
      <c r="Q23" s="1503"/>
      <c r="R23" s="1504"/>
      <c r="S23" s="810"/>
      <c r="T23" s="810"/>
      <c r="U23" s="810"/>
      <c r="V23" s="810"/>
      <c r="W23" s="810"/>
      <c r="X23" s="810"/>
      <c r="Y23" s="810"/>
      <c r="Z23" s="810"/>
      <c r="AA23" s="810"/>
      <c r="AB23" s="810"/>
      <c r="AC23" s="810"/>
      <c r="AD23" s="810"/>
      <c r="AE23" s="810"/>
    </row>
    <row r="24" spans="1:31" s="49" customFormat="1" x14ac:dyDescent="0.3">
      <c r="A24" s="124">
        <v>16</v>
      </c>
      <c r="B24" s="290">
        <v>4</v>
      </c>
      <c r="C24" s="653"/>
      <c r="D24" s="1911" t="s">
        <v>256</v>
      </c>
      <c r="E24" s="1912"/>
      <c r="F24" s="431" t="s">
        <v>23</v>
      </c>
      <c r="G24" s="115">
        <v>318994</v>
      </c>
      <c r="H24" s="115">
        <v>319512</v>
      </c>
      <c r="I24" s="333">
        <v>314958</v>
      </c>
      <c r="J24" s="336"/>
      <c r="K24" s="115"/>
      <c r="L24" s="115"/>
      <c r="M24" s="115"/>
      <c r="N24" s="115"/>
      <c r="O24" s="115"/>
      <c r="P24" s="115"/>
      <c r="Q24" s="115"/>
      <c r="R24" s="129"/>
      <c r="S24" s="149"/>
      <c r="T24" s="149"/>
      <c r="U24" s="149"/>
      <c r="V24" s="149"/>
      <c r="W24" s="149"/>
      <c r="X24" s="149"/>
      <c r="Y24" s="149"/>
      <c r="Z24" s="149"/>
      <c r="AA24" s="149"/>
      <c r="AB24" s="149"/>
      <c r="AC24" s="149"/>
      <c r="AD24" s="149"/>
      <c r="AE24" s="149"/>
    </row>
    <row r="25" spans="1:31" s="52" customFormat="1" x14ac:dyDescent="0.3">
      <c r="A25" s="124">
        <v>17</v>
      </c>
      <c r="B25" s="290"/>
      <c r="C25" s="653"/>
      <c r="D25" s="1920" t="s">
        <v>145</v>
      </c>
      <c r="E25" s="1921"/>
      <c r="F25" s="115"/>
      <c r="G25" s="115"/>
      <c r="H25" s="115"/>
      <c r="I25" s="333"/>
      <c r="J25" s="336"/>
      <c r="K25" s="115"/>
      <c r="L25" s="115"/>
      <c r="M25" s="115"/>
      <c r="N25" s="115"/>
      <c r="O25" s="115"/>
      <c r="P25" s="115"/>
      <c r="Q25" s="115"/>
      <c r="R25" s="129"/>
      <c r="S25" s="268"/>
      <c r="T25" s="268"/>
      <c r="U25" s="268"/>
      <c r="V25" s="268"/>
      <c r="W25" s="268"/>
      <c r="X25" s="268"/>
      <c r="Y25" s="268"/>
      <c r="Z25" s="268"/>
      <c r="AA25" s="268"/>
      <c r="AB25" s="268"/>
      <c r="AC25" s="268"/>
      <c r="AD25" s="268"/>
      <c r="AE25" s="268"/>
    </row>
    <row r="26" spans="1:31" s="811" customFormat="1" x14ac:dyDescent="0.3">
      <c r="A26" s="124">
        <v>18</v>
      </c>
      <c r="B26" s="757"/>
      <c r="C26" s="802"/>
      <c r="D26" s="802"/>
      <c r="E26" s="803" t="s">
        <v>292</v>
      </c>
      <c r="F26" s="779"/>
      <c r="G26" s="779"/>
      <c r="H26" s="779"/>
      <c r="I26" s="804"/>
      <c r="J26" s="805">
        <f>SUM(K26:R26)</f>
        <v>340680</v>
      </c>
      <c r="K26" s="806">
        <v>231028</v>
      </c>
      <c r="L26" s="806">
        <v>41094</v>
      </c>
      <c r="M26" s="806">
        <v>65297</v>
      </c>
      <c r="N26" s="806"/>
      <c r="O26" s="806"/>
      <c r="P26" s="806">
        <v>3261</v>
      </c>
      <c r="Q26" s="806"/>
      <c r="R26" s="807"/>
      <c r="S26" s="810"/>
      <c r="T26" s="810"/>
      <c r="U26" s="810"/>
      <c r="V26" s="810"/>
      <c r="W26" s="810"/>
      <c r="X26" s="810"/>
      <c r="Y26" s="810"/>
      <c r="Z26" s="810"/>
      <c r="AA26" s="810"/>
      <c r="AB26" s="810"/>
      <c r="AC26" s="810"/>
      <c r="AD26" s="810"/>
      <c r="AE26" s="810"/>
    </row>
    <row r="27" spans="1:31" s="49" customFormat="1" x14ac:dyDescent="0.3">
      <c r="A27" s="124">
        <v>19</v>
      </c>
      <c r="B27" s="757"/>
      <c r="C27" s="802"/>
      <c r="D27" s="802"/>
      <c r="E27" s="1499" t="s">
        <v>926</v>
      </c>
      <c r="F27" s="779"/>
      <c r="G27" s="779"/>
      <c r="H27" s="779"/>
      <c r="I27" s="804"/>
      <c r="J27" s="1500">
        <f t="shared" ref="J27:J29" si="3">SUM(K27:R27)</f>
        <v>10116</v>
      </c>
      <c r="K27" s="340">
        <v>2420</v>
      </c>
      <c r="L27" s="340">
        <v>819</v>
      </c>
      <c r="M27" s="340">
        <v>6877</v>
      </c>
      <c r="N27" s="806"/>
      <c r="O27" s="806"/>
      <c r="P27" s="806"/>
      <c r="Q27" s="806"/>
      <c r="R27" s="807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</row>
    <row r="28" spans="1:31" s="809" customFormat="1" x14ac:dyDescent="0.3">
      <c r="A28" s="124">
        <v>20</v>
      </c>
      <c r="B28" s="757"/>
      <c r="C28" s="802"/>
      <c r="D28" s="802"/>
      <c r="E28" s="1499" t="s">
        <v>928</v>
      </c>
      <c r="F28" s="779"/>
      <c r="G28" s="779"/>
      <c r="H28" s="779"/>
      <c r="I28" s="804"/>
      <c r="J28" s="1500">
        <f t="shared" si="3"/>
        <v>579</v>
      </c>
      <c r="K28" s="806"/>
      <c r="L28" s="806"/>
      <c r="M28" s="340">
        <v>579</v>
      </c>
      <c r="N28" s="806"/>
      <c r="O28" s="806"/>
      <c r="P28" s="806"/>
      <c r="Q28" s="806"/>
      <c r="R28" s="807"/>
      <c r="S28" s="808"/>
      <c r="T28" s="808"/>
      <c r="U28" s="808"/>
      <c r="V28" s="808"/>
      <c r="W28" s="808"/>
      <c r="X28" s="808"/>
      <c r="Y28" s="808"/>
      <c r="Z28" s="808"/>
      <c r="AA28" s="808"/>
      <c r="AB28" s="808"/>
      <c r="AC28" s="808"/>
      <c r="AD28" s="808"/>
      <c r="AE28" s="808"/>
    </row>
    <row r="29" spans="1:31" s="53" customFormat="1" x14ac:dyDescent="0.3">
      <c r="A29" s="124">
        <v>21</v>
      </c>
      <c r="B29" s="757"/>
      <c r="C29" s="802"/>
      <c r="D29" s="802"/>
      <c r="E29" s="641" t="s">
        <v>927</v>
      </c>
      <c r="F29" s="779"/>
      <c r="G29" s="779"/>
      <c r="H29" s="779"/>
      <c r="I29" s="804"/>
      <c r="J29" s="336">
        <f t="shared" si="3"/>
        <v>351375</v>
      </c>
      <c r="K29" s="1503">
        <f>SUM(K26:K28)</f>
        <v>233448</v>
      </c>
      <c r="L29" s="1503">
        <f t="shared" ref="L29:P29" si="4">SUM(L26:L28)</f>
        <v>41913</v>
      </c>
      <c r="M29" s="1503">
        <f t="shared" si="4"/>
        <v>72753</v>
      </c>
      <c r="N29" s="1503"/>
      <c r="O29" s="1503"/>
      <c r="P29" s="1503">
        <f t="shared" si="4"/>
        <v>3261</v>
      </c>
      <c r="Q29" s="1503"/>
      <c r="R29" s="1504"/>
      <c r="S29" s="338"/>
      <c r="T29" s="338"/>
      <c r="U29" s="338"/>
      <c r="V29" s="338"/>
      <c r="W29" s="338"/>
      <c r="X29" s="338"/>
      <c r="Y29" s="338"/>
      <c r="Z29" s="338"/>
      <c r="AA29" s="338"/>
      <c r="AB29" s="338"/>
      <c r="AC29" s="338"/>
      <c r="AD29" s="338"/>
      <c r="AE29" s="338"/>
    </row>
    <row r="30" spans="1:31" s="809" customFormat="1" x14ac:dyDescent="0.3">
      <c r="A30" s="124">
        <v>22</v>
      </c>
      <c r="B30" s="290">
        <v>5</v>
      </c>
      <c r="C30" s="653"/>
      <c r="D30" s="1911" t="s">
        <v>257</v>
      </c>
      <c r="E30" s="1912"/>
      <c r="F30" s="431" t="s">
        <v>23</v>
      </c>
      <c r="G30" s="115">
        <v>350092</v>
      </c>
      <c r="H30" s="115">
        <v>341538</v>
      </c>
      <c r="I30" s="333">
        <v>343526</v>
      </c>
      <c r="J30" s="336"/>
      <c r="K30" s="115"/>
      <c r="L30" s="115"/>
      <c r="M30" s="115"/>
      <c r="N30" s="328"/>
      <c r="O30" s="328"/>
      <c r="P30" s="328"/>
      <c r="Q30" s="328"/>
      <c r="R30" s="329"/>
      <c r="S30" s="808"/>
      <c r="T30" s="808"/>
      <c r="U30" s="808"/>
      <c r="V30" s="808"/>
      <c r="W30" s="808"/>
      <c r="X30" s="808"/>
      <c r="Y30" s="808"/>
      <c r="Z30" s="808"/>
      <c r="AA30" s="808"/>
      <c r="AB30" s="808"/>
      <c r="AC30" s="808"/>
      <c r="AD30" s="808"/>
      <c r="AE30" s="808"/>
    </row>
    <row r="31" spans="1:31" s="49" customFormat="1" x14ac:dyDescent="0.3">
      <c r="A31" s="124">
        <v>23</v>
      </c>
      <c r="B31" s="290"/>
      <c r="C31" s="653"/>
      <c r="D31" s="1920" t="s">
        <v>146</v>
      </c>
      <c r="E31" s="1921"/>
      <c r="F31" s="115"/>
      <c r="G31" s="115"/>
      <c r="H31" s="115"/>
      <c r="I31" s="333"/>
      <c r="J31" s="336"/>
      <c r="K31" s="115"/>
      <c r="L31" s="115"/>
      <c r="M31" s="115"/>
      <c r="N31" s="328"/>
      <c r="O31" s="328"/>
      <c r="P31" s="328"/>
      <c r="Q31" s="328"/>
      <c r="R31" s="329"/>
      <c r="S31" s="149"/>
      <c r="T31" s="149"/>
      <c r="U31" s="149"/>
      <c r="V31" s="149"/>
      <c r="W31" s="149"/>
      <c r="X31" s="149"/>
      <c r="Y31" s="149"/>
      <c r="Z31" s="149"/>
      <c r="AA31" s="149"/>
      <c r="AB31" s="149"/>
      <c r="AC31" s="149"/>
      <c r="AD31" s="149"/>
      <c r="AE31" s="149"/>
    </row>
    <row r="32" spans="1:31" s="809" customFormat="1" x14ac:dyDescent="0.3">
      <c r="A32" s="124">
        <v>24</v>
      </c>
      <c r="B32" s="757"/>
      <c r="C32" s="802"/>
      <c r="D32" s="802"/>
      <c r="E32" s="803" t="s">
        <v>292</v>
      </c>
      <c r="F32" s="779"/>
      <c r="G32" s="779"/>
      <c r="H32" s="779"/>
      <c r="I32" s="804"/>
      <c r="J32" s="805">
        <f>SUM(K32:R32)</f>
        <v>362829</v>
      </c>
      <c r="K32" s="806">
        <v>226356</v>
      </c>
      <c r="L32" s="806">
        <v>40179</v>
      </c>
      <c r="M32" s="806">
        <v>88800</v>
      </c>
      <c r="N32" s="806"/>
      <c r="O32" s="806"/>
      <c r="P32" s="806">
        <v>7494</v>
      </c>
      <c r="Q32" s="806"/>
      <c r="R32" s="807"/>
      <c r="S32" s="808"/>
      <c r="T32" s="808"/>
      <c r="U32" s="808"/>
      <c r="V32" s="808"/>
      <c r="W32" s="808"/>
      <c r="X32" s="808"/>
      <c r="Y32" s="808"/>
      <c r="Z32" s="808"/>
      <c r="AA32" s="808"/>
      <c r="AB32" s="808"/>
      <c r="AC32" s="808"/>
      <c r="AD32" s="808"/>
      <c r="AE32" s="808"/>
    </row>
    <row r="33" spans="1:31" s="52" customFormat="1" x14ac:dyDescent="0.3">
      <c r="A33" s="124">
        <v>25</v>
      </c>
      <c r="B33" s="757"/>
      <c r="C33" s="802"/>
      <c r="D33" s="802"/>
      <c r="E33" s="1499" t="s">
        <v>926</v>
      </c>
      <c r="F33" s="779"/>
      <c r="G33" s="779"/>
      <c r="H33" s="779"/>
      <c r="I33" s="804"/>
      <c r="J33" s="1500">
        <f t="shared" ref="J33:J34" si="5">SUM(K33:R33)</f>
        <v>10762</v>
      </c>
      <c r="K33" s="340">
        <v>3001</v>
      </c>
      <c r="L33" s="340">
        <v>715</v>
      </c>
      <c r="M33" s="340">
        <v>5046</v>
      </c>
      <c r="N33" s="340"/>
      <c r="O33" s="340"/>
      <c r="P33" s="340">
        <v>2000</v>
      </c>
      <c r="Q33" s="806"/>
      <c r="R33" s="807"/>
      <c r="S33" s="268"/>
      <c r="T33" s="268"/>
      <c r="U33" s="268"/>
      <c r="V33" s="268"/>
      <c r="W33" s="268"/>
      <c r="X33" s="268"/>
      <c r="Y33" s="268"/>
      <c r="Z33" s="268"/>
      <c r="AA33" s="268"/>
      <c r="AB33" s="268"/>
      <c r="AC33" s="268"/>
      <c r="AD33" s="268"/>
      <c r="AE33" s="268"/>
    </row>
    <row r="34" spans="1:31" s="52" customFormat="1" x14ac:dyDescent="0.3">
      <c r="A34" s="124">
        <v>26</v>
      </c>
      <c r="B34" s="757"/>
      <c r="C34" s="802"/>
      <c r="D34" s="802"/>
      <c r="E34" s="641" t="s">
        <v>927</v>
      </c>
      <c r="F34" s="779"/>
      <c r="G34" s="779"/>
      <c r="H34" s="779"/>
      <c r="I34" s="804"/>
      <c r="J34" s="336">
        <f t="shared" si="5"/>
        <v>373591</v>
      </c>
      <c r="K34" s="1503">
        <f>SUM(K32:K33)</f>
        <v>229357</v>
      </c>
      <c r="L34" s="1503">
        <f>SUM(L32:L33)</f>
        <v>40894</v>
      </c>
      <c r="M34" s="1503">
        <f>SUM(M32:M33)</f>
        <v>93846</v>
      </c>
      <c r="N34" s="1503"/>
      <c r="O34" s="1503"/>
      <c r="P34" s="1503">
        <f>SUM(P32:P33)</f>
        <v>9494</v>
      </c>
      <c r="Q34" s="806"/>
      <c r="R34" s="807"/>
      <c r="S34" s="268"/>
      <c r="T34" s="268"/>
      <c r="U34" s="268"/>
      <c r="V34" s="268"/>
      <c r="W34" s="268"/>
      <c r="X34" s="268"/>
      <c r="Y34" s="268"/>
      <c r="Z34" s="268"/>
      <c r="AA34" s="268"/>
      <c r="AB34" s="268"/>
      <c r="AC34" s="268"/>
      <c r="AD34" s="268"/>
      <c r="AE34" s="268"/>
    </row>
    <row r="35" spans="1:31" s="767" customFormat="1" x14ac:dyDescent="0.3">
      <c r="A35" s="124">
        <v>27</v>
      </c>
      <c r="B35" s="290">
        <v>6</v>
      </c>
      <c r="C35" s="653"/>
      <c r="D35" s="1911" t="s">
        <v>258</v>
      </c>
      <c r="E35" s="1912"/>
      <c r="F35" s="431" t="s">
        <v>23</v>
      </c>
      <c r="G35" s="115">
        <v>168688</v>
      </c>
      <c r="H35" s="115">
        <v>172406</v>
      </c>
      <c r="I35" s="333">
        <v>171451</v>
      </c>
      <c r="J35" s="336"/>
      <c r="K35" s="115"/>
      <c r="L35" s="115"/>
      <c r="M35" s="115"/>
      <c r="N35" s="328"/>
      <c r="O35" s="328"/>
      <c r="P35" s="328"/>
      <c r="Q35" s="328"/>
      <c r="R35" s="329"/>
      <c r="S35" s="817"/>
      <c r="T35" s="817"/>
      <c r="U35" s="817"/>
      <c r="V35" s="817"/>
      <c r="W35" s="817"/>
      <c r="X35" s="817"/>
      <c r="Y35" s="817"/>
      <c r="Z35" s="817"/>
      <c r="AA35" s="817"/>
      <c r="AB35" s="817"/>
      <c r="AC35" s="817"/>
      <c r="AD35" s="817"/>
      <c r="AE35" s="817"/>
    </row>
    <row r="36" spans="1:31" s="52" customFormat="1" x14ac:dyDescent="0.3">
      <c r="A36" s="124">
        <v>28</v>
      </c>
      <c r="B36" s="290"/>
      <c r="C36" s="653"/>
      <c r="D36" s="1920" t="s">
        <v>147</v>
      </c>
      <c r="E36" s="1921"/>
      <c r="F36" s="115"/>
      <c r="G36" s="115"/>
      <c r="H36" s="115"/>
      <c r="I36" s="333"/>
      <c r="J36" s="336"/>
      <c r="K36" s="115"/>
      <c r="L36" s="115"/>
      <c r="M36" s="115"/>
      <c r="N36" s="328"/>
      <c r="O36" s="328"/>
      <c r="P36" s="328"/>
      <c r="Q36" s="328"/>
      <c r="R36" s="329"/>
      <c r="S36" s="268"/>
      <c r="T36" s="268"/>
      <c r="U36" s="268"/>
      <c r="V36" s="268"/>
      <c r="W36" s="268"/>
      <c r="X36" s="268"/>
      <c r="Y36" s="268"/>
      <c r="Z36" s="268"/>
      <c r="AA36" s="268"/>
      <c r="AB36" s="268"/>
      <c r="AC36" s="268"/>
      <c r="AD36" s="268"/>
      <c r="AE36" s="268"/>
    </row>
    <row r="37" spans="1:31" s="767" customFormat="1" x14ac:dyDescent="0.3">
      <c r="A37" s="124">
        <v>29</v>
      </c>
      <c r="B37" s="757"/>
      <c r="C37" s="802"/>
      <c r="D37" s="802"/>
      <c r="E37" s="803" t="s">
        <v>292</v>
      </c>
      <c r="F37" s="779"/>
      <c r="G37" s="779"/>
      <c r="H37" s="779"/>
      <c r="I37" s="804"/>
      <c r="J37" s="805">
        <f>SUM(K37:R37)</f>
        <v>206083</v>
      </c>
      <c r="K37" s="806">
        <v>130459</v>
      </c>
      <c r="L37" s="806">
        <v>23235</v>
      </c>
      <c r="M37" s="806">
        <v>39256</v>
      </c>
      <c r="N37" s="806"/>
      <c r="O37" s="806"/>
      <c r="P37" s="806">
        <v>13133</v>
      </c>
      <c r="Q37" s="806"/>
      <c r="R37" s="807"/>
      <c r="S37" s="817"/>
      <c r="T37" s="817"/>
      <c r="U37" s="817"/>
      <c r="V37" s="817"/>
      <c r="W37" s="817"/>
      <c r="X37" s="817"/>
      <c r="Y37" s="817"/>
      <c r="Z37" s="817"/>
      <c r="AA37" s="817"/>
      <c r="AB37" s="817"/>
      <c r="AC37" s="817"/>
      <c r="AD37" s="817"/>
      <c r="AE37" s="817"/>
    </row>
    <row r="38" spans="1:31" s="52" customFormat="1" x14ac:dyDescent="0.3">
      <c r="A38" s="124">
        <v>30</v>
      </c>
      <c r="B38" s="757"/>
      <c r="C38" s="802"/>
      <c r="D38" s="1505"/>
      <c r="E38" s="1499" t="s">
        <v>926</v>
      </c>
      <c r="F38" s="779"/>
      <c r="G38" s="779"/>
      <c r="H38" s="779"/>
      <c r="I38" s="804"/>
      <c r="J38" s="1500">
        <f t="shared" ref="J38:J39" si="6">SUM(K38:R38)</f>
        <v>2406</v>
      </c>
      <c r="K38" s="806"/>
      <c r="L38" s="806"/>
      <c r="M38" s="340">
        <v>2406</v>
      </c>
      <c r="N38" s="806"/>
      <c r="O38" s="806"/>
      <c r="P38" s="806"/>
      <c r="Q38" s="806"/>
      <c r="R38" s="807"/>
      <c r="S38" s="268"/>
      <c r="T38" s="268"/>
      <c r="U38" s="268"/>
      <c r="V38" s="268"/>
      <c r="W38" s="268"/>
      <c r="X38" s="268"/>
      <c r="Y38" s="268"/>
      <c r="Z38" s="268"/>
      <c r="AA38" s="268"/>
      <c r="AB38" s="268"/>
      <c r="AC38" s="268"/>
      <c r="AD38" s="268"/>
      <c r="AE38" s="268"/>
    </row>
    <row r="39" spans="1:31" s="190" customFormat="1" x14ac:dyDescent="0.3">
      <c r="A39" s="124">
        <v>31</v>
      </c>
      <c r="B39" s="757"/>
      <c r="C39" s="802"/>
      <c r="D39" s="1505"/>
      <c r="E39" s="641" t="s">
        <v>927</v>
      </c>
      <c r="F39" s="779"/>
      <c r="G39" s="779"/>
      <c r="H39" s="779"/>
      <c r="I39" s="804"/>
      <c r="J39" s="336">
        <f t="shared" si="6"/>
        <v>208489</v>
      </c>
      <c r="K39" s="1503">
        <f>SUM(K37:K38)</f>
        <v>130459</v>
      </c>
      <c r="L39" s="1503">
        <f>SUM(L37:L38)</f>
        <v>23235</v>
      </c>
      <c r="M39" s="1503">
        <f>SUM(M37:M38)</f>
        <v>41662</v>
      </c>
      <c r="N39" s="1503"/>
      <c r="O39" s="1503"/>
      <c r="P39" s="1503">
        <f>SUM(P37:P38)</f>
        <v>13133</v>
      </c>
      <c r="Q39" s="1503"/>
      <c r="R39" s="807"/>
      <c r="S39" s="338"/>
      <c r="T39" s="343"/>
      <c r="U39" s="343"/>
      <c r="V39" s="343"/>
      <c r="W39" s="343"/>
      <c r="X39" s="343"/>
      <c r="Y39" s="343"/>
      <c r="Z39" s="343"/>
      <c r="AA39" s="343"/>
      <c r="AB39" s="343"/>
      <c r="AC39" s="343"/>
      <c r="AD39" s="343"/>
      <c r="AE39" s="343"/>
    </row>
    <row r="40" spans="1:31" s="767" customFormat="1" x14ac:dyDescent="0.3">
      <c r="A40" s="124">
        <v>32</v>
      </c>
      <c r="B40" s="294"/>
      <c r="C40" s="653">
        <v>1</v>
      </c>
      <c r="D40" s="1920" t="s">
        <v>143</v>
      </c>
      <c r="E40" s="1921"/>
      <c r="F40" s="431"/>
      <c r="G40" s="115">
        <v>179</v>
      </c>
      <c r="H40" s="115">
        <v>2225</v>
      </c>
      <c r="I40" s="333">
        <v>0</v>
      </c>
      <c r="J40" s="335"/>
      <c r="K40" s="332"/>
      <c r="L40" s="332"/>
      <c r="M40" s="330"/>
      <c r="N40" s="330"/>
      <c r="O40" s="330"/>
      <c r="P40" s="330"/>
      <c r="Q40" s="330"/>
      <c r="R40" s="331"/>
      <c r="S40" s="817"/>
      <c r="T40" s="817"/>
      <c r="U40" s="817"/>
      <c r="V40" s="817"/>
      <c r="W40" s="817"/>
      <c r="X40" s="817"/>
      <c r="Y40" s="817"/>
      <c r="Z40" s="817"/>
      <c r="AA40" s="817"/>
      <c r="AB40" s="817"/>
      <c r="AC40" s="817"/>
      <c r="AD40" s="817"/>
      <c r="AE40" s="817"/>
    </row>
    <row r="41" spans="1:31" s="42" customFormat="1" ht="15.75" thickBot="1" x14ac:dyDescent="0.35">
      <c r="A41" s="124">
        <v>33</v>
      </c>
      <c r="B41" s="794"/>
      <c r="C41" s="812"/>
      <c r="D41" s="812"/>
      <c r="E41" s="796" t="s">
        <v>292</v>
      </c>
      <c r="F41" s="785"/>
      <c r="G41" s="785"/>
      <c r="H41" s="785"/>
      <c r="I41" s="813"/>
      <c r="J41" s="814">
        <f>SUM(K41:R41)</f>
        <v>0</v>
      </c>
      <c r="K41" s="815"/>
      <c r="L41" s="815"/>
      <c r="M41" s="815"/>
      <c r="N41" s="815"/>
      <c r="O41" s="815"/>
      <c r="P41" s="815"/>
      <c r="Q41" s="815"/>
      <c r="R41" s="816"/>
      <c r="S41" s="213"/>
      <c r="T41" s="213"/>
      <c r="U41" s="213"/>
      <c r="V41" s="213"/>
      <c r="W41" s="213"/>
      <c r="X41" s="213"/>
      <c r="Y41" s="213"/>
      <c r="Z41" s="213"/>
      <c r="AA41" s="213"/>
      <c r="AB41" s="213"/>
      <c r="AC41" s="213"/>
      <c r="AD41" s="213"/>
      <c r="AE41" s="213"/>
    </row>
    <row r="42" spans="1:31" s="767" customFormat="1" ht="15.75" thickTop="1" x14ac:dyDescent="0.3">
      <c r="A42" s="124">
        <v>34</v>
      </c>
      <c r="B42" s="337"/>
      <c r="C42" s="1932" t="s">
        <v>497</v>
      </c>
      <c r="D42" s="1933"/>
      <c r="E42" s="1934"/>
      <c r="F42" s="686"/>
      <c r="G42" s="686">
        <f>SUM(G9:G41)</f>
        <v>1840638</v>
      </c>
      <c r="H42" s="686">
        <f>SUM(H9:H41)</f>
        <v>1845356</v>
      </c>
      <c r="I42" s="688">
        <f>SUM(I9:I41)</f>
        <v>1820922</v>
      </c>
      <c r="J42" s="689"/>
      <c r="K42" s="686"/>
      <c r="L42" s="686"/>
      <c r="M42" s="686"/>
      <c r="N42" s="686"/>
      <c r="O42" s="686"/>
      <c r="P42" s="686"/>
      <c r="Q42" s="686"/>
      <c r="R42" s="687"/>
      <c r="S42" s="817"/>
      <c r="T42" s="817"/>
      <c r="U42" s="817"/>
      <c r="V42" s="817"/>
      <c r="W42" s="817"/>
      <c r="X42" s="817"/>
      <c r="Y42" s="817"/>
      <c r="Z42" s="817"/>
      <c r="AA42" s="817"/>
      <c r="AB42" s="817"/>
      <c r="AC42" s="817"/>
      <c r="AD42" s="817"/>
      <c r="AE42" s="817"/>
    </row>
    <row r="43" spans="1:31" s="49" customFormat="1" x14ac:dyDescent="0.3">
      <c r="A43" s="124">
        <v>35</v>
      </c>
      <c r="B43" s="794"/>
      <c r="C43" s="1506"/>
      <c r="D43" s="812"/>
      <c r="E43" s="796" t="s">
        <v>292</v>
      </c>
      <c r="F43" s="785"/>
      <c r="G43" s="785"/>
      <c r="H43" s="785"/>
      <c r="I43" s="813"/>
      <c r="J43" s="814">
        <f>SUM(K43:R43)</f>
        <v>1948076</v>
      </c>
      <c r="K43" s="815">
        <f t="shared" ref="K43:R43" si="7">SUM(K11,K16,K21,K26,K32,K37,K41)</f>
        <v>1277836</v>
      </c>
      <c r="L43" s="815">
        <f t="shared" si="7"/>
        <v>227158</v>
      </c>
      <c r="M43" s="815">
        <f t="shared" si="7"/>
        <v>405779</v>
      </c>
      <c r="N43" s="815">
        <f t="shared" si="7"/>
        <v>0</v>
      </c>
      <c r="O43" s="815">
        <f t="shared" si="7"/>
        <v>0</v>
      </c>
      <c r="P43" s="815">
        <f t="shared" si="7"/>
        <v>37303</v>
      </c>
      <c r="Q43" s="815">
        <f t="shared" si="7"/>
        <v>0</v>
      </c>
      <c r="R43" s="816">
        <f t="shared" si="7"/>
        <v>0</v>
      </c>
      <c r="S43" s="149"/>
      <c r="T43" s="149"/>
      <c r="U43" s="149"/>
      <c r="V43" s="149"/>
      <c r="W43" s="149"/>
      <c r="X43" s="149"/>
      <c r="Y43" s="149"/>
      <c r="Z43" s="149"/>
      <c r="AA43" s="149"/>
      <c r="AB43" s="149"/>
      <c r="AC43" s="149"/>
      <c r="AD43" s="149"/>
      <c r="AE43" s="149"/>
    </row>
    <row r="44" spans="1:31" s="819" customFormat="1" x14ac:dyDescent="0.3">
      <c r="A44" s="124">
        <v>36</v>
      </c>
      <c r="B44" s="757"/>
      <c r="C44" s="802"/>
      <c r="D44" s="802"/>
      <c r="E44" s="1499" t="s">
        <v>929</v>
      </c>
      <c r="F44" s="779"/>
      <c r="G44" s="779"/>
      <c r="H44" s="779"/>
      <c r="I44" s="804"/>
      <c r="J44" s="1500">
        <f t="shared" ref="J44:J45" si="8">SUM(K44:R44)</f>
        <v>55330</v>
      </c>
      <c r="K44" s="340">
        <f t="shared" ref="K44:R44" si="9">SUM(K12:K12,K17:K17,K22:K22,K27:K28,K33:K33,K38:K38)</f>
        <v>16078</v>
      </c>
      <c r="L44" s="340">
        <f t="shared" si="9"/>
        <v>3414</v>
      </c>
      <c r="M44" s="340">
        <f t="shared" si="9"/>
        <v>29450</v>
      </c>
      <c r="N44" s="340">
        <f t="shared" si="9"/>
        <v>0</v>
      </c>
      <c r="O44" s="340">
        <f t="shared" si="9"/>
        <v>0</v>
      </c>
      <c r="P44" s="340">
        <f t="shared" si="9"/>
        <v>6388</v>
      </c>
      <c r="Q44" s="340">
        <f t="shared" si="9"/>
        <v>0</v>
      </c>
      <c r="R44" s="341">
        <f t="shared" si="9"/>
        <v>0</v>
      </c>
      <c r="S44" s="818"/>
      <c r="T44" s="818"/>
      <c r="U44" s="818"/>
      <c r="V44" s="818"/>
      <c r="W44" s="818"/>
      <c r="X44" s="818"/>
      <c r="Y44" s="818"/>
      <c r="Z44" s="818"/>
      <c r="AA44" s="818"/>
      <c r="AB44" s="818"/>
      <c r="AC44" s="818"/>
      <c r="AD44" s="818"/>
      <c r="AE44" s="818"/>
    </row>
    <row r="45" spans="1:31" s="45" customFormat="1" ht="15.75" thickBot="1" x14ac:dyDescent="0.35">
      <c r="A45" s="124">
        <v>37</v>
      </c>
      <c r="B45" s="757"/>
      <c r="C45" s="1507"/>
      <c r="D45" s="1508"/>
      <c r="E45" s="1456" t="s">
        <v>927</v>
      </c>
      <c r="F45" s="1509"/>
      <c r="G45" s="1509"/>
      <c r="H45" s="1509"/>
      <c r="I45" s="1510"/>
      <c r="J45" s="1511">
        <f t="shared" si="8"/>
        <v>2003406</v>
      </c>
      <c r="K45" s="1512">
        <f>SUM(K43:K44)</f>
        <v>1293914</v>
      </c>
      <c r="L45" s="1512">
        <f t="shared" ref="L45:R45" si="10">SUM(L43:L44)</f>
        <v>230572</v>
      </c>
      <c r="M45" s="1512">
        <f t="shared" si="10"/>
        <v>435229</v>
      </c>
      <c r="N45" s="1512">
        <f t="shared" si="10"/>
        <v>0</v>
      </c>
      <c r="O45" s="1512">
        <f t="shared" si="10"/>
        <v>0</v>
      </c>
      <c r="P45" s="1512">
        <f t="shared" si="10"/>
        <v>43691</v>
      </c>
      <c r="Q45" s="1512">
        <f t="shared" si="10"/>
        <v>0</v>
      </c>
      <c r="R45" s="1513">
        <f t="shared" si="10"/>
        <v>0</v>
      </c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</row>
    <row r="46" spans="1:31" s="819" customFormat="1" ht="15.75" thickTop="1" x14ac:dyDescent="0.3">
      <c r="A46" s="124">
        <v>38</v>
      </c>
      <c r="B46" s="304">
        <v>7</v>
      </c>
      <c r="C46" s="655"/>
      <c r="D46" s="1935" t="s">
        <v>343</v>
      </c>
      <c r="E46" s="1936"/>
      <c r="F46" s="432" t="s">
        <v>23</v>
      </c>
      <c r="G46" s="316">
        <v>946591</v>
      </c>
      <c r="H46" s="316">
        <v>996977</v>
      </c>
      <c r="I46" s="433">
        <v>1026913</v>
      </c>
      <c r="J46" s="423"/>
      <c r="K46" s="316"/>
      <c r="L46" s="316"/>
      <c r="M46" s="316"/>
      <c r="N46" s="316"/>
      <c r="O46" s="316"/>
      <c r="P46" s="316"/>
      <c r="Q46" s="316"/>
      <c r="R46" s="339"/>
      <c r="S46" s="818"/>
      <c r="T46" s="818"/>
      <c r="U46" s="818"/>
      <c r="V46" s="818"/>
      <c r="W46" s="818"/>
      <c r="X46" s="818"/>
      <c r="Y46" s="818"/>
      <c r="Z46" s="818"/>
      <c r="AA46" s="818"/>
      <c r="AB46" s="818"/>
      <c r="AC46" s="818"/>
      <c r="AD46" s="818"/>
      <c r="AE46" s="818"/>
    </row>
    <row r="47" spans="1:31" s="49" customFormat="1" x14ac:dyDescent="0.3">
      <c r="A47" s="124">
        <v>39</v>
      </c>
      <c r="B47" s="757"/>
      <c r="C47" s="802"/>
      <c r="D47" s="802"/>
      <c r="E47" s="803" t="s">
        <v>292</v>
      </c>
      <c r="F47" s="779"/>
      <c r="G47" s="779"/>
      <c r="H47" s="779"/>
      <c r="I47" s="804"/>
      <c r="J47" s="805">
        <f>SUM(K47:R47)</f>
        <v>1120897</v>
      </c>
      <c r="K47" s="806">
        <v>831821</v>
      </c>
      <c r="L47" s="806">
        <v>145633</v>
      </c>
      <c r="M47" s="806">
        <v>139995</v>
      </c>
      <c r="N47" s="806"/>
      <c r="O47" s="806"/>
      <c r="P47" s="806">
        <v>3448</v>
      </c>
      <c r="Q47" s="806"/>
      <c r="R47" s="807"/>
      <c r="S47" s="149"/>
      <c r="T47" s="149"/>
      <c r="U47" s="149"/>
      <c r="V47" s="149"/>
      <c r="W47" s="149"/>
      <c r="X47" s="149"/>
      <c r="Y47" s="149"/>
      <c r="Z47" s="149"/>
      <c r="AA47" s="149"/>
      <c r="AB47" s="149"/>
      <c r="AC47" s="149"/>
      <c r="AD47" s="149"/>
      <c r="AE47" s="149"/>
    </row>
    <row r="48" spans="1:31" s="819" customFormat="1" x14ac:dyDescent="0.3">
      <c r="A48" s="124">
        <v>40</v>
      </c>
      <c r="B48" s="757"/>
      <c r="C48" s="802"/>
      <c r="D48" s="802"/>
      <c r="E48" s="1449" t="s">
        <v>930</v>
      </c>
      <c r="F48" s="779"/>
      <c r="G48" s="779"/>
      <c r="H48" s="779"/>
      <c r="I48" s="804"/>
      <c r="J48" s="1500">
        <f t="shared" ref="J48:J51" si="11">SUM(K48:R48)</f>
        <v>3645</v>
      </c>
      <c r="K48" s="340">
        <v>3156</v>
      </c>
      <c r="L48" s="340">
        <v>489</v>
      </c>
      <c r="M48" s="806"/>
      <c r="N48" s="806"/>
      <c r="O48" s="806"/>
      <c r="P48" s="806"/>
      <c r="Q48" s="806"/>
      <c r="R48" s="807"/>
      <c r="S48" s="818"/>
      <c r="T48" s="818"/>
      <c r="U48" s="818"/>
      <c r="V48" s="818"/>
      <c r="W48" s="818"/>
      <c r="X48" s="818"/>
      <c r="Y48" s="818"/>
      <c r="Z48" s="818"/>
      <c r="AA48" s="818"/>
      <c r="AB48" s="818"/>
      <c r="AC48" s="818"/>
      <c r="AD48" s="818"/>
      <c r="AE48" s="818"/>
    </row>
    <row r="49" spans="1:31" s="49" customFormat="1" x14ac:dyDescent="0.3">
      <c r="A49" s="124">
        <v>41</v>
      </c>
      <c r="B49" s="757"/>
      <c r="C49" s="802"/>
      <c r="D49" s="802"/>
      <c r="E49" s="1499" t="s">
        <v>931</v>
      </c>
      <c r="F49" s="779"/>
      <c r="G49" s="779"/>
      <c r="H49" s="779"/>
      <c r="I49" s="804"/>
      <c r="J49" s="1500">
        <f t="shared" si="11"/>
        <v>14029</v>
      </c>
      <c r="K49" s="340">
        <v>6500</v>
      </c>
      <c r="L49" s="340">
        <v>1029</v>
      </c>
      <c r="M49" s="340"/>
      <c r="N49" s="340"/>
      <c r="O49" s="340"/>
      <c r="P49" s="340">
        <v>6500</v>
      </c>
      <c r="Q49" s="806"/>
      <c r="R49" s="807"/>
      <c r="S49" s="149"/>
      <c r="T49" s="149"/>
      <c r="U49" s="149"/>
      <c r="V49" s="149"/>
      <c r="W49" s="149"/>
      <c r="X49" s="149"/>
      <c r="Y49" s="149"/>
      <c r="Z49" s="149"/>
      <c r="AA49" s="149"/>
      <c r="AB49" s="149"/>
      <c r="AC49" s="149"/>
      <c r="AD49" s="149"/>
      <c r="AE49" s="149"/>
    </row>
    <row r="50" spans="1:31" s="819" customFormat="1" x14ac:dyDescent="0.3">
      <c r="A50" s="124">
        <v>42</v>
      </c>
      <c r="B50" s="757"/>
      <c r="C50" s="802"/>
      <c r="D50" s="802"/>
      <c r="E50" s="1499" t="s">
        <v>933</v>
      </c>
      <c r="F50" s="779"/>
      <c r="G50" s="779"/>
      <c r="H50" s="779"/>
      <c r="I50" s="804"/>
      <c r="J50" s="1500">
        <f t="shared" si="11"/>
        <v>1299</v>
      </c>
      <c r="K50" s="340"/>
      <c r="L50" s="340"/>
      <c r="M50" s="340"/>
      <c r="N50" s="340"/>
      <c r="O50" s="340"/>
      <c r="P50" s="340">
        <v>1299</v>
      </c>
      <c r="Q50" s="806"/>
      <c r="R50" s="807"/>
      <c r="S50" s="818"/>
      <c r="T50" s="818"/>
      <c r="U50" s="818"/>
      <c r="V50" s="818"/>
      <c r="W50" s="818"/>
      <c r="X50" s="818"/>
      <c r="Y50" s="818"/>
      <c r="Z50" s="818"/>
      <c r="AA50" s="818"/>
      <c r="AB50" s="818"/>
      <c r="AC50" s="818"/>
      <c r="AD50" s="818"/>
      <c r="AE50" s="818"/>
    </row>
    <row r="51" spans="1:31" s="45" customFormat="1" x14ac:dyDescent="0.3">
      <c r="A51" s="124">
        <v>43</v>
      </c>
      <c r="B51" s="757"/>
      <c r="C51" s="802"/>
      <c r="D51" s="802"/>
      <c r="E51" s="1499" t="s">
        <v>932</v>
      </c>
      <c r="F51" s="779"/>
      <c r="G51" s="779"/>
      <c r="H51" s="779"/>
      <c r="I51" s="804"/>
      <c r="J51" s="1500">
        <f t="shared" si="11"/>
        <v>1008</v>
      </c>
      <c r="K51" s="340">
        <v>873</v>
      </c>
      <c r="L51" s="340">
        <v>135</v>
      </c>
      <c r="M51" s="340"/>
      <c r="N51" s="340"/>
      <c r="O51" s="340"/>
      <c r="P51" s="340"/>
      <c r="Q51" s="806"/>
      <c r="R51" s="807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</row>
    <row r="52" spans="1:31" s="819" customFormat="1" x14ac:dyDescent="0.3">
      <c r="A52" s="124">
        <v>44</v>
      </c>
      <c r="B52" s="757"/>
      <c r="C52" s="802"/>
      <c r="D52" s="802"/>
      <c r="E52" s="641" t="s">
        <v>927</v>
      </c>
      <c r="F52" s="779"/>
      <c r="G52" s="779"/>
      <c r="H52" s="779"/>
      <c r="I52" s="804"/>
      <c r="J52" s="336">
        <f>SUM(K52:R52)</f>
        <v>1140878</v>
      </c>
      <c r="K52" s="1503">
        <f>SUM(K47:K51)</f>
        <v>842350</v>
      </c>
      <c r="L52" s="1503">
        <f>SUM(L47:L51)</f>
        <v>147286</v>
      </c>
      <c r="M52" s="1503">
        <f>SUM(M47:M51)</f>
        <v>139995</v>
      </c>
      <c r="N52" s="1503"/>
      <c r="O52" s="1503"/>
      <c r="P52" s="1503">
        <f>SUM(P47:P51)</f>
        <v>11247</v>
      </c>
      <c r="Q52" s="806"/>
      <c r="R52" s="807"/>
      <c r="S52" s="818"/>
      <c r="T52" s="818"/>
      <c r="U52" s="818"/>
      <c r="V52" s="818"/>
      <c r="W52" s="818"/>
      <c r="X52" s="818"/>
      <c r="Y52" s="818"/>
      <c r="Z52" s="818"/>
      <c r="AA52" s="818"/>
      <c r="AB52" s="818"/>
      <c r="AC52" s="818"/>
      <c r="AD52" s="818"/>
      <c r="AE52" s="818"/>
    </row>
    <row r="53" spans="1:31" s="49" customFormat="1" x14ac:dyDescent="0.3">
      <c r="A53" s="124">
        <v>45</v>
      </c>
      <c r="B53" s="294"/>
      <c r="C53" s="653">
        <v>1</v>
      </c>
      <c r="D53" s="1920" t="s">
        <v>778</v>
      </c>
      <c r="E53" s="1921"/>
      <c r="F53" s="434"/>
      <c r="G53" s="115">
        <v>10041</v>
      </c>
      <c r="H53" s="115"/>
      <c r="I53" s="333"/>
      <c r="J53" s="344"/>
      <c r="K53" s="328"/>
      <c r="L53" s="328"/>
      <c r="M53" s="328"/>
      <c r="N53" s="340"/>
      <c r="O53" s="340"/>
      <c r="P53" s="340"/>
      <c r="Q53" s="340"/>
      <c r="R53" s="341"/>
      <c r="S53" s="149"/>
      <c r="T53" s="149"/>
      <c r="U53" s="149"/>
      <c r="V53" s="149"/>
      <c r="W53" s="149"/>
      <c r="X53" s="149"/>
      <c r="Y53" s="149"/>
      <c r="Z53" s="149"/>
      <c r="AA53" s="149"/>
      <c r="AB53" s="149"/>
      <c r="AC53" s="149"/>
      <c r="AD53" s="149"/>
      <c r="AE53" s="149"/>
    </row>
    <row r="54" spans="1:31" s="819" customFormat="1" x14ac:dyDescent="0.3">
      <c r="A54" s="124">
        <v>46</v>
      </c>
      <c r="B54" s="290">
        <v>8</v>
      </c>
      <c r="C54" s="653"/>
      <c r="D54" s="1911" t="s">
        <v>116</v>
      </c>
      <c r="E54" s="1912"/>
      <c r="F54" s="431" t="s">
        <v>23</v>
      </c>
      <c r="G54" s="115">
        <v>85870</v>
      </c>
      <c r="H54" s="115">
        <v>69250</v>
      </c>
      <c r="I54" s="333">
        <v>85741</v>
      </c>
      <c r="J54" s="344"/>
      <c r="K54" s="115"/>
      <c r="L54" s="115"/>
      <c r="M54" s="115"/>
      <c r="N54" s="115"/>
      <c r="O54" s="115"/>
      <c r="P54" s="115"/>
      <c r="Q54" s="115"/>
      <c r="R54" s="129"/>
      <c r="S54" s="818"/>
      <c r="T54" s="818"/>
      <c r="U54" s="818"/>
      <c r="V54" s="818"/>
      <c r="W54" s="818"/>
      <c r="X54" s="818"/>
      <c r="Y54" s="818"/>
      <c r="Z54" s="818"/>
      <c r="AA54" s="818"/>
      <c r="AB54" s="818"/>
      <c r="AC54" s="818"/>
      <c r="AD54" s="818"/>
      <c r="AE54" s="818"/>
    </row>
    <row r="55" spans="1:31" s="49" customFormat="1" x14ac:dyDescent="0.3">
      <c r="A55" s="124">
        <v>47</v>
      </c>
      <c r="B55" s="440"/>
      <c r="C55" s="1276"/>
      <c r="D55" s="1276"/>
      <c r="E55" s="803" t="s">
        <v>292</v>
      </c>
      <c r="F55" s="1277"/>
      <c r="G55" s="1277"/>
      <c r="H55" s="1277"/>
      <c r="I55" s="804"/>
      <c r="J55" s="805">
        <f>SUM(K55:R55)</f>
        <v>73767</v>
      </c>
      <c r="K55" s="806">
        <v>43210</v>
      </c>
      <c r="L55" s="806">
        <v>6845</v>
      </c>
      <c r="M55" s="806">
        <v>23371</v>
      </c>
      <c r="N55" s="806"/>
      <c r="O55" s="806"/>
      <c r="P55" s="806">
        <v>341</v>
      </c>
      <c r="Q55" s="806"/>
      <c r="R55" s="807"/>
      <c r="S55" s="149"/>
      <c r="T55" s="149"/>
      <c r="U55" s="149"/>
      <c r="V55" s="149"/>
      <c r="W55" s="149"/>
      <c r="X55" s="149"/>
      <c r="Y55" s="149"/>
      <c r="Z55" s="149"/>
      <c r="AA55" s="149"/>
      <c r="AB55" s="149"/>
      <c r="AC55" s="149"/>
      <c r="AD55" s="149"/>
      <c r="AE55" s="149"/>
    </row>
    <row r="56" spans="1:31" s="819" customFormat="1" x14ac:dyDescent="0.3">
      <c r="A56" s="124">
        <v>48</v>
      </c>
      <c r="B56" s="440"/>
      <c r="C56" s="1276"/>
      <c r="D56" s="1276"/>
      <c r="E56" s="1449" t="s">
        <v>930</v>
      </c>
      <c r="F56" s="1277"/>
      <c r="G56" s="1277"/>
      <c r="H56" s="1277"/>
      <c r="I56" s="804"/>
      <c r="J56" s="1500">
        <f t="shared" ref="J56:J58" si="12">SUM(K56:R56)</f>
        <v>2765</v>
      </c>
      <c r="K56" s="340">
        <v>2394</v>
      </c>
      <c r="L56" s="340">
        <v>371</v>
      </c>
      <c r="M56" s="806"/>
      <c r="N56" s="806"/>
      <c r="O56" s="806"/>
      <c r="P56" s="806"/>
      <c r="Q56" s="806"/>
      <c r="R56" s="807"/>
      <c r="S56" s="818"/>
      <c r="T56" s="818"/>
      <c r="U56" s="818"/>
      <c r="V56" s="818"/>
      <c r="W56" s="818"/>
      <c r="X56" s="818"/>
      <c r="Y56" s="818"/>
      <c r="Z56" s="818"/>
      <c r="AA56" s="818"/>
      <c r="AB56" s="818"/>
      <c r="AC56" s="818"/>
      <c r="AD56" s="818"/>
      <c r="AE56" s="818"/>
    </row>
    <row r="57" spans="1:31" s="45" customFormat="1" x14ac:dyDescent="0.3">
      <c r="A57" s="124">
        <v>49</v>
      </c>
      <c r="B57" s="440"/>
      <c r="C57" s="1276"/>
      <c r="D57" s="1276"/>
      <c r="E57" s="1449" t="s">
        <v>934</v>
      </c>
      <c r="F57" s="1277"/>
      <c r="G57" s="1277"/>
      <c r="H57" s="1277"/>
      <c r="I57" s="804"/>
      <c r="J57" s="1500">
        <f t="shared" si="12"/>
        <v>6266</v>
      </c>
      <c r="K57" s="340">
        <v>6266</v>
      </c>
      <c r="L57" s="340"/>
      <c r="M57" s="806"/>
      <c r="N57" s="806"/>
      <c r="O57" s="806"/>
      <c r="P57" s="806"/>
      <c r="Q57" s="806"/>
      <c r="R57" s="807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</row>
    <row r="58" spans="1:31" s="819" customFormat="1" x14ac:dyDescent="0.3">
      <c r="A58" s="124">
        <v>50</v>
      </c>
      <c r="B58" s="440"/>
      <c r="C58" s="1276"/>
      <c r="D58" s="1276"/>
      <c r="E58" s="1499" t="s">
        <v>931</v>
      </c>
      <c r="F58" s="1277"/>
      <c r="G58" s="1277"/>
      <c r="H58" s="1277"/>
      <c r="I58" s="804"/>
      <c r="J58" s="1500">
        <f t="shared" si="12"/>
        <v>15025</v>
      </c>
      <c r="K58" s="340">
        <v>4253</v>
      </c>
      <c r="L58" s="340">
        <v>750</v>
      </c>
      <c r="M58" s="340">
        <v>9522</v>
      </c>
      <c r="N58" s="340"/>
      <c r="O58" s="340"/>
      <c r="P58" s="340">
        <v>500</v>
      </c>
      <c r="Q58" s="806"/>
      <c r="R58" s="807"/>
      <c r="S58" s="818"/>
      <c r="T58" s="818"/>
      <c r="U58" s="818"/>
      <c r="V58" s="818"/>
      <c r="W58" s="818"/>
      <c r="X58" s="818"/>
      <c r="Y58" s="818"/>
      <c r="Z58" s="818"/>
      <c r="AA58" s="818"/>
      <c r="AB58" s="818"/>
      <c r="AC58" s="818"/>
      <c r="AD58" s="818"/>
      <c r="AE58" s="818"/>
    </row>
    <row r="59" spans="1:31" s="45" customFormat="1" x14ac:dyDescent="0.3">
      <c r="A59" s="124">
        <v>51</v>
      </c>
      <c r="B59" s="440"/>
      <c r="C59" s="1276"/>
      <c r="D59" s="1276"/>
      <c r="E59" s="641" t="s">
        <v>927</v>
      </c>
      <c r="F59" s="1277"/>
      <c r="G59" s="1277"/>
      <c r="H59" s="1277"/>
      <c r="I59" s="804"/>
      <c r="J59" s="336">
        <f>SUM(K59:R59)</f>
        <v>97823</v>
      </c>
      <c r="K59" s="1503">
        <f>SUM(K55:K58)</f>
        <v>56123</v>
      </c>
      <c r="L59" s="1503">
        <f>SUM(L55:L58)</f>
        <v>7966</v>
      </c>
      <c r="M59" s="1503">
        <f t="shared" ref="M59:P59" si="13">SUM(M55:M58)</f>
        <v>32893</v>
      </c>
      <c r="N59" s="1503"/>
      <c r="O59" s="1503"/>
      <c r="P59" s="1503">
        <f t="shared" si="13"/>
        <v>841</v>
      </c>
      <c r="Q59" s="806"/>
      <c r="R59" s="807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</row>
    <row r="60" spans="1:31" s="819" customFormat="1" x14ac:dyDescent="0.3">
      <c r="A60" s="124">
        <v>52</v>
      </c>
      <c r="B60" s="290">
        <v>9</v>
      </c>
      <c r="C60" s="653"/>
      <c r="D60" s="1911" t="s">
        <v>435</v>
      </c>
      <c r="E60" s="1912"/>
      <c r="F60" s="431" t="s">
        <v>23</v>
      </c>
      <c r="G60" s="115">
        <v>274833</v>
      </c>
      <c r="H60" s="115">
        <v>243642</v>
      </c>
      <c r="I60" s="333">
        <v>300491</v>
      </c>
      <c r="J60" s="344"/>
      <c r="K60" s="115"/>
      <c r="L60" s="115"/>
      <c r="M60" s="115"/>
      <c r="N60" s="115"/>
      <c r="O60" s="115"/>
      <c r="P60" s="115"/>
      <c r="Q60" s="115"/>
      <c r="R60" s="129"/>
      <c r="S60" s="818"/>
      <c r="T60" s="818"/>
      <c r="U60" s="818"/>
      <c r="V60" s="818"/>
      <c r="W60" s="818"/>
      <c r="X60" s="818"/>
      <c r="Y60" s="818"/>
      <c r="Z60" s="818"/>
      <c r="AA60" s="818"/>
      <c r="AB60" s="818"/>
      <c r="AC60" s="818"/>
      <c r="AD60" s="818"/>
      <c r="AE60" s="818"/>
    </row>
    <row r="61" spans="1:31" s="49" customFormat="1" x14ac:dyDescent="0.3">
      <c r="A61" s="124">
        <v>53</v>
      </c>
      <c r="B61" s="440"/>
      <c r="C61" s="1278"/>
      <c r="D61" s="1278"/>
      <c r="E61" s="803" t="s">
        <v>292</v>
      </c>
      <c r="F61" s="1279"/>
      <c r="G61" s="1279"/>
      <c r="H61" s="1279"/>
      <c r="I61" s="813"/>
      <c r="J61" s="814">
        <f>SUM(K61:R61)</f>
        <v>263190</v>
      </c>
      <c r="K61" s="815">
        <v>187374</v>
      </c>
      <c r="L61" s="815">
        <v>34010</v>
      </c>
      <c r="M61" s="815">
        <v>32676</v>
      </c>
      <c r="N61" s="815"/>
      <c r="O61" s="815"/>
      <c r="P61" s="815">
        <v>9130</v>
      </c>
      <c r="Q61" s="815"/>
      <c r="R61" s="816"/>
      <c r="S61" s="149"/>
      <c r="T61" s="149"/>
      <c r="U61" s="149"/>
      <c r="V61" s="149"/>
      <c r="W61" s="149"/>
      <c r="X61" s="149"/>
      <c r="Y61" s="149"/>
      <c r="Z61" s="149"/>
      <c r="AA61" s="149"/>
      <c r="AB61" s="149"/>
      <c r="AC61" s="149"/>
      <c r="AD61" s="149"/>
      <c r="AE61" s="149"/>
    </row>
    <row r="62" spans="1:31" s="819" customFormat="1" x14ac:dyDescent="0.3">
      <c r="A62" s="124">
        <v>54</v>
      </c>
      <c r="B62" s="440"/>
      <c r="C62" s="1278"/>
      <c r="D62" s="1278"/>
      <c r="E62" s="1449" t="s">
        <v>930</v>
      </c>
      <c r="F62" s="1279"/>
      <c r="G62" s="1279"/>
      <c r="H62" s="1279"/>
      <c r="I62" s="813"/>
      <c r="J62" s="1500">
        <f t="shared" ref="J62:J63" si="14">SUM(K62:R62)</f>
        <v>17501</v>
      </c>
      <c r="K62" s="1514">
        <v>15152</v>
      </c>
      <c r="L62" s="1514">
        <v>2349</v>
      </c>
      <c r="M62" s="815"/>
      <c r="N62" s="815"/>
      <c r="O62" s="815"/>
      <c r="P62" s="815"/>
      <c r="Q62" s="815"/>
      <c r="R62" s="816"/>
      <c r="S62" s="818"/>
      <c r="T62" s="818"/>
      <c r="U62" s="818"/>
      <c r="V62" s="818"/>
      <c r="W62" s="818"/>
      <c r="X62" s="818"/>
      <c r="Y62" s="818"/>
      <c r="Z62" s="818"/>
      <c r="AA62" s="818"/>
      <c r="AB62" s="818"/>
      <c r="AC62" s="818"/>
      <c r="AD62" s="818"/>
      <c r="AE62" s="818"/>
    </row>
    <row r="63" spans="1:31" s="45" customFormat="1" x14ac:dyDescent="0.3">
      <c r="A63" s="124">
        <v>55</v>
      </c>
      <c r="B63" s="440"/>
      <c r="C63" s="1278"/>
      <c r="D63" s="1278"/>
      <c r="E63" s="1499" t="s">
        <v>931</v>
      </c>
      <c r="F63" s="1279"/>
      <c r="G63" s="1279"/>
      <c r="H63" s="1279"/>
      <c r="I63" s="813"/>
      <c r="J63" s="1500">
        <f t="shared" si="14"/>
        <v>10787</v>
      </c>
      <c r="K63" s="1514">
        <v>7000</v>
      </c>
      <c r="L63" s="1514">
        <v>1700</v>
      </c>
      <c r="M63" s="1514">
        <v>2087</v>
      </c>
      <c r="N63" s="815"/>
      <c r="O63" s="815"/>
      <c r="P63" s="815"/>
      <c r="Q63" s="815"/>
      <c r="R63" s="816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</row>
    <row r="64" spans="1:31" s="45" customFormat="1" x14ac:dyDescent="0.3">
      <c r="A64" s="124">
        <v>56</v>
      </c>
      <c r="B64" s="440"/>
      <c r="C64" s="1278"/>
      <c r="D64" s="1278"/>
      <c r="E64" s="641" t="s">
        <v>927</v>
      </c>
      <c r="F64" s="1279"/>
      <c r="G64" s="1279"/>
      <c r="H64" s="1279"/>
      <c r="I64" s="813"/>
      <c r="J64" s="336">
        <f>SUM(K64:R64)</f>
        <v>291478</v>
      </c>
      <c r="K64" s="1515">
        <f>SUM(K61:K63)</f>
        <v>209526</v>
      </c>
      <c r="L64" s="1515">
        <f>SUM(L61:L63)</f>
        <v>38059</v>
      </c>
      <c r="M64" s="1515">
        <f t="shared" ref="M64:P64" si="15">SUM(M61:M63)</f>
        <v>34763</v>
      </c>
      <c r="N64" s="1515"/>
      <c r="O64" s="1515"/>
      <c r="P64" s="1515">
        <f t="shared" si="15"/>
        <v>9130</v>
      </c>
      <c r="Q64" s="815"/>
      <c r="R64" s="816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</row>
    <row r="65" spans="1:31" s="819" customFormat="1" ht="15.75" thickBot="1" x14ac:dyDescent="0.35">
      <c r="A65" s="124">
        <v>57</v>
      </c>
      <c r="B65" s="294"/>
      <c r="C65" s="654">
        <v>1</v>
      </c>
      <c r="D65" s="1978" t="s">
        <v>143</v>
      </c>
      <c r="E65" s="1979"/>
      <c r="F65" s="434"/>
      <c r="G65" s="115">
        <v>180</v>
      </c>
      <c r="H65" s="115"/>
      <c r="I65" s="333"/>
      <c r="J65" s="344"/>
      <c r="K65" s="328"/>
      <c r="L65" s="328"/>
      <c r="M65" s="328"/>
      <c r="N65" s="340"/>
      <c r="O65" s="340"/>
      <c r="P65" s="340"/>
      <c r="Q65" s="340"/>
      <c r="R65" s="341"/>
      <c r="S65" s="818"/>
      <c r="T65" s="818"/>
      <c r="U65" s="818"/>
      <c r="V65" s="818"/>
      <c r="W65" s="818"/>
      <c r="X65" s="818"/>
      <c r="Y65" s="818"/>
      <c r="Z65" s="818"/>
      <c r="AA65" s="818"/>
      <c r="AB65" s="818"/>
      <c r="AC65" s="818"/>
      <c r="AD65" s="818"/>
      <c r="AE65" s="818"/>
    </row>
    <row r="66" spans="1:31" s="45" customFormat="1" ht="15.75" thickTop="1" x14ac:dyDescent="0.2">
      <c r="A66" s="124">
        <v>58</v>
      </c>
      <c r="B66" s="337"/>
      <c r="C66" s="1932" t="s">
        <v>498</v>
      </c>
      <c r="D66" s="1933"/>
      <c r="E66" s="1934"/>
      <c r="F66" s="690"/>
      <c r="G66" s="686">
        <f>SUM(G46:G65)</f>
        <v>1317515</v>
      </c>
      <c r="H66" s="686">
        <f>SUM(H46:H65)</f>
        <v>1309869</v>
      </c>
      <c r="I66" s="688">
        <f>SUM(I46:I65)</f>
        <v>1413145</v>
      </c>
      <c r="J66" s="689"/>
      <c r="K66" s="691"/>
      <c r="L66" s="691"/>
      <c r="M66" s="691"/>
      <c r="N66" s="691"/>
      <c r="O66" s="691"/>
      <c r="P66" s="691"/>
      <c r="Q66" s="691"/>
      <c r="R66" s="692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</row>
    <row r="67" spans="1:31" s="809" customFormat="1" x14ac:dyDescent="0.3">
      <c r="A67" s="124">
        <v>59</v>
      </c>
      <c r="B67" s="440"/>
      <c r="C67" s="1516"/>
      <c r="D67" s="1278"/>
      <c r="E67" s="795" t="s">
        <v>292</v>
      </c>
      <c r="F67" s="1279"/>
      <c r="G67" s="1279"/>
      <c r="H67" s="1279"/>
      <c r="I67" s="813"/>
      <c r="J67" s="814">
        <f>SUM(K67:R67)</f>
        <v>1457854</v>
      </c>
      <c r="K67" s="815">
        <f t="shared" ref="K67:R67" si="16">SUM(K47,K55,K61)</f>
        <v>1062405</v>
      </c>
      <c r="L67" s="815">
        <f t="shared" si="16"/>
        <v>186488</v>
      </c>
      <c r="M67" s="815">
        <f t="shared" si="16"/>
        <v>196042</v>
      </c>
      <c r="N67" s="815">
        <f t="shared" si="16"/>
        <v>0</v>
      </c>
      <c r="O67" s="815">
        <f t="shared" si="16"/>
        <v>0</v>
      </c>
      <c r="P67" s="815">
        <f t="shared" si="16"/>
        <v>12919</v>
      </c>
      <c r="Q67" s="815">
        <f t="shared" si="16"/>
        <v>0</v>
      </c>
      <c r="R67" s="816">
        <f t="shared" si="16"/>
        <v>0</v>
      </c>
      <c r="S67" s="808"/>
      <c r="T67" s="808"/>
      <c r="U67" s="808"/>
      <c r="V67" s="808"/>
      <c r="W67" s="808"/>
      <c r="X67" s="808"/>
      <c r="Y67" s="808"/>
      <c r="Z67" s="808"/>
      <c r="AA67" s="808"/>
      <c r="AB67" s="808"/>
      <c r="AC67" s="808"/>
      <c r="AD67" s="808"/>
      <c r="AE67" s="808"/>
    </row>
    <row r="68" spans="1:31" s="50" customFormat="1" x14ac:dyDescent="0.3">
      <c r="A68" s="124">
        <v>60</v>
      </c>
      <c r="B68" s="1517"/>
      <c r="C68" s="1518"/>
      <c r="D68" s="1518"/>
      <c r="E68" s="1499" t="s">
        <v>929</v>
      </c>
      <c r="F68" s="1277"/>
      <c r="G68" s="1277"/>
      <c r="H68" s="1277"/>
      <c r="I68" s="804"/>
      <c r="J68" s="1500">
        <f t="shared" ref="J68" si="17">SUM(K68:R68)</f>
        <v>72325</v>
      </c>
      <c r="K68" s="340">
        <f t="shared" ref="K68:R68" si="18">SUM(K48:K51,K56:K58,K62:K63)</f>
        <v>45594</v>
      </c>
      <c r="L68" s="340">
        <f t="shared" si="18"/>
        <v>6823</v>
      </c>
      <c r="M68" s="340">
        <f t="shared" si="18"/>
        <v>11609</v>
      </c>
      <c r="N68" s="340">
        <f t="shared" si="18"/>
        <v>0</v>
      </c>
      <c r="O68" s="340">
        <f t="shared" si="18"/>
        <v>0</v>
      </c>
      <c r="P68" s="340">
        <f t="shared" si="18"/>
        <v>8299</v>
      </c>
      <c r="Q68" s="340">
        <f t="shared" si="18"/>
        <v>0</v>
      </c>
      <c r="R68" s="341">
        <f t="shared" si="18"/>
        <v>0</v>
      </c>
      <c r="S68" s="269"/>
      <c r="T68" s="269"/>
      <c r="U68" s="269"/>
      <c r="V68" s="269"/>
      <c r="W68" s="269"/>
      <c r="X68" s="269"/>
      <c r="Y68" s="269"/>
      <c r="Z68" s="269"/>
      <c r="AA68" s="269"/>
      <c r="AB68" s="269"/>
      <c r="AC68" s="269"/>
      <c r="AD68" s="269"/>
      <c r="AE68" s="269"/>
    </row>
    <row r="69" spans="1:31" s="809" customFormat="1" ht="15.75" thickBot="1" x14ac:dyDescent="0.35">
      <c r="A69" s="124">
        <v>61</v>
      </c>
      <c r="B69" s="1517"/>
      <c r="C69" s="1519"/>
      <c r="D69" s="1520"/>
      <c r="E69" s="1521" t="s">
        <v>927</v>
      </c>
      <c r="F69" s="1472"/>
      <c r="G69" s="1472"/>
      <c r="H69" s="1472"/>
      <c r="I69" s="1510"/>
      <c r="J69" s="1511">
        <f>SUM(K69:R69)</f>
        <v>1530179</v>
      </c>
      <c r="K69" s="1512">
        <f>SUM(K67:K68)</f>
        <v>1107999</v>
      </c>
      <c r="L69" s="1512">
        <f t="shared" ref="L69:R69" si="19">SUM(L67:L68)</f>
        <v>193311</v>
      </c>
      <c r="M69" s="1512">
        <f t="shared" si="19"/>
        <v>207651</v>
      </c>
      <c r="N69" s="1512">
        <f t="shared" si="19"/>
        <v>0</v>
      </c>
      <c r="O69" s="1512">
        <f t="shared" si="19"/>
        <v>0</v>
      </c>
      <c r="P69" s="1512">
        <f t="shared" si="19"/>
        <v>21218</v>
      </c>
      <c r="Q69" s="1512">
        <f t="shared" si="19"/>
        <v>0</v>
      </c>
      <c r="R69" s="1513">
        <f t="shared" si="19"/>
        <v>0</v>
      </c>
      <c r="S69" s="808"/>
      <c r="T69" s="808"/>
      <c r="U69" s="808"/>
      <c r="V69" s="808"/>
      <c r="W69" s="808"/>
      <c r="X69" s="808"/>
      <c r="Y69" s="808"/>
      <c r="Z69" s="808"/>
      <c r="AA69" s="808"/>
      <c r="AB69" s="808"/>
      <c r="AC69" s="808"/>
      <c r="AD69" s="808"/>
      <c r="AE69" s="808"/>
    </row>
    <row r="70" spans="1:31" s="50" customFormat="1" ht="15.75" thickTop="1" x14ac:dyDescent="0.3">
      <c r="A70" s="124">
        <v>62</v>
      </c>
      <c r="B70" s="304">
        <v>10</v>
      </c>
      <c r="C70" s="655"/>
      <c r="D70" s="1935" t="s">
        <v>437</v>
      </c>
      <c r="E70" s="1936"/>
      <c r="F70" s="432" t="s">
        <v>23</v>
      </c>
      <c r="G70" s="316">
        <v>245048</v>
      </c>
      <c r="H70" s="316">
        <v>213129</v>
      </c>
      <c r="I70" s="433">
        <v>207853</v>
      </c>
      <c r="J70" s="423"/>
      <c r="K70" s="316"/>
      <c r="L70" s="316"/>
      <c r="M70" s="316"/>
      <c r="N70" s="316"/>
      <c r="O70" s="316"/>
      <c r="P70" s="316"/>
      <c r="Q70" s="316"/>
      <c r="R70" s="339"/>
      <c r="S70" s="269"/>
      <c r="T70" s="269"/>
      <c r="U70" s="269"/>
      <c r="V70" s="269"/>
      <c r="W70" s="269"/>
      <c r="X70" s="269"/>
      <c r="Y70" s="269"/>
      <c r="Z70" s="269"/>
      <c r="AA70" s="269"/>
      <c r="AB70" s="269"/>
      <c r="AC70" s="269"/>
      <c r="AD70" s="269"/>
      <c r="AE70" s="269"/>
    </row>
    <row r="71" spans="1:31" s="809" customFormat="1" x14ac:dyDescent="0.3">
      <c r="A71" s="124">
        <v>63</v>
      </c>
      <c r="B71" s="440"/>
      <c r="C71" s="1276"/>
      <c r="D71" s="1276"/>
      <c r="E71" s="803" t="s">
        <v>292</v>
      </c>
      <c r="F71" s="1277"/>
      <c r="G71" s="1277"/>
      <c r="H71" s="1277"/>
      <c r="I71" s="804"/>
      <c r="J71" s="805">
        <f>SUM(K71:R71)</f>
        <v>239700</v>
      </c>
      <c r="K71" s="806">
        <v>99852</v>
      </c>
      <c r="L71" s="806">
        <v>16263</v>
      </c>
      <c r="M71" s="806">
        <v>120585</v>
      </c>
      <c r="N71" s="806"/>
      <c r="O71" s="806"/>
      <c r="P71" s="806">
        <v>3000</v>
      </c>
      <c r="Q71" s="806"/>
      <c r="R71" s="807"/>
      <c r="S71" s="808"/>
      <c r="T71" s="808"/>
      <c r="U71" s="808"/>
      <c r="V71" s="808"/>
      <c r="W71" s="808"/>
      <c r="X71" s="808"/>
      <c r="Y71" s="808"/>
      <c r="Z71" s="808"/>
      <c r="AA71" s="808"/>
      <c r="AB71" s="808"/>
      <c r="AC71" s="808"/>
      <c r="AD71" s="808"/>
      <c r="AE71" s="808"/>
    </row>
    <row r="72" spans="1:31" s="45" customFormat="1" x14ac:dyDescent="0.3">
      <c r="A72" s="124">
        <v>64</v>
      </c>
      <c r="B72" s="440"/>
      <c r="C72" s="1276"/>
      <c r="D72" s="1276"/>
      <c r="E72" s="1499" t="s">
        <v>926</v>
      </c>
      <c r="F72" s="1277"/>
      <c r="G72" s="1277"/>
      <c r="H72" s="1277"/>
      <c r="I72" s="804"/>
      <c r="J72" s="1500">
        <f t="shared" ref="J72:J74" si="20">SUM(K72:R72)</f>
        <v>40230</v>
      </c>
      <c r="K72" s="340">
        <v>11000</v>
      </c>
      <c r="L72" s="340">
        <v>1600</v>
      </c>
      <c r="M72" s="340">
        <v>24390</v>
      </c>
      <c r="N72" s="340"/>
      <c r="O72" s="340"/>
      <c r="P72" s="340">
        <v>3240</v>
      </c>
      <c r="Q72" s="806"/>
      <c r="R72" s="807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</row>
    <row r="73" spans="1:31" s="819" customFormat="1" x14ac:dyDescent="0.3">
      <c r="A73" s="124">
        <v>65</v>
      </c>
      <c r="B73" s="440"/>
      <c r="C73" s="1276"/>
      <c r="D73" s="1276"/>
      <c r="E73" s="1499" t="s">
        <v>946</v>
      </c>
      <c r="F73" s="1277"/>
      <c r="G73" s="1277"/>
      <c r="H73" s="1277"/>
      <c r="I73" s="804"/>
      <c r="J73" s="1500">
        <f t="shared" si="20"/>
        <v>2500</v>
      </c>
      <c r="K73" s="340"/>
      <c r="L73" s="340"/>
      <c r="M73" s="340">
        <v>2500</v>
      </c>
      <c r="N73" s="340"/>
      <c r="O73" s="340"/>
      <c r="P73" s="340"/>
      <c r="Q73" s="806"/>
      <c r="R73" s="807"/>
      <c r="S73" s="818"/>
      <c r="T73" s="818"/>
      <c r="U73" s="818"/>
      <c r="V73" s="818"/>
      <c r="W73" s="818"/>
      <c r="X73" s="818"/>
      <c r="Y73" s="818"/>
      <c r="Z73" s="818"/>
      <c r="AA73" s="818"/>
      <c r="AB73" s="818"/>
      <c r="AC73" s="818"/>
      <c r="AD73" s="818"/>
      <c r="AE73" s="818"/>
    </row>
    <row r="74" spans="1:31" s="47" customFormat="1" x14ac:dyDescent="0.3">
      <c r="A74" s="124">
        <v>66</v>
      </c>
      <c r="B74" s="440"/>
      <c r="C74" s="1276"/>
      <c r="D74" s="1276"/>
      <c r="E74" s="1499" t="s">
        <v>936</v>
      </c>
      <c r="F74" s="1277"/>
      <c r="G74" s="1277"/>
      <c r="H74" s="1277"/>
      <c r="I74" s="804"/>
      <c r="J74" s="1500">
        <f t="shared" si="20"/>
        <v>700</v>
      </c>
      <c r="K74" s="340"/>
      <c r="L74" s="340"/>
      <c r="M74" s="340">
        <v>700</v>
      </c>
      <c r="N74" s="340"/>
      <c r="O74" s="340"/>
      <c r="P74" s="340"/>
      <c r="Q74" s="806"/>
      <c r="R74" s="807"/>
      <c r="S74" s="266"/>
      <c r="T74" s="266"/>
      <c r="U74" s="266"/>
      <c r="V74" s="266"/>
      <c r="W74" s="266"/>
      <c r="X74" s="266"/>
      <c r="Y74" s="266"/>
      <c r="Z74" s="266"/>
      <c r="AA74" s="266"/>
      <c r="AB74" s="266"/>
      <c r="AC74" s="266"/>
      <c r="AD74" s="266"/>
      <c r="AE74" s="266"/>
    </row>
    <row r="75" spans="1:31" s="809" customFormat="1" x14ac:dyDescent="0.3">
      <c r="A75" s="124">
        <v>67</v>
      </c>
      <c r="B75" s="440"/>
      <c r="C75" s="1276"/>
      <c r="D75" s="1276"/>
      <c r="E75" s="641" t="s">
        <v>927</v>
      </c>
      <c r="F75" s="1277"/>
      <c r="G75" s="1277"/>
      <c r="H75" s="1277"/>
      <c r="I75" s="804"/>
      <c r="J75" s="336">
        <f>SUM(K75:R75)</f>
        <v>283130</v>
      </c>
      <c r="K75" s="1503">
        <f>SUM(K71:K74)</f>
        <v>110852</v>
      </c>
      <c r="L75" s="1503">
        <f t="shared" ref="L75:P75" si="21">SUM(L71:L74)</f>
        <v>17863</v>
      </c>
      <c r="M75" s="1503">
        <f>SUM(M71:M74)</f>
        <v>148175</v>
      </c>
      <c r="N75" s="1503"/>
      <c r="O75" s="1503"/>
      <c r="P75" s="1503">
        <f t="shared" si="21"/>
        <v>6240</v>
      </c>
      <c r="Q75" s="806"/>
      <c r="R75" s="807"/>
      <c r="S75" s="808"/>
      <c r="T75" s="808"/>
      <c r="U75" s="808"/>
      <c r="V75" s="808"/>
      <c r="W75" s="808"/>
      <c r="X75" s="808"/>
      <c r="Y75" s="808"/>
      <c r="Z75" s="808"/>
      <c r="AA75" s="808"/>
      <c r="AB75" s="808"/>
      <c r="AC75" s="808"/>
      <c r="AD75" s="808"/>
      <c r="AE75" s="808"/>
    </row>
    <row r="76" spans="1:31" s="190" customFormat="1" x14ac:dyDescent="0.3">
      <c r="A76" s="124">
        <v>68</v>
      </c>
      <c r="B76" s="1131"/>
      <c r="C76" s="1132"/>
      <c r="D76" s="1980" t="s">
        <v>622</v>
      </c>
      <c r="E76" s="1981"/>
      <c r="F76" s="1133"/>
      <c r="G76" s="152"/>
      <c r="H76" s="152">
        <v>13610</v>
      </c>
      <c r="I76" s="1134"/>
      <c r="J76" s="344"/>
      <c r="K76" s="340"/>
      <c r="L76" s="340"/>
      <c r="M76" s="340"/>
      <c r="N76" s="340"/>
      <c r="O76" s="340"/>
      <c r="P76" s="340"/>
      <c r="Q76" s="340"/>
      <c r="R76" s="341"/>
      <c r="S76" s="343"/>
      <c r="T76" s="343"/>
      <c r="U76" s="343"/>
      <c r="V76" s="343"/>
      <c r="W76" s="343"/>
      <c r="X76" s="343"/>
      <c r="Y76" s="343"/>
      <c r="Z76" s="343"/>
      <c r="AA76" s="343"/>
      <c r="AB76" s="343"/>
      <c r="AC76" s="343"/>
      <c r="AD76" s="343"/>
      <c r="AE76" s="343"/>
    </row>
    <row r="77" spans="1:31" s="809" customFormat="1" x14ac:dyDescent="0.3">
      <c r="A77" s="124">
        <v>69</v>
      </c>
      <c r="B77" s="294"/>
      <c r="C77" s="653">
        <v>1</v>
      </c>
      <c r="D77" s="1920" t="s">
        <v>492</v>
      </c>
      <c r="E77" s="1982"/>
      <c r="F77" s="1921"/>
      <c r="G77" s="115">
        <v>5228</v>
      </c>
      <c r="H77" s="115">
        <v>89379</v>
      </c>
      <c r="I77" s="333">
        <v>13739</v>
      </c>
      <c r="J77" s="344"/>
      <c r="K77" s="328"/>
      <c r="L77" s="328"/>
      <c r="M77" s="328"/>
      <c r="N77" s="340"/>
      <c r="O77" s="340"/>
      <c r="P77" s="340"/>
      <c r="Q77" s="340"/>
      <c r="R77" s="341"/>
      <c r="S77" s="808"/>
      <c r="T77" s="808"/>
      <c r="U77" s="808"/>
      <c r="V77" s="808"/>
      <c r="W77" s="808"/>
      <c r="X77" s="808"/>
      <c r="Y77" s="808"/>
      <c r="Z77" s="808"/>
      <c r="AA77" s="808"/>
      <c r="AB77" s="808"/>
      <c r="AC77" s="808"/>
      <c r="AD77" s="808"/>
      <c r="AE77" s="808"/>
    </row>
    <row r="78" spans="1:31" s="51" customFormat="1" x14ac:dyDescent="0.3">
      <c r="A78" s="124">
        <v>70</v>
      </c>
      <c r="B78" s="440"/>
      <c r="C78" s="1276"/>
      <c r="D78" s="1276"/>
      <c r="E78" s="1346" t="s">
        <v>292</v>
      </c>
      <c r="F78" s="1282"/>
      <c r="G78" s="1277"/>
      <c r="H78" s="1277"/>
      <c r="I78" s="804"/>
      <c r="J78" s="805">
        <f>SUM(K78:R78)</f>
        <v>75640</v>
      </c>
      <c r="K78" s="806">
        <v>23241</v>
      </c>
      <c r="L78" s="806">
        <v>4479</v>
      </c>
      <c r="M78" s="806">
        <v>43870</v>
      </c>
      <c r="N78" s="806"/>
      <c r="O78" s="806"/>
      <c r="P78" s="806">
        <v>4050</v>
      </c>
      <c r="Q78" s="806"/>
      <c r="R78" s="807"/>
      <c r="S78" s="264"/>
      <c r="T78" s="264"/>
      <c r="U78" s="264"/>
      <c r="V78" s="264"/>
      <c r="W78" s="264"/>
      <c r="X78" s="264"/>
      <c r="Y78" s="264"/>
      <c r="Z78" s="264"/>
      <c r="AA78" s="264"/>
      <c r="AB78" s="264"/>
      <c r="AC78" s="264"/>
      <c r="AD78" s="264"/>
      <c r="AE78" s="264"/>
    </row>
    <row r="79" spans="1:31" s="767" customFormat="1" x14ac:dyDescent="0.3">
      <c r="A79" s="124">
        <v>71</v>
      </c>
      <c r="B79" s="440"/>
      <c r="C79" s="1276"/>
      <c r="D79" s="1276"/>
      <c r="E79" s="1499" t="s">
        <v>929</v>
      </c>
      <c r="F79" s="1282"/>
      <c r="G79" s="1277"/>
      <c r="H79" s="1277"/>
      <c r="I79" s="804"/>
      <c r="J79" s="1500">
        <f t="shared" ref="J79" si="22">SUM(K79:R79)</f>
        <v>0</v>
      </c>
      <c r="K79" s="806"/>
      <c r="L79" s="806"/>
      <c r="M79" s="806"/>
      <c r="N79" s="806"/>
      <c r="O79" s="806"/>
      <c r="P79" s="806"/>
      <c r="Q79" s="806"/>
      <c r="R79" s="807"/>
      <c r="S79" s="817"/>
      <c r="T79" s="817"/>
      <c r="U79" s="817"/>
      <c r="V79" s="817"/>
      <c r="W79" s="817"/>
      <c r="X79" s="817"/>
      <c r="Y79" s="817"/>
      <c r="Z79" s="817"/>
      <c r="AA79" s="817"/>
      <c r="AB79" s="817"/>
      <c r="AC79" s="817"/>
      <c r="AD79" s="817"/>
      <c r="AE79" s="817"/>
    </row>
    <row r="80" spans="1:31" s="145" customFormat="1" x14ac:dyDescent="0.3">
      <c r="A80" s="124">
        <v>72</v>
      </c>
      <c r="B80" s="440"/>
      <c r="C80" s="1276"/>
      <c r="D80" s="1276"/>
      <c r="E80" s="641" t="s">
        <v>927</v>
      </c>
      <c r="F80" s="1282"/>
      <c r="G80" s="1277"/>
      <c r="H80" s="1277"/>
      <c r="I80" s="804"/>
      <c r="J80" s="336">
        <f>SUM(K80:R80)</f>
        <v>75640</v>
      </c>
      <c r="K80" s="1503">
        <f>SUM(K78:K79)</f>
        <v>23241</v>
      </c>
      <c r="L80" s="1503">
        <f>SUM(L78:L79)</f>
        <v>4479</v>
      </c>
      <c r="M80" s="1503">
        <f>SUM(M78:M79)</f>
        <v>43870</v>
      </c>
      <c r="N80" s="1503"/>
      <c r="O80" s="1503"/>
      <c r="P80" s="1503">
        <f>SUM(P78:P79)</f>
        <v>4050</v>
      </c>
      <c r="Q80" s="806"/>
      <c r="R80" s="807"/>
      <c r="S80" s="271"/>
      <c r="T80" s="271"/>
      <c r="U80" s="271"/>
      <c r="V80" s="271"/>
      <c r="W80" s="271"/>
      <c r="X80" s="271"/>
      <c r="Y80" s="271"/>
      <c r="Z80" s="271"/>
      <c r="AA80" s="271"/>
      <c r="AB80" s="271"/>
      <c r="AC80" s="271"/>
      <c r="AD80" s="271"/>
      <c r="AE80" s="271"/>
    </row>
    <row r="81" spans="1:31" s="809" customFormat="1" x14ac:dyDescent="0.3">
      <c r="A81" s="124">
        <v>73</v>
      </c>
      <c r="B81" s="290">
        <v>11</v>
      </c>
      <c r="C81" s="653"/>
      <c r="D81" s="1911" t="s">
        <v>428</v>
      </c>
      <c r="E81" s="1912"/>
      <c r="F81" s="431" t="s">
        <v>23</v>
      </c>
      <c r="G81" s="115">
        <v>151034</v>
      </c>
      <c r="H81" s="115">
        <v>125328</v>
      </c>
      <c r="I81" s="333">
        <v>136279</v>
      </c>
      <c r="J81" s="344"/>
      <c r="K81" s="115"/>
      <c r="L81" s="115"/>
      <c r="M81" s="115"/>
      <c r="N81" s="115"/>
      <c r="O81" s="115"/>
      <c r="P81" s="115"/>
      <c r="Q81" s="115"/>
      <c r="R81" s="129"/>
      <c r="S81" s="808"/>
      <c r="T81" s="808"/>
      <c r="U81" s="808"/>
      <c r="V81" s="808"/>
      <c r="W81" s="808"/>
      <c r="X81" s="808"/>
      <c r="Y81" s="808"/>
      <c r="Z81" s="808"/>
      <c r="AA81" s="808"/>
      <c r="AB81" s="808"/>
      <c r="AC81" s="808"/>
      <c r="AD81" s="808"/>
      <c r="AE81" s="808"/>
    </row>
    <row r="82" spans="1:31" s="51" customFormat="1" x14ac:dyDescent="0.3">
      <c r="A82" s="124">
        <v>74</v>
      </c>
      <c r="B82" s="440"/>
      <c r="C82" s="1276"/>
      <c r="D82" s="1276"/>
      <c r="E82" s="803" t="s">
        <v>292</v>
      </c>
      <c r="F82" s="1277"/>
      <c r="G82" s="1277"/>
      <c r="H82" s="1277"/>
      <c r="I82" s="804"/>
      <c r="J82" s="805">
        <f>SUM(K82:R82)</f>
        <v>156915</v>
      </c>
      <c r="K82" s="806">
        <v>84974</v>
      </c>
      <c r="L82" s="806">
        <v>13403</v>
      </c>
      <c r="M82" s="806">
        <v>50338</v>
      </c>
      <c r="N82" s="806"/>
      <c r="O82" s="806"/>
      <c r="P82" s="806">
        <v>8200</v>
      </c>
      <c r="Q82" s="806"/>
      <c r="R82" s="807"/>
      <c r="S82" s="264"/>
      <c r="T82" s="264"/>
      <c r="U82" s="264"/>
      <c r="V82" s="264"/>
      <c r="W82" s="264"/>
      <c r="X82" s="264"/>
      <c r="Y82" s="264"/>
      <c r="Z82" s="264"/>
      <c r="AA82" s="264"/>
      <c r="AB82" s="264"/>
      <c r="AC82" s="264"/>
      <c r="AD82" s="264"/>
      <c r="AE82" s="264"/>
    </row>
    <row r="83" spans="1:31" s="148" customFormat="1" x14ac:dyDescent="0.3">
      <c r="A83" s="124">
        <v>75</v>
      </c>
      <c r="B83" s="440"/>
      <c r="C83" s="1276"/>
      <c r="D83" s="1276"/>
      <c r="E83" s="1499" t="s">
        <v>926</v>
      </c>
      <c r="F83" s="1277"/>
      <c r="G83" s="1277"/>
      <c r="H83" s="1277"/>
      <c r="I83" s="804"/>
      <c r="J83" s="1500">
        <f t="shared" ref="J83:J84" si="23">SUM(K83:R83)</f>
        <v>6609</v>
      </c>
      <c r="K83" s="340">
        <v>3000</v>
      </c>
      <c r="L83" s="340">
        <v>465</v>
      </c>
      <c r="M83" s="340">
        <f>1664-20</f>
        <v>1644</v>
      </c>
      <c r="N83" s="340"/>
      <c r="O83" s="340"/>
      <c r="P83" s="340">
        <v>1500</v>
      </c>
      <c r="Q83" s="806"/>
      <c r="R83" s="807"/>
      <c r="S83" s="266"/>
      <c r="T83" s="150"/>
      <c r="U83" s="150"/>
      <c r="V83" s="150"/>
      <c r="W83" s="150"/>
      <c r="X83" s="150"/>
      <c r="Y83" s="150"/>
      <c r="Z83" s="150"/>
      <c r="AA83" s="150"/>
      <c r="AB83" s="150"/>
      <c r="AC83" s="150"/>
      <c r="AD83" s="150"/>
      <c r="AE83" s="150"/>
    </row>
    <row r="84" spans="1:31" s="767" customFormat="1" x14ac:dyDescent="0.3">
      <c r="A84" s="124">
        <v>76</v>
      </c>
      <c r="B84" s="440"/>
      <c r="C84" s="1276"/>
      <c r="D84" s="1276"/>
      <c r="E84" s="1499" t="s">
        <v>937</v>
      </c>
      <c r="F84" s="1277"/>
      <c r="G84" s="1277"/>
      <c r="H84" s="1277"/>
      <c r="I84" s="804"/>
      <c r="J84" s="1500">
        <f t="shared" si="23"/>
        <v>3720</v>
      </c>
      <c r="K84" s="340">
        <f>400+2896</f>
        <v>3296</v>
      </c>
      <c r="L84" s="340">
        <f>62+362</f>
        <v>424</v>
      </c>
      <c r="M84" s="806"/>
      <c r="N84" s="806"/>
      <c r="O84" s="806"/>
      <c r="P84" s="806"/>
      <c r="Q84" s="806"/>
      <c r="R84" s="807"/>
      <c r="S84" s="817"/>
      <c r="T84" s="817"/>
      <c r="U84" s="817"/>
      <c r="V84" s="817"/>
      <c r="W84" s="817"/>
      <c r="X84" s="817"/>
      <c r="Y84" s="817"/>
      <c r="Z84" s="817"/>
      <c r="AA84" s="817"/>
      <c r="AB84" s="817"/>
      <c r="AC84" s="817"/>
      <c r="AD84" s="817"/>
      <c r="AE84" s="817"/>
    </row>
    <row r="85" spans="1:31" s="52" customFormat="1" x14ac:dyDescent="0.3">
      <c r="A85" s="124">
        <v>77</v>
      </c>
      <c r="B85" s="440"/>
      <c r="C85" s="1276"/>
      <c r="D85" s="1276"/>
      <c r="E85" s="641" t="s">
        <v>927</v>
      </c>
      <c r="F85" s="1277"/>
      <c r="G85" s="1277"/>
      <c r="H85" s="1277"/>
      <c r="I85" s="804"/>
      <c r="J85" s="336">
        <f>SUM(K85:R85)</f>
        <v>167244</v>
      </c>
      <c r="K85" s="1503">
        <f>SUM(K82:K84)</f>
        <v>91270</v>
      </c>
      <c r="L85" s="1503">
        <f t="shared" ref="L85:P85" si="24">SUM(L82:L84)</f>
        <v>14292</v>
      </c>
      <c r="M85" s="1503">
        <f t="shared" si="24"/>
        <v>51982</v>
      </c>
      <c r="N85" s="1503"/>
      <c r="O85" s="1503"/>
      <c r="P85" s="1503">
        <f t="shared" si="24"/>
        <v>9700</v>
      </c>
      <c r="Q85" s="806"/>
      <c r="R85" s="807"/>
      <c r="S85" s="268"/>
      <c r="T85" s="268"/>
      <c r="U85" s="268"/>
      <c r="V85" s="268"/>
      <c r="W85" s="268"/>
      <c r="X85" s="268"/>
      <c r="Y85" s="268"/>
      <c r="Z85" s="268"/>
      <c r="AA85" s="268"/>
      <c r="AB85" s="268"/>
      <c r="AC85" s="268"/>
      <c r="AD85" s="268"/>
      <c r="AE85" s="268"/>
    </row>
    <row r="86" spans="1:31" s="767" customFormat="1" x14ac:dyDescent="0.3">
      <c r="A86" s="124">
        <v>78</v>
      </c>
      <c r="B86" s="1131"/>
      <c r="C86" s="1132"/>
      <c r="D86" s="1980" t="s">
        <v>622</v>
      </c>
      <c r="E86" s="1981"/>
      <c r="F86" s="1133"/>
      <c r="G86" s="152"/>
      <c r="H86" s="152">
        <v>13610</v>
      </c>
      <c r="I86" s="435">
        <v>0</v>
      </c>
      <c r="J86" s="344"/>
      <c r="K86" s="340"/>
      <c r="L86" s="340"/>
      <c r="M86" s="340"/>
      <c r="N86" s="340"/>
      <c r="O86" s="340"/>
      <c r="P86" s="340"/>
      <c r="Q86" s="340"/>
      <c r="R86" s="341"/>
      <c r="S86" s="817"/>
      <c r="T86" s="817"/>
      <c r="U86" s="817"/>
      <c r="V86" s="817"/>
      <c r="W86" s="817"/>
      <c r="X86" s="817"/>
      <c r="Y86" s="817"/>
      <c r="Z86" s="817"/>
      <c r="AA86" s="817"/>
      <c r="AB86" s="817"/>
      <c r="AC86" s="817"/>
      <c r="AD86" s="817"/>
      <c r="AE86" s="817"/>
    </row>
    <row r="87" spans="1:31" s="52" customFormat="1" x14ac:dyDescent="0.3">
      <c r="A87" s="124">
        <v>79</v>
      </c>
      <c r="B87" s="294"/>
      <c r="C87" s="653">
        <v>1</v>
      </c>
      <c r="D87" s="1911" t="s">
        <v>640</v>
      </c>
      <c r="E87" s="1912"/>
      <c r="F87" s="434"/>
      <c r="G87" s="115"/>
      <c r="H87" s="115"/>
      <c r="I87" s="435">
        <v>0</v>
      </c>
      <c r="J87" s="344"/>
      <c r="K87" s="328"/>
      <c r="L87" s="328"/>
      <c r="M87" s="328"/>
      <c r="N87" s="340"/>
      <c r="O87" s="340"/>
      <c r="P87" s="340"/>
      <c r="Q87" s="340"/>
      <c r="R87" s="341"/>
      <c r="S87" s="268"/>
      <c r="T87" s="268"/>
      <c r="U87" s="268"/>
      <c r="V87" s="268"/>
      <c r="W87" s="268"/>
      <c r="X87" s="268"/>
      <c r="Y87" s="268"/>
      <c r="Z87" s="268"/>
      <c r="AA87" s="268"/>
      <c r="AB87" s="268"/>
      <c r="AC87" s="268"/>
      <c r="AD87" s="268"/>
      <c r="AE87" s="268"/>
    </row>
    <row r="88" spans="1:31" s="767" customFormat="1" x14ac:dyDescent="0.3">
      <c r="A88" s="124">
        <v>80</v>
      </c>
      <c r="B88" s="440"/>
      <c r="C88" s="1276"/>
      <c r="D88" s="1276"/>
      <c r="E88" s="1346" t="s">
        <v>292</v>
      </c>
      <c r="F88" s="1282"/>
      <c r="G88" s="1277"/>
      <c r="H88" s="1277"/>
      <c r="I88" s="804"/>
      <c r="J88" s="805">
        <f>SUM(K88:R88)</f>
        <v>2349</v>
      </c>
      <c r="K88" s="806"/>
      <c r="L88" s="806"/>
      <c r="M88" s="806">
        <v>2349</v>
      </c>
      <c r="N88" s="806"/>
      <c r="O88" s="806"/>
      <c r="P88" s="806"/>
      <c r="Q88" s="806"/>
      <c r="R88" s="807"/>
      <c r="S88" s="817"/>
      <c r="T88" s="817"/>
      <c r="U88" s="817"/>
      <c r="V88" s="817"/>
      <c r="W88" s="817"/>
      <c r="X88" s="817"/>
      <c r="Y88" s="817"/>
      <c r="Z88" s="817"/>
      <c r="AA88" s="817"/>
      <c r="AB88" s="817"/>
      <c r="AC88" s="817"/>
      <c r="AD88" s="817"/>
      <c r="AE88" s="817"/>
    </row>
    <row r="89" spans="1:31" s="52" customFormat="1" x14ac:dyDescent="0.3">
      <c r="A89" s="124">
        <v>81</v>
      </c>
      <c r="B89" s="440"/>
      <c r="C89" s="1276"/>
      <c r="D89" s="1276"/>
      <c r="E89" s="1499" t="s">
        <v>929</v>
      </c>
      <c r="F89" s="1282"/>
      <c r="G89" s="1277"/>
      <c r="H89" s="1277"/>
      <c r="I89" s="804"/>
      <c r="J89" s="1500">
        <f t="shared" ref="J89" si="25">SUM(K89:R89)</f>
        <v>0</v>
      </c>
      <c r="K89" s="806"/>
      <c r="L89" s="806"/>
      <c r="M89" s="806"/>
      <c r="N89" s="806"/>
      <c r="O89" s="806"/>
      <c r="P89" s="806"/>
      <c r="Q89" s="806"/>
      <c r="R89" s="807"/>
      <c r="S89" s="268"/>
      <c r="T89" s="268"/>
      <c r="U89" s="268"/>
      <c r="V89" s="268"/>
      <c r="W89" s="268"/>
      <c r="X89" s="268"/>
      <c r="Y89" s="268"/>
      <c r="Z89" s="268"/>
      <c r="AA89" s="268"/>
      <c r="AB89" s="268"/>
      <c r="AC89" s="268"/>
      <c r="AD89" s="268"/>
      <c r="AE89" s="268"/>
    </row>
    <row r="90" spans="1:31" s="767" customFormat="1" x14ac:dyDescent="0.3">
      <c r="A90" s="124">
        <v>82</v>
      </c>
      <c r="B90" s="440"/>
      <c r="C90" s="1276"/>
      <c r="D90" s="1276"/>
      <c r="E90" s="641" t="s">
        <v>927</v>
      </c>
      <c r="F90" s="1282"/>
      <c r="G90" s="1277"/>
      <c r="H90" s="1277"/>
      <c r="I90" s="804"/>
      <c r="J90" s="336">
        <f>SUM(K90:R90)</f>
        <v>2349</v>
      </c>
      <c r="K90" s="806"/>
      <c r="L90" s="806"/>
      <c r="M90" s="1503">
        <f>SUM(M88:M89)</f>
        <v>2349</v>
      </c>
      <c r="N90" s="806"/>
      <c r="O90" s="806"/>
      <c r="P90" s="806"/>
      <c r="Q90" s="806"/>
      <c r="R90" s="807"/>
      <c r="S90" s="817"/>
      <c r="T90" s="817"/>
      <c r="U90" s="817"/>
      <c r="V90" s="817"/>
      <c r="W90" s="817"/>
      <c r="X90" s="817"/>
      <c r="Y90" s="817"/>
      <c r="Z90" s="817"/>
      <c r="AA90" s="817"/>
      <c r="AB90" s="817"/>
      <c r="AC90" s="817"/>
      <c r="AD90" s="817"/>
      <c r="AE90" s="817"/>
    </row>
    <row r="91" spans="1:31" s="52" customFormat="1" x14ac:dyDescent="0.3">
      <c r="A91" s="124">
        <v>83</v>
      </c>
      <c r="B91" s="290">
        <v>12</v>
      </c>
      <c r="C91" s="653"/>
      <c r="D91" s="1911" t="s">
        <v>25</v>
      </c>
      <c r="E91" s="1912"/>
      <c r="F91" s="431" t="s">
        <v>23</v>
      </c>
      <c r="G91" s="115">
        <v>440640</v>
      </c>
      <c r="H91" s="115">
        <v>411904</v>
      </c>
      <c r="I91" s="333">
        <v>449529</v>
      </c>
      <c r="J91" s="344"/>
      <c r="K91" s="115"/>
      <c r="L91" s="115"/>
      <c r="M91" s="115"/>
      <c r="N91" s="115"/>
      <c r="O91" s="115"/>
      <c r="P91" s="115"/>
      <c r="Q91" s="115"/>
      <c r="R91" s="129"/>
      <c r="S91" s="268"/>
      <c r="T91" s="268"/>
      <c r="U91" s="268"/>
      <c r="V91" s="268"/>
      <c r="W91" s="268"/>
      <c r="X91" s="268"/>
      <c r="Y91" s="268"/>
      <c r="Z91" s="268"/>
      <c r="AA91" s="268"/>
      <c r="AB91" s="268"/>
      <c r="AC91" s="268"/>
      <c r="AD91" s="268"/>
      <c r="AE91" s="268"/>
    </row>
    <row r="92" spans="1:31" s="809" customFormat="1" x14ac:dyDescent="0.3">
      <c r="A92" s="124">
        <v>84</v>
      </c>
      <c r="B92" s="440"/>
      <c r="C92" s="1276"/>
      <c r="D92" s="1276"/>
      <c r="E92" s="803" t="s">
        <v>292</v>
      </c>
      <c r="F92" s="1277"/>
      <c r="G92" s="1277"/>
      <c r="H92" s="1277"/>
      <c r="I92" s="804"/>
      <c r="J92" s="805">
        <f>SUM(K92:R92)</f>
        <v>458734</v>
      </c>
      <c r="K92" s="806">
        <v>206995</v>
      </c>
      <c r="L92" s="806">
        <v>35904</v>
      </c>
      <c r="M92" s="806">
        <v>186381</v>
      </c>
      <c r="N92" s="806"/>
      <c r="O92" s="806"/>
      <c r="P92" s="806">
        <v>29454</v>
      </c>
      <c r="Q92" s="806"/>
      <c r="R92" s="807"/>
      <c r="S92" s="808"/>
      <c r="T92" s="808"/>
      <c r="U92" s="808"/>
      <c r="V92" s="808"/>
      <c r="W92" s="808"/>
      <c r="X92" s="808"/>
      <c r="Y92" s="808"/>
      <c r="Z92" s="808"/>
      <c r="AA92" s="808"/>
      <c r="AB92" s="808"/>
      <c r="AC92" s="808"/>
      <c r="AD92" s="808"/>
      <c r="AE92" s="808"/>
    </row>
    <row r="93" spans="1:31" s="52" customFormat="1" x14ac:dyDescent="0.3">
      <c r="A93" s="124">
        <v>85</v>
      </c>
      <c r="B93" s="440"/>
      <c r="C93" s="1276"/>
      <c r="D93" s="1276"/>
      <c r="E93" s="1499" t="s">
        <v>926</v>
      </c>
      <c r="F93" s="1277"/>
      <c r="G93" s="1277"/>
      <c r="H93" s="1277"/>
      <c r="I93" s="804"/>
      <c r="J93" s="1500">
        <f t="shared" ref="J93:J94" si="26">SUM(K93:R93)</f>
        <v>8053</v>
      </c>
      <c r="K93" s="340">
        <v>1097</v>
      </c>
      <c r="L93" s="340">
        <v>157</v>
      </c>
      <c r="M93" s="340">
        <v>6799</v>
      </c>
      <c r="N93" s="806"/>
      <c r="O93" s="806"/>
      <c r="P93" s="806"/>
      <c r="Q93" s="806"/>
      <c r="R93" s="807"/>
      <c r="S93" s="268"/>
      <c r="T93" s="268"/>
      <c r="U93" s="268"/>
      <c r="V93" s="268"/>
      <c r="W93" s="268"/>
      <c r="X93" s="268"/>
      <c r="Y93" s="268"/>
      <c r="Z93" s="268"/>
      <c r="AA93" s="268"/>
      <c r="AB93" s="268"/>
      <c r="AC93" s="268"/>
      <c r="AD93" s="268"/>
      <c r="AE93" s="268"/>
    </row>
    <row r="94" spans="1:31" s="809" customFormat="1" x14ac:dyDescent="0.3">
      <c r="A94" s="124">
        <v>86</v>
      </c>
      <c r="B94" s="440"/>
      <c r="C94" s="1276"/>
      <c r="D94" s="1276"/>
      <c r="E94" s="1499" t="s">
        <v>947</v>
      </c>
      <c r="F94" s="1277"/>
      <c r="G94" s="1277"/>
      <c r="H94" s="1277"/>
      <c r="I94" s="804"/>
      <c r="J94" s="1500">
        <f t="shared" si="26"/>
        <v>0</v>
      </c>
      <c r="K94" s="806"/>
      <c r="L94" s="806"/>
      <c r="M94" s="340">
        <f>-51000-650</f>
        <v>-51650</v>
      </c>
      <c r="N94" s="340"/>
      <c r="O94" s="340"/>
      <c r="P94" s="340">
        <f>51000+650</f>
        <v>51650</v>
      </c>
      <c r="Q94" s="806"/>
      <c r="R94" s="807"/>
      <c r="S94" s="808"/>
      <c r="T94" s="808"/>
      <c r="U94" s="808"/>
      <c r="V94" s="808"/>
      <c r="W94" s="808"/>
      <c r="X94" s="808"/>
      <c r="Y94" s="808"/>
      <c r="Z94" s="808"/>
      <c r="AA94" s="808"/>
      <c r="AB94" s="808"/>
      <c r="AC94" s="808"/>
      <c r="AD94" s="808"/>
      <c r="AE94" s="808"/>
    </row>
    <row r="95" spans="1:31" s="42" customFormat="1" x14ac:dyDescent="0.3">
      <c r="A95" s="124">
        <v>87</v>
      </c>
      <c r="B95" s="440"/>
      <c r="C95" s="1276"/>
      <c r="D95" s="1276"/>
      <c r="E95" s="641" t="s">
        <v>927</v>
      </c>
      <c r="F95" s="1277"/>
      <c r="G95" s="1277"/>
      <c r="H95" s="1277"/>
      <c r="I95" s="804"/>
      <c r="J95" s="336">
        <f>SUM(K95:R95)</f>
        <v>466787</v>
      </c>
      <c r="K95" s="1503">
        <f>SUM(K92:K94)</f>
        <v>208092</v>
      </c>
      <c r="L95" s="1503">
        <f t="shared" ref="L95:P95" si="27">SUM(L92:L94)</f>
        <v>36061</v>
      </c>
      <c r="M95" s="1503">
        <f>SUM(M92:M94)</f>
        <v>141530</v>
      </c>
      <c r="N95" s="1503"/>
      <c r="O95" s="1503"/>
      <c r="P95" s="1503">
        <f t="shared" si="27"/>
        <v>81104</v>
      </c>
      <c r="Q95" s="806"/>
      <c r="R95" s="807"/>
      <c r="S95" s="213"/>
      <c r="T95" s="213"/>
      <c r="U95" s="213"/>
      <c r="V95" s="213"/>
      <c r="W95" s="213"/>
      <c r="X95" s="213"/>
      <c r="Y95" s="213"/>
      <c r="Z95" s="213"/>
      <c r="AA95" s="213"/>
      <c r="AB95" s="213"/>
      <c r="AC95" s="213"/>
      <c r="AD95" s="213"/>
      <c r="AE95" s="213"/>
    </row>
    <row r="96" spans="1:31" s="764" customFormat="1" x14ac:dyDescent="0.3">
      <c r="A96" s="124">
        <v>88</v>
      </c>
      <c r="B96" s="1131"/>
      <c r="C96" s="1132"/>
      <c r="D96" s="1980" t="s">
        <v>622</v>
      </c>
      <c r="E96" s="1981"/>
      <c r="F96" s="1133"/>
      <c r="G96" s="152"/>
      <c r="H96" s="152">
        <v>13610</v>
      </c>
      <c r="I96" s="435">
        <v>0</v>
      </c>
      <c r="J96" s="344"/>
      <c r="K96" s="340"/>
      <c r="L96" s="340"/>
      <c r="M96" s="340"/>
      <c r="N96" s="340"/>
      <c r="O96" s="340"/>
      <c r="P96" s="340"/>
      <c r="Q96" s="340"/>
      <c r="R96" s="341"/>
      <c r="S96" s="828"/>
      <c r="T96" s="828"/>
      <c r="U96" s="828"/>
      <c r="V96" s="828"/>
      <c r="W96" s="828"/>
      <c r="X96" s="828"/>
      <c r="Y96" s="828"/>
      <c r="Z96" s="828"/>
      <c r="AA96" s="828"/>
      <c r="AB96" s="828"/>
      <c r="AC96" s="828"/>
      <c r="AD96" s="828"/>
      <c r="AE96" s="828"/>
    </row>
    <row r="97" spans="1:31" s="42" customFormat="1" x14ac:dyDescent="0.3">
      <c r="A97" s="124">
        <v>89</v>
      </c>
      <c r="B97" s="294"/>
      <c r="C97" s="653">
        <v>2</v>
      </c>
      <c r="D97" s="1920" t="s">
        <v>492</v>
      </c>
      <c r="E97" s="1982"/>
      <c r="F97" s="1921"/>
      <c r="G97" s="115">
        <v>2096</v>
      </c>
      <c r="H97" s="115">
        <v>55574</v>
      </c>
      <c r="I97" s="333">
        <v>5801</v>
      </c>
      <c r="J97" s="344"/>
      <c r="K97" s="328"/>
      <c r="L97" s="328"/>
      <c r="M97" s="328"/>
      <c r="N97" s="340"/>
      <c r="O97" s="340"/>
      <c r="P97" s="340"/>
      <c r="Q97" s="340"/>
      <c r="R97" s="341"/>
      <c r="S97" s="213"/>
      <c r="T97" s="213"/>
      <c r="U97" s="213"/>
      <c r="V97" s="213"/>
      <c r="W97" s="213"/>
      <c r="X97" s="213"/>
      <c r="Y97" s="213"/>
      <c r="Z97" s="213"/>
      <c r="AA97" s="213"/>
      <c r="AB97" s="213"/>
      <c r="AC97" s="213"/>
      <c r="AD97" s="213"/>
      <c r="AE97" s="213"/>
    </row>
    <row r="98" spans="1:31" s="764" customFormat="1" x14ac:dyDescent="0.3">
      <c r="A98" s="124">
        <v>90</v>
      </c>
      <c r="B98" s="440"/>
      <c r="C98" s="1276"/>
      <c r="D98" s="1276"/>
      <c r="E98" s="1346" t="s">
        <v>292</v>
      </c>
      <c r="F98" s="1282"/>
      <c r="G98" s="1277"/>
      <c r="H98" s="1277"/>
      <c r="I98" s="804"/>
      <c r="J98" s="805">
        <f>SUM(K98:R98)</f>
        <v>49690</v>
      </c>
      <c r="K98" s="806">
        <v>9276</v>
      </c>
      <c r="L98" s="806">
        <v>1747</v>
      </c>
      <c r="M98" s="806">
        <v>36267</v>
      </c>
      <c r="N98" s="806"/>
      <c r="O98" s="806"/>
      <c r="P98" s="806">
        <v>2400</v>
      </c>
      <c r="Q98" s="806"/>
      <c r="R98" s="807"/>
      <c r="S98" s="828"/>
      <c r="T98" s="828"/>
      <c r="U98" s="828"/>
      <c r="V98" s="828"/>
      <c r="W98" s="828"/>
      <c r="X98" s="828"/>
      <c r="Y98" s="828"/>
      <c r="Z98" s="828"/>
      <c r="AA98" s="828"/>
      <c r="AB98" s="828"/>
      <c r="AC98" s="828"/>
      <c r="AD98" s="828"/>
      <c r="AE98" s="828"/>
    </row>
    <row r="99" spans="1:31" s="42" customFormat="1" x14ac:dyDescent="0.3">
      <c r="A99" s="124">
        <v>91</v>
      </c>
      <c r="B99" s="440"/>
      <c r="C99" s="1276"/>
      <c r="D99" s="1276"/>
      <c r="E99" s="1499" t="s">
        <v>929</v>
      </c>
      <c r="F99" s="1282"/>
      <c r="G99" s="1277"/>
      <c r="H99" s="1277"/>
      <c r="I99" s="804"/>
      <c r="J99" s="1500">
        <f t="shared" ref="J99" si="28">SUM(K99:R99)</f>
        <v>0</v>
      </c>
      <c r="K99" s="806"/>
      <c r="L99" s="806"/>
      <c r="M99" s="806"/>
      <c r="N99" s="806"/>
      <c r="O99" s="806"/>
      <c r="P99" s="806"/>
      <c r="Q99" s="806"/>
      <c r="R99" s="807"/>
      <c r="S99" s="213"/>
      <c r="T99" s="213"/>
      <c r="U99" s="213"/>
      <c r="V99" s="213"/>
      <c r="W99" s="213"/>
      <c r="X99" s="213"/>
      <c r="Y99" s="213"/>
      <c r="Z99" s="213"/>
      <c r="AA99" s="213"/>
      <c r="AB99" s="213"/>
      <c r="AC99" s="213"/>
      <c r="AD99" s="213"/>
      <c r="AE99" s="213"/>
    </row>
    <row r="100" spans="1:31" s="764" customFormat="1" x14ac:dyDescent="0.3">
      <c r="A100" s="124">
        <v>92</v>
      </c>
      <c r="B100" s="440"/>
      <c r="C100" s="1276"/>
      <c r="D100" s="1276"/>
      <c r="E100" s="641" t="s">
        <v>927</v>
      </c>
      <c r="F100" s="1282"/>
      <c r="G100" s="1277"/>
      <c r="H100" s="1277"/>
      <c r="I100" s="804"/>
      <c r="J100" s="336">
        <f>SUM(K100:R100)</f>
        <v>49690</v>
      </c>
      <c r="K100" s="1503">
        <f>SUM(K98:K99)</f>
        <v>9276</v>
      </c>
      <c r="L100" s="1503">
        <f t="shared" ref="L100:P100" si="29">SUM(L98:L99)</f>
        <v>1747</v>
      </c>
      <c r="M100" s="1503">
        <f t="shared" si="29"/>
        <v>36267</v>
      </c>
      <c r="N100" s="1503"/>
      <c r="O100" s="1503"/>
      <c r="P100" s="1503">
        <f t="shared" si="29"/>
        <v>2400</v>
      </c>
      <c r="Q100" s="806"/>
      <c r="R100" s="807"/>
      <c r="S100" s="828"/>
      <c r="T100" s="828"/>
      <c r="U100" s="828"/>
      <c r="V100" s="828"/>
      <c r="W100" s="828"/>
      <c r="X100" s="828"/>
      <c r="Y100" s="828"/>
      <c r="Z100" s="828"/>
      <c r="AA100" s="828"/>
      <c r="AB100" s="828"/>
      <c r="AC100" s="828"/>
      <c r="AD100" s="828"/>
      <c r="AE100" s="828"/>
    </row>
    <row r="101" spans="1:31" s="1079" customFormat="1" x14ac:dyDescent="0.3">
      <c r="A101" s="124">
        <v>93</v>
      </c>
      <c r="B101" s="290">
        <v>13</v>
      </c>
      <c r="C101" s="653"/>
      <c r="D101" s="1911" t="s">
        <v>32</v>
      </c>
      <c r="E101" s="1912"/>
      <c r="F101" s="431" t="s">
        <v>23</v>
      </c>
      <c r="G101" s="115">
        <v>433574</v>
      </c>
      <c r="H101" s="115">
        <v>406719</v>
      </c>
      <c r="I101" s="333">
        <v>399150</v>
      </c>
      <c r="J101" s="344"/>
      <c r="K101" s="115"/>
      <c r="L101" s="115"/>
      <c r="M101" s="115"/>
      <c r="N101" s="115"/>
      <c r="O101" s="115"/>
      <c r="P101" s="115"/>
      <c r="Q101" s="115"/>
      <c r="R101" s="129"/>
      <c r="S101" s="980"/>
      <c r="T101" s="1078"/>
      <c r="U101" s="1078"/>
      <c r="V101" s="1078"/>
      <c r="W101" s="1078"/>
      <c r="X101" s="1078"/>
      <c r="Y101" s="1078"/>
      <c r="Z101" s="1078"/>
      <c r="AA101" s="1078"/>
      <c r="AB101" s="1078"/>
      <c r="AC101" s="1078"/>
      <c r="AD101" s="1078"/>
      <c r="AE101" s="1078"/>
    </row>
    <row r="102" spans="1:31" s="1081" customFormat="1" x14ac:dyDescent="0.3">
      <c r="A102" s="124">
        <v>94</v>
      </c>
      <c r="B102" s="440"/>
      <c r="C102" s="1276"/>
      <c r="D102" s="1276"/>
      <c r="E102" s="803" t="s">
        <v>292</v>
      </c>
      <c r="F102" s="1277"/>
      <c r="G102" s="1277"/>
      <c r="H102" s="1277"/>
      <c r="I102" s="804"/>
      <c r="J102" s="805">
        <f>SUM(K102:R102)</f>
        <v>442284</v>
      </c>
      <c r="K102" s="806">
        <v>234259</v>
      </c>
      <c r="L102" s="806">
        <v>41899</v>
      </c>
      <c r="M102" s="806">
        <v>158069</v>
      </c>
      <c r="N102" s="806"/>
      <c r="O102" s="806"/>
      <c r="P102" s="806">
        <v>8057</v>
      </c>
      <c r="Q102" s="806"/>
      <c r="R102" s="807"/>
      <c r="S102" s="1080"/>
      <c r="T102" s="1080"/>
      <c r="U102" s="1080"/>
      <c r="V102" s="1080"/>
      <c r="W102" s="1080"/>
      <c r="X102" s="1080"/>
      <c r="Y102" s="1080"/>
      <c r="Z102" s="1080"/>
      <c r="AA102" s="1080"/>
      <c r="AB102" s="1080"/>
      <c r="AC102" s="1080"/>
      <c r="AD102" s="1080"/>
      <c r="AE102" s="1080"/>
    </row>
    <row r="103" spans="1:31" s="42" customFormat="1" x14ac:dyDescent="0.3">
      <c r="A103" s="124">
        <v>95</v>
      </c>
      <c r="B103" s="440"/>
      <c r="C103" s="1276"/>
      <c r="D103" s="1276"/>
      <c r="E103" s="1499" t="s">
        <v>926</v>
      </c>
      <c r="F103" s="1277"/>
      <c r="G103" s="1277"/>
      <c r="H103" s="1277"/>
      <c r="I103" s="804"/>
      <c r="J103" s="1500">
        <f t="shared" ref="J103:J106" si="30">SUM(K103:R103)</f>
        <v>21415</v>
      </c>
      <c r="K103" s="340">
        <v>367</v>
      </c>
      <c r="L103" s="340">
        <v>140</v>
      </c>
      <c r="M103" s="340">
        <v>20610</v>
      </c>
      <c r="N103" s="340"/>
      <c r="O103" s="340"/>
      <c r="P103" s="340">
        <v>298</v>
      </c>
      <c r="Q103" s="806"/>
      <c r="R103" s="807"/>
      <c r="S103" s="213"/>
      <c r="T103" s="213"/>
      <c r="U103" s="213"/>
      <c r="V103" s="213"/>
      <c r="W103" s="213"/>
      <c r="X103" s="213"/>
      <c r="Y103" s="213"/>
      <c r="Z103" s="213"/>
      <c r="AA103" s="213"/>
      <c r="AB103" s="213"/>
      <c r="AC103" s="213"/>
      <c r="AD103" s="213"/>
      <c r="AE103" s="213"/>
    </row>
    <row r="104" spans="1:31" s="42" customFormat="1" x14ac:dyDescent="0.3">
      <c r="A104" s="124">
        <v>96</v>
      </c>
      <c r="B104" s="440"/>
      <c r="C104" s="1276"/>
      <c r="D104" s="1276"/>
      <c r="E104" s="1499" t="s">
        <v>938</v>
      </c>
      <c r="F104" s="1277"/>
      <c r="G104" s="1277"/>
      <c r="H104" s="1277"/>
      <c r="I104" s="804"/>
      <c r="J104" s="1500">
        <f t="shared" si="30"/>
        <v>-69850</v>
      </c>
      <c r="K104" s="1503"/>
      <c r="L104" s="1503"/>
      <c r="M104" s="340">
        <v>-69850</v>
      </c>
      <c r="N104" s="1503"/>
      <c r="O104" s="1503"/>
      <c r="P104" s="1503"/>
      <c r="Q104" s="806"/>
      <c r="R104" s="807"/>
      <c r="S104" s="213"/>
      <c r="T104" s="213"/>
      <c r="U104" s="213"/>
      <c r="V104" s="213"/>
      <c r="W104" s="213"/>
      <c r="X104" s="213"/>
      <c r="Y104" s="213"/>
      <c r="Z104" s="213"/>
      <c r="AA104" s="213"/>
      <c r="AB104" s="213"/>
      <c r="AC104" s="213"/>
      <c r="AD104" s="213"/>
      <c r="AE104" s="213"/>
    </row>
    <row r="105" spans="1:31" s="42" customFormat="1" x14ac:dyDescent="0.3">
      <c r="A105" s="124">
        <v>97</v>
      </c>
      <c r="B105" s="440"/>
      <c r="C105" s="1276"/>
      <c r="D105" s="1276"/>
      <c r="E105" s="1499" t="s">
        <v>948</v>
      </c>
      <c r="F105" s="1277"/>
      <c r="G105" s="1277"/>
      <c r="H105" s="1277"/>
      <c r="I105" s="804"/>
      <c r="J105" s="1500">
        <f t="shared" si="30"/>
        <v>7008</v>
      </c>
      <c r="K105" s="1503"/>
      <c r="L105" s="1503"/>
      <c r="M105" s="340"/>
      <c r="N105" s="1503"/>
      <c r="O105" s="1503"/>
      <c r="P105" s="340">
        <v>7008</v>
      </c>
      <c r="Q105" s="806"/>
      <c r="R105" s="807"/>
      <c r="S105" s="213"/>
      <c r="T105" s="213"/>
      <c r="U105" s="213"/>
      <c r="V105" s="213"/>
      <c r="W105" s="213"/>
      <c r="X105" s="213"/>
      <c r="Y105" s="213"/>
      <c r="Z105" s="213"/>
      <c r="AA105" s="213"/>
      <c r="AB105" s="213"/>
      <c r="AC105" s="213"/>
      <c r="AD105" s="213"/>
      <c r="AE105" s="213"/>
    </row>
    <row r="106" spans="1:31" s="42" customFormat="1" x14ac:dyDescent="0.3">
      <c r="A106" s="124">
        <v>98</v>
      </c>
      <c r="B106" s="440"/>
      <c r="C106" s="1276"/>
      <c r="D106" s="1276"/>
      <c r="E106" s="1499" t="s">
        <v>947</v>
      </c>
      <c r="F106" s="1277"/>
      <c r="G106" s="1277"/>
      <c r="H106" s="1277"/>
      <c r="I106" s="804"/>
      <c r="J106" s="1500">
        <f t="shared" si="30"/>
        <v>0</v>
      </c>
      <c r="K106" s="1503"/>
      <c r="L106" s="1503"/>
      <c r="M106" s="340">
        <v>-13000</v>
      </c>
      <c r="N106" s="1503"/>
      <c r="O106" s="1503"/>
      <c r="P106" s="340">
        <v>13000</v>
      </c>
      <c r="Q106" s="806"/>
      <c r="R106" s="807"/>
      <c r="S106" s="213"/>
      <c r="T106" s="213"/>
      <c r="U106" s="213"/>
      <c r="V106" s="213"/>
      <c r="W106" s="213"/>
      <c r="X106" s="213"/>
      <c r="Y106" s="213"/>
      <c r="Z106" s="213"/>
      <c r="AA106" s="213"/>
      <c r="AB106" s="213"/>
      <c r="AC106" s="213"/>
      <c r="AD106" s="213"/>
      <c r="AE106" s="213"/>
    </row>
    <row r="107" spans="1:31" s="42" customFormat="1" x14ac:dyDescent="0.3">
      <c r="A107" s="124">
        <v>99</v>
      </c>
      <c r="B107" s="440"/>
      <c r="C107" s="1276"/>
      <c r="D107" s="1276"/>
      <c r="E107" s="641" t="s">
        <v>927</v>
      </c>
      <c r="F107" s="1277"/>
      <c r="G107" s="1277"/>
      <c r="H107" s="1277"/>
      <c r="I107" s="804"/>
      <c r="J107" s="336">
        <f>SUM(K107:R107)</f>
        <v>400857</v>
      </c>
      <c r="K107" s="1503">
        <f>SUM(K102:K106)</f>
        <v>234626</v>
      </c>
      <c r="L107" s="1503">
        <f t="shared" ref="L107:P107" si="31">SUM(L102:L106)</f>
        <v>42039</v>
      </c>
      <c r="M107" s="1503">
        <f t="shared" si="31"/>
        <v>95829</v>
      </c>
      <c r="N107" s="1503"/>
      <c r="O107" s="1503"/>
      <c r="P107" s="1503">
        <f t="shared" si="31"/>
        <v>28363</v>
      </c>
      <c r="Q107" s="806"/>
      <c r="R107" s="807"/>
      <c r="S107" s="213"/>
      <c r="T107" s="213"/>
      <c r="U107" s="213"/>
      <c r="V107" s="213"/>
      <c r="W107" s="213"/>
      <c r="X107" s="213"/>
      <c r="Y107" s="213"/>
      <c r="Z107" s="213"/>
      <c r="AA107" s="213"/>
      <c r="AB107" s="213"/>
      <c r="AC107" s="213"/>
      <c r="AD107" s="213"/>
      <c r="AE107" s="213"/>
    </row>
    <row r="108" spans="1:31" s="42" customFormat="1" x14ac:dyDescent="0.3">
      <c r="A108" s="124">
        <v>100</v>
      </c>
      <c r="B108" s="1131"/>
      <c r="C108" s="1132"/>
      <c r="D108" s="1980" t="s">
        <v>622</v>
      </c>
      <c r="E108" s="1981"/>
      <c r="F108" s="1133"/>
      <c r="G108" s="152"/>
      <c r="H108" s="152">
        <v>13610</v>
      </c>
      <c r="I108" s="435">
        <v>0</v>
      </c>
      <c r="J108" s="344"/>
      <c r="K108" s="340"/>
      <c r="L108" s="340"/>
      <c r="M108" s="340"/>
      <c r="N108" s="340"/>
      <c r="O108" s="340"/>
      <c r="P108" s="340"/>
      <c r="Q108" s="340"/>
      <c r="R108" s="341"/>
      <c r="S108" s="213"/>
      <c r="T108" s="213"/>
      <c r="U108" s="213"/>
      <c r="V108" s="213"/>
      <c r="W108" s="213"/>
      <c r="X108" s="213"/>
      <c r="Y108" s="213"/>
      <c r="Z108" s="213"/>
      <c r="AA108" s="213"/>
      <c r="AB108" s="213"/>
      <c r="AC108" s="213"/>
      <c r="AD108" s="213"/>
      <c r="AE108" s="213"/>
    </row>
    <row r="109" spans="1:31" s="42" customFormat="1" x14ac:dyDescent="0.3">
      <c r="A109" s="124">
        <v>101</v>
      </c>
      <c r="B109" s="294"/>
      <c r="C109" s="654">
        <v>2</v>
      </c>
      <c r="D109" s="1937" t="s">
        <v>779</v>
      </c>
      <c r="E109" s="1938"/>
      <c r="F109" s="598"/>
      <c r="G109" s="115">
        <v>55925</v>
      </c>
      <c r="H109" s="115"/>
      <c r="I109" s="333"/>
      <c r="J109" s="344"/>
      <c r="K109" s="328"/>
      <c r="L109" s="328"/>
      <c r="M109" s="328"/>
      <c r="N109" s="340"/>
      <c r="O109" s="340"/>
      <c r="P109" s="340"/>
      <c r="Q109" s="340"/>
      <c r="R109" s="341"/>
      <c r="S109" s="213"/>
      <c r="T109" s="213"/>
      <c r="U109" s="213"/>
      <c r="V109" s="213"/>
      <c r="W109" s="213"/>
      <c r="X109" s="213"/>
      <c r="Y109" s="213"/>
      <c r="Z109" s="213"/>
      <c r="AA109" s="213"/>
      <c r="AB109" s="213"/>
      <c r="AC109" s="213"/>
      <c r="AD109" s="213"/>
      <c r="AE109" s="213"/>
    </row>
    <row r="110" spans="1:31" s="42" customFormat="1" x14ac:dyDescent="0.3">
      <c r="A110" s="124">
        <v>102</v>
      </c>
      <c r="B110" s="294"/>
      <c r="C110" s="653">
        <v>3</v>
      </c>
      <c r="D110" s="1911" t="s">
        <v>640</v>
      </c>
      <c r="E110" s="1912"/>
      <c r="F110" s="434"/>
      <c r="G110" s="115"/>
      <c r="H110" s="115"/>
      <c r="I110" s="435">
        <v>0</v>
      </c>
      <c r="J110" s="344"/>
      <c r="K110" s="328"/>
      <c r="L110" s="328"/>
      <c r="M110" s="328"/>
      <c r="N110" s="340"/>
      <c r="O110" s="340"/>
      <c r="P110" s="340"/>
      <c r="Q110" s="340"/>
      <c r="R110" s="341"/>
      <c r="S110" s="213"/>
      <c r="T110" s="213"/>
      <c r="U110" s="213"/>
      <c r="V110" s="213"/>
      <c r="W110" s="213"/>
      <c r="X110" s="213"/>
      <c r="Y110" s="213"/>
      <c r="Z110" s="213"/>
      <c r="AA110" s="213"/>
      <c r="AB110" s="213"/>
      <c r="AC110" s="213"/>
      <c r="AD110" s="213"/>
      <c r="AE110" s="213"/>
    </row>
    <row r="111" spans="1:31" s="42" customFormat="1" x14ac:dyDescent="0.3">
      <c r="A111" s="124">
        <v>103</v>
      </c>
      <c r="B111" s="440"/>
      <c r="C111" s="1276"/>
      <c r="D111" s="1276"/>
      <c r="E111" s="1346" t="s">
        <v>292</v>
      </c>
      <c r="F111" s="1282"/>
      <c r="G111" s="1277"/>
      <c r="H111" s="1277"/>
      <c r="I111" s="804"/>
      <c r="J111" s="805">
        <f>SUM(K111:R111)</f>
        <v>8944</v>
      </c>
      <c r="K111" s="806">
        <v>4971</v>
      </c>
      <c r="L111" s="806"/>
      <c r="M111" s="806">
        <v>3973</v>
      </c>
      <c r="N111" s="806"/>
      <c r="O111" s="806"/>
      <c r="P111" s="806"/>
      <c r="Q111" s="806"/>
      <c r="R111" s="807"/>
      <c r="S111" s="213"/>
      <c r="T111" s="213"/>
      <c r="U111" s="213"/>
      <c r="V111" s="213"/>
      <c r="W111" s="213"/>
      <c r="X111" s="213"/>
      <c r="Y111" s="213"/>
      <c r="Z111" s="213"/>
      <c r="AA111" s="213"/>
      <c r="AB111" s="213"/>
      <c r="AC111" s="213"/>
      <c r="AD111" s="213"/>
      <c r="AE111" s="213"/>
    </row>
    <row r="112" spans="1:31" s="42" customFormat="1" x14ac:dyDescent="0.3">
      <c r="A112" s="124">
        <v>104</v>
      </c>
      <c r="B112" s="440"/>
      <c r="C112" s="1276"/>
      <c r="D112" s="1276"/>
      <c r="E112" s="1499" t="s">
        <v>929</v>
      </c>
      <c r="F112" s="1282"/>
      <c r="G112" s="1277"/>
      <c r="H112" s="1277"/>
      <c r="I112" s="804"/>
      <c r="J112" s="1500">
        <f t="shared" ref="J112" si="32">SUM(K112:R112)</f>
        <v>0</v>
      </c>
      <c r="K112" s="806"/>
      <c r="L112" s="806"/>
      <c r="M112" s="806"/>
      <c r="N112" s="806"/>
      <c r="O112" s="806"/>
      <c r="P112" s="806"/>
      <c r="Q112" s="806"/>
      <c r="R112" s="807"/>
      <c r="S112" s="213"/>
      <c r="T112" s="213"/>
      <c r="U112" s="213"/>
      <c r="V112" s="213"/>
      <c r="W112" s="213"/>
      <c r="X112" s="213"/>
      <c r="Y112" s="213"/>
      <c r="Z112" s="213"/>
      <c r="AA112" s="213"/>
      <c r="AB112" s="213"/>
      <c r="AC112" s="213"/>
      <c r="AD112" s="213"/>
      <c r="AE112" s="213"/>
    </row>
    <row r="113" spans="1:31" s="42" customFormat="1" x14ac:dyDescent="0.3">
      <c r="A113" s="124">
        <v>105</v>
      </c>
      <c r="B113" s="440"/>
      <c r="C113" s="1276"/>
      <c r="D113" s="1276"/>
      <c r="E113" s="641" t="s">
        <v>927</v>
      </c>
      <c r="F113" s="1282"/>
      <c r="G113" s="1277"/>
      <c r="H113" s="1277"/>
      <c r="I113" s="804"/>
      <c r="J113" s="336">
        <f>SUM(K113:R113)</f>
        <v>8944</v>
      </c>
      <c r="K113" s="1503">
        <f>SUM(K111:K112)</f>
        <v>4971</v>
      </c>
      <c r="L113" s="1503"/>
      <c r="M113" s="1503">
        <f t="shared" ref="M113" si="33">SUM(M111:M112)</f>
        <v>3973</v>
      </c>
      <c r="N113" s="806"/>
      <c r="O113" s="806"/>
      <c r="P113" s="806"/>
      <c r="Q113" s="806"/>
      <c r="R113" s="807"/>
      <c r="S113" s="213"/>
      <c r="T113" s="213"/>
      <c r="U113" s="213"/>
      <c r="V113" s="213"/>
      <c r="W113" s="213"/>
      <c r="X113" s="213"/>
      <c r="Y113" s="213"/>
      <c r="Z113" s="213"/>
      <c r="AA113" s="213"/>
      <c r="AB113" s="213"/>
      <c r="AC113" s="213"/>
      <c r="AD113" s="213"/>
      <c r="AE113" s="213"/>
    </row>
    <row r="114" spans="1:31" s="764" customFormat="1" x14ac:dyDescent="0.3">
      <c r="A114" s="124">
        <v>106</v>
      </c>
      <c r="B114" s="290">
        <v>14</v>
      </c>
      <c r="C114" s="653"/>
      <c r="D114" s="1911" t="s">
        <v>429</v>
      </c>
      <c r="E114" s="1912"/>
      <c r="F114" s="431" t="s">
        <v>24</v>
      </c>
      <c r="G114" s="115">
        <v>141430</v>
      </c>
      <c r="H114" s="115">
        <v>129562</v>
      </c>
      <c r="I114" s="333">
        <v>135056</v>
      </c>
      <c r="J114" s="344"/>
      <c r="K114" s="115"/>
      <c r="L114" s="115"/>
      <c r="M114" s="115"/>
      <c r="N114" s="115"/>
      <c r="O114" s="115"/>
      <c r="P114" s="115"/>
      <c r="Q114" s="115"/>
      <c r="R114" s="129"/>
      <c r="S114" s="828"/>
      <c r="T114" s="828"/>
      <c r="U114" s="828"/>
      <c r="V114" s="828"/>
      <c r="W114" s="828"/>
      <c r="X114" s="828"/>
      <c r="Y114" s="828"/>
      <c r="Z114" s="828"/>
      <c r="AA114" s="828"/>
      <c r="AB114" s="828"/>
      <c r="AC114" s="828"/>
      <c r="AD114" s="828"/>
      <c r="AE114" s="828"/>
    </row>
    <row r="115" spans="1:31" s="42" customFormat="1" x14ac:dyDescent="0.3">
      <c r="A115" s="124">
        <v>107</v>
      </c>
      <c r="B115" s="440"/>
      <c r="C115" s="1276"/>
      <c r="D115" s="1276"/>
      <c r="E115" s="803" t="s">
        <v>292</v>
      </c>
      <c r="F115" s="1277"/>
      <c r="G115" s="1277"/>
      <c r="H115" s="1277"/>
      <c r="I115" s="804"/>
      <c r="J115" s="805">
        <f>SUM(K115:R115)</f>
        <v>150771</v>
      </c>
      <c r="K115" s="806">
        <v>86745</v>
      </c>
      <c r="L115" s="806">
        <v>15026</v>
      </c>
      <c r="M115" s="806">
        <v>48000</v>
      </c>
      <c r="N115" s="806"/>
      <c r="O115" s="806"/>
      <c r="P115" s="806">
        <v>1000</v>
      </c>
      <c r="Q115" s="806"/>
      <c r="R115" s="807"/>
      <c r="S115" s="213"/>
      <c r="T115" s="213"/>
      <c r="U115" s="213"/>
      <c r="V115" s="213"/>
      <c r="W115" s="213"/>
      <c r="X115" s="213"/>
      <c r="Y115" s="213"/>
      <c r="Z115" s="213"/>
      <c r="AA115" s="213"/>
      <c r="AB115" s="213"/>
      <c r="AC115" s="213"/>
      <c r="AD115" s="213"/>
      <c r="AE115" s="213"/>
    </row>
    <row r="116" spans="1:31" s="764" customFormat="1" x14ac:dyDescent="0.3">
      <c r="A116" s="124">
        <v>108</v>
      </c>
      <c r="B116" s="440"/>
      <c r="C116" s="1276"/>
      <c r="D116" s="1276"/>
      <c r="E116" s="1499" t="s">
        <v>949</v>
      </c>
      <c r="F116" s="1277"/>
      <c r="G116" s="1277"/>
      <c r="H116" s="1277"/>
      <c r="I116" s="804"/>
      <c r="J116" s="1500">
        <f t="shared" ref="J116:J117" si="34">SUM(K116:R116)</f>
        <v>0</v>
      </c>
      <c r="K116" s="340"/>
      <c r="L116" s="340"/>
      <c r="M116" s="340">
        <v>-263</v>
      </c>
      <c r="N116" s="340"/>
      <c r="O116" s="340">
        <v>263</v>
      </c>
      <c r="P116" s="340"/>
      <c r="Q116" s="806"/>
      <c r="R116" s="807"/>
      <c r="S116" s="828"/>
      <c r="T116" s="828"/>
      <c r="U116" s="828"/>
      <c r="V116" s="828"/>
      <c r="W116" s="828"/>
      <c r="X116" s="828"/>
      <c r="Y116" s="828"/>
      <c r="Z116" s="828"/>
      <c r="AA116" s="828"/>
      <c r="AB116" s="828"/>
      <c r="AC116" s="828"/>
      <c r="AD116" s="828"/>
      <c r="AE116" s="828"/>
    </row>
    <row r="117" spans="1:31" s="42" customFormat="1" x14ac:dyDescent="0.3">
      <c r="A117" s="124">
        <v>109</v>
      </c>
      <c r="B117" s="440"/>
      <c r="C117" s="1276"/>
      <c r="D117" s="1276"/>
      <c r="E117" s="1499" t="s">
        <v>931</v>
      </c>
      <c r="F117" s="1277"/>
      <c r="G117" s="1277"/>
      <c r="H117" s="1277"/>
      <c r="I117" s="804"/>
      <c r="J117" s="1500">
        <f t="shared" si="34"/>
        <v>3448</v>
      </c>
      <c r="K117" s="340">
        <v>1647</v>
      </c>
      <c r="L117" s="340">
        <v>235</v>
      </c>
      <c r="M117" s="340">
        <v>1566</v>
      </c>
      <c r="N117" s="340"/>
      <c r="O117" s="340"/>
      <c r="P117" s="340"/>
      <c r="Q117" s="806"/>
      <c r="R117" s="807"/>
      <c r="S117" s="213"/>
      <c r="T117" s="213"/>
      <c r="U117" s="213"/>
      <c r="V117" s="213"/>
      <c r="W117" s="213"/>
      <c r="X117" s="213"/>
      <c r="Y117" s="213"/>
      <c r="Z117" s="213"/>
      <c r="AA117" s="213"/>
      <c r="AB117" s="213"/>
      <c r="AC117" s="213"/>
      <c r="AD117" s="213"/>
      <c r="AE117" s="213"/>
    </row>
    <row r="118" spans="1:31" s="764" customFormat="1" x14ac:dyDescent="0.3">
      <c r="A118" s="124">
        <v>110</v>
      </c>
      <c r="B118" s="440"/>
      <c r="C118" s="1276"/>
      <c r="D118" s="1276"/>
      <c r="E118" s="641" t="s">
        <v>927</v>
      </c>
      <c r="F118" s="1277"/>
      <c r="G118" s="1277"/>
      <c r="H118" s="1277"/>
      <c r="I118" s="804"/>
      <c r="J118" s="336">
        <f>SUM(K118:R118)</f>
        <v>154219</v>
      </c>
      <c r="K118" s="1503">
        <f>SUM(K115:K117)</f>
        <v>88392</v>
      </c>
      <c r="L118" s="1503">
        <f t="shared" ref="L118:P118" si="35">SUM(L115:L117)</f>
        <v>15261</v>
      </c>
      <c r="M118" s="1503">
        <f t="shared" si="35"/>
        <v>49303</v>
      </c>
      <c r="N118" s="1503"/>
      <c r="O118" s="1503">
        <f t="shared" si="35"/>
        <v>263</v>
      </c>
      <c r="P118" s="1503">
        <f t="shared" si="35"/>
        <v>1000</v>
      </c>
      <c r="Q118" s="806"/>
      <c r="R118" s="807"/>
      <c r="S118" s="828"/>
      <c r="T118" s="828"/>
      <c r="U118" s="828"/>
      <c r="V118" s="828"/>
      <c r="W118" s="828"/>
      <c r="X118" s="828"/>
      <c r="Y118" s="828"/>
      <c r="Z118" s="828"/>
      <c r="AA118" s="828"/>
      <c r="AB118" s="828"/>
      <c r="AC118" s="828"/>
      <c r="AD118" s="828"/>
      <c r="AE118" s="828"/>
    </row>
    <row r="119" spans="1:31" s="42" customFormat="1" x14ac:dyDescent="0.3">
      <c r="A119" s="124">
        <v>111</v>
      </c>
      <c r="B119" s="294"/>
      <c r="C119" s="653">
        <v>1</v>
      </c>
      <c r="D119" s="1920" t="s">
        <v>143</v>
      </c>
      <c r="E119" s="1921"/>
      <c r="F119" s="434"/>
      <c r="G119" s="299">
        <v>2124</v>
      </c>
      <c r="H119" s="299">
        <v>2455</v>
      </c>
      <c r="I119" s="435">
        <v>1052</v>
      </c>
      <c r="J119" s="344"/>
      <c r="K119" s="328"/>
      <c r="L119" s="328"/>
      <c r="M119" s="328"/>
      <c r="N119" s="340"/>
      <c r="O119" s="340"/>
      <c r="P119" s="340"/>
      <c r="Q119" s="340"/>
      <c r="R119" s="341"/>
      <c r="S119" s="213"/>
      <c r="T119" s="213"/>
      <c r="U119" s="213"/>
      <c r="V119" s="213"/>
      <c r="W119" s="213"/>
      <c r="X119" s="213"/>
      <c r="Y119" s="213"/>
      <c r="Z119" s="213"/>
      <c r="AA119" s="213"/>
      <c r="AB119" s="213"/>
      <c r="AC119" s="213"/>
      <c r="AD119" s="213"/>
      <c r="AE119" s="213"/>
    </row>
    <row r="120" spans="1:31" s="764" customFormat="1" x14ac:dyDescent="0.3">
      <c r="A120" s="124">
        <v>112</v>
      </c>
      <c r="B120" s="440"/>
      <c r="C120" s="1276"/>
      <c r="D120" s="1276"/>
      <c r="E120" s="1346" t="s">
        <v>292</v>
      </c>
      <c r="F120" s="1282"/>
      <c r="G120" s="1277"/>
      <c r="H120" s="1277"/>
      <c r="I120" s="804"/>
      <c r="J120" s="805">
        <f>SUM(K120:R120)</f>
        <v>1054</v>
      </c>
      <c r="K120" s="806">
        <v>978</v>
      </c>
      <c r="L120" s="806">
        <v>76</v>
      </c>
      <c r="M120" s="806"/>
      <c r="N120" s="806"/>
      <c r="O120" s="806"/>
      <c r="P120" s="806"/>
      <c r="Q120" s="806"/>
      <c r="R120" s="807"/>
      <c r="S120" s="828"/>
      <c r="T120" s="828"/>
      <c r="U120" s="828"/>
      <c r="V120" s="828"/>
      <c r="W120" s="828"/>
      <c r="X120" s="828"/>
      <c r="Y120" s="828"/>
      <c r="Z120" s="828"/>
      <c r="AA120" s="828"/>
      <c r="AB120" s="828"/>
      <c r="AC120" s="828"/>
      <c r="AD120" s="828"/>
      <c r="AE120" s="828"/>
    </row>
    <row r="121" spans="1:31" s="52" customFormat="1" x14ac:dyDescent="0.3">
      <c r="A121" s="124">
        <v>113</v>
      </c>
      <c r="B121" s="440"/>
      <c r="C121" s="1276"/>
      <c r="D121" s="1522"/>
      <c r="E121" s="1499" t="s">
        <v>929</v>
      </c>
      <c r="F121" s="1523"/>
      <c r="G121" s="1277"/>
      <c r="H121" s="1277"/>
      <c r="I121" s="804"/>
      <c r="J121" s="1500">
        <f t="shared" ref="J121" si="36">SUM(K121:R121)</f>
        <v>0</v>
      </c>
      <c r="K121" s="806"/>
      <c r="L121" s="806"/>
      <c r="M121" s="806"/>
      <c r="N121" s="806"/>
      <c r="O121" s="806"/>
      <c r="P121" s="806"/>
      <c r="Q121" s="806"/>
      <c r="R121" s="807"/>
      <c r="S121" s="268"/>
      <c r="T121" s="268"/>
      <c r="U121" s="268"/>
      <c r="V121" s="268"/>
      <c r="W121" s="268"/>
      <c r="X121" s="268"/>
      <c r="Y121" s="268"/>
      <c r="Z121" s="268"/>
      <c r="AA121" s="268"/>
      <c r="AB121" s="268"/>
      <c r="AC121" s="268"/>
      <c r="AD121" s="268"/>
      <c r="AE121" s="268"/>
    </row>
    <row r="122" spans="1:31" s="42" customFormat="1" x14ac:dyDescent="0.3">
      <c r="A122" s="124">
        <v>114</v>
      </c>
      <c r="B122" s="440"/>
      <c r="C122" s="1276"/>
      <c r="D122" s="1522"/>
      <c r="E122" s="641" t="s">
        <v>927</v>
      </c>
      <c r="F122" s="1523"/>
      <c r="G122" s="1277"/>
      <c r="H122" s="1277"/>
      <c r="I122" s="804"/>
      <c r="J122" s="336">
        <f>SUM(K122:R122)</f>
        <v>1054</v>
      </c>
      <c r="K122" s="1503">
        <f>SUM(K120:K121)</f>
        <v>978</v>
      </c>
      <c r="L122" s="1503">
        <f>SUM(L120:L121)</f>
        <v>76</v>
      </c>
      <c r="M122" s="806"/>
      <c r="N122" s="806"/>
      <c r="O122" s="806"/>
      <c r="P122" s="806"/>
      <c r="Q122" s="806"/>
      <c r="R122" s="807"/>
      <c r="S122" s="213"/>
      <c r="T122" s="213"/>
      <c r="U122" s="213"/>
      <c r="V122" s="213"/>
      <c r="W122" s="213"/>
      <c r="X122" s="213"/>
      <c r="Y122" s="213"/>
      <c r="Z122" s="213"/>
      <c r="AA122" s="213"/>
      <c r="AB122" s="213"/>
      <c r="AC122" s="213"/>
      <c r="AD122" s="213"/>
      <c r="AE122" s="213"/>
    </row>
    <row r="123" spans="1:31" s="42" customFormat="1" x14ac:dyDescent="0.3">
      <c r="A123" s="124">
        <v>115</v>
      </c>
      <c r="B123" s="294"/>
      <c r="C123" s="654">
        <v>2</v>
      </c>
      <c r="D123" s="1937" t="s">
        <v>780</v>
      </c>
      <c r="E123" s="1988"/>
      <c r="F123" s="657"/>
      <c r="G123" s="115">
        <v>19384</v>
      </c>
      <c r="H123" s="115">
        <v>5725</v>
      </c>
      <c r="I123" s="333">
        <v>6992</v>
      </c>
      <c r="J123" s="344"/>
      <c r="K123" s="328"/>
      <c r="L123" s="328"/>
      <c r="M123" s="328"/>
      <c r="N123" s="340"/>
      <c r="O123" s="340"/>
      <c r="P123" s="340"/>
      <c r="Q123" s="340"/>
      <c r="R123" s="341"/>
      <c r="S123" s="213"/>
      <c r="T123" s="213"/>
      <c r="U123" s="213"/>
      <c r="V123" s="213"/>
      <c r="W123" s="213"/>
      <c r="X123" s="213"/>
      <c r="Y123" s="213"/>
      <c r="Z123" s="213"/>
      <c r="AA123" s="213"/>
      <c r="AB123" s="213"/>
      <c r="AC123" s="213"/>
      <c r="AD123" s="213"/>
      <c r="AE123" s="213"/>
    </row>
    <row r="124" spans="1:31" s="42" customFormat="1" x14ac:dyDescent="0.3">
      <c r="A124" s="124">
        <v>116</v>
      </c>
      <c r="B124" s="294"/>
      <c r="C124" s="653">
        <v>3</v>
      </c>
      <c r="D124" s="1911" t="s">
        <v>640</v>
      </c>
      <c r="E124" s="1912"/>
      <c r="F124" s="434"/>
      <c r="G124" s="115"/>
      <c r="H124" s="115"/>
      <c r="I124" s="435">
        <v>0</v>
      </c>
      <c r="J124" s="344"/>
      <c r="K124" s="328"/>
      <c r="L124" s="328"/>
      <c r="M124" s="328"/>
      <c r="N124" s="340"/>
      <c r="O124" s="340"/>
      <c r="P124" s="340"/>
      <c r="Q124" s="340"/>
      <c r="R124" s="341"/>
      <c r="S124" s="213"/>
      <c r="T124" s="213"/>
      <c r="U124" s="213"/>
      <c r="V124" s="213"/>
      <c r="W124" s="213"/>
      <c r="X124" s="213"/>
      <c r="Y124" s="213"/>
      <c r="Z124" s="213"/>
      <c r="AA124" s="213"/>
      <c r="AB124" s="213"/>
      <c r="AC124" s="213"/>
      <c r="AD124" s="213"/>
      <c r="AE124" s="213"/>
    </row>
    <row r="125" spans="1:31" s="42" customFormat="1" x14ac:dyDescent="0.3">
      <c r="A125" s="124">
        <v>117</v>
      </c>
      <c r="B125" s="440"/>
      <c r="C125" s="1276"/>
      <c r="D125" s="1276"/>
      <c r="E125" s="1346" t="s">
        <v>292</v>
      </c>
      <c r="F125" s="1282"/>
      <c r="G125" s="1277"/>
      <c r="H125" s="1277"/>
      <c r="I125" s="804"/>
      <c r="J125" s="805">
        <f>SUM(K125:R125)</f>
        <v>6843</v>
      </c>
      <c r="K125" s="806">
        <v>3415</v>
      </c>
      <c r="L125" s="806">
        <v>529</v>
      </c>
      <c r="M125" s="806">
        <v>2899</v>
      </c>
      <c r="N125" s="806"/>
      <c r="O125" s="806"/>
      <c r="P125" s="806"/>
      <c r="Q125" s="806"/>
      <c r="R125" s="807"/>
      <c r="S125" s="213"/>
      <c r="T125" s="213"/>
      <c r="U125" s="213"/>
      <c r="V125" s="213"/>
      <c r="W125" s="213"/>
      <c r="X125" s="213"/>
      <c r="Y125" s="213"/>
      <c r="Z125" s="213"/>
      <c r="AA125" s="213"/>
      <c r="AB125" s="213"/>
      <c r="AC125" s="213"/>
      <c r="AD125" s="213"/>
      <c r="AE125" s="213"/>
    </row>
    <row r="126" spans="1:31" s="42" customFormat="1" x14ac:dyDescent="0.3">
      <c r="A126" s="124">
        <v>118</v>
      </c>
      <c r="B126" s="440"/>
      <c r="C126" s="1276"/>
      <c r="D126" s="1276"/>
      <c r="E126" s="1499" t="s">
        <v>929</v>
      </c>
      <c r="F126" s="1282"/>
      <c r="G126" s="1277"/>
      <c r="H126" s="1277"/>
      <c r="I126" s="804"/>
      <c r="J126" s="1500">
        <f t="shared" ref="J126" si="37">SUM(K126:R126)</f>
        <v>0</v>
      </c>
      <c r="K126" s="806"/>
      <c r="L126" s="806"/>
      <c r="M126" s="806"/>
      <c r="N126" s="806"/>
      <c r="O126" s="806"/>
      <c r="P126" s="806"/>
      <c r="Q126" s="806"/>
      <c r="R126" s="807"/>
      <c r="S126" s="213"/>
      <c r="T126" s="213"/>
      <c r="U126" s="213"/>
      <c r="V126" s="213"/>
      <c r="W126" s="213"/>
      <c r="X126" s="213"/>
      <c r="Y126" s="213"/>
      <c r="Z126" s="213"/>
      <c r="AA126" s="213"/>
      <c r="AB126" s="213"/>
      <c r="AC126" s="213"/>
      <c r="AD126" s="213"/>
      <c r="AE126" s="213"/>
    </row>
    <row r="127" spans="1:31" s="42" customFormat="1" x14ac:dyDescent="0.3">
      <c r="A127" s="124">
        <v>119</v>
      </c>
      <c r="B127" s="440"/>
      <c r="C127" s="1276"/>
      <c r="D127" s="1276"/>
      <c r="E127" s="641" t="s">
        <v>927</v>
      </c>
      <c r="F127" s="1282"/>
      <c r="G127" s="1277"/>
      <c r="H127" s="1277"/>
      <c r="I127" s="804"/>
      <c r="J127" s="336">
        <f>SUM(K127:R127)</f>
        <v>6843</v>
      </c>
      <c r="K127" s="1503">
        <f>SUM(K125:K126)</f>
        <v>3415</v>
      </c>
      <c r="L127" s="1503">
        <f t="shared" ref="L127:M127" si="38">SUM(L125:L126)</f>
        <v>529</v>
      </c>
      <c r="M127" s="1503">
        <f t="shared" si="38"/>
        <v>2899</v>
      </c>
      <c r="N127" s="806"/>
      <c r="O127" s="806"/>
      <c r="P127" s="806"/>
      <c r="Q127" s="806"/>
      <c r="R127" s="807"/>
      <c r="S127" s="213"/>
      <c r="T127" s="213"/>
      <c r="U127" s="213"/>
      <c r="V127" s="213"/>
      <c r="W127" s="213"/>
      <c r="X127" s="213"/>
      <c r="Y127" s="213"/>
      <c r="Z127" s="213"/>
      <c r="AA127" s="213"/>
      <c r="AB127" s="213"/>
      <c r="AC127" s="213"/>
      <c r="AD127" s="213"/>
      <c r="AE127" s="213"/>
    </row>
    <row r="128" spans="1:31" s="42" customFormat="1" x14ac:dyDescent="0.3">
      <c r="A128" s="124">
        <v>120</v>
      </c>
      <c r="B128" s="290">
        <v>15</v>
      </c>
      <c r="C128" s="653"/>
      <c r="D128" s="1911" t="s">
        <v>148</v>
      </c>
      <c r="E128" s="1912"/>
      <c r="F128" s="431" t="s">
        <v>24</v>
      </c>
      <c r="G128" s="115">
        <v>851369</v>
      </c>
      <c r="H128" s="115">
        <v>742553</v>
      </c>
      <c r="I128" s="333">
        <v>836545</v>
      </c>
      <c r="J128" s="344"/>
      <c r="K128" s="115"/>
      <c r="L128" s="115"/>
      <c r="M128" s="115"/>
      <c r="N128" s="115"/>
      <c r="O128" s="115"/>
      <c r="P128" s="115"/>
      <c r="Q128" s="115"/>
      <c r="R128" s="129"/>
      <c r="S128" s="213"/>
      <c r="T128" s="213"/>
      <c r="U128" s="213"/>
      <c r="V128" s="213"/>
      <c r="W128" s="213"/>
      <c r="X128" s="213"/>
      <c r="Y128" s="213"/>
      <c r="Z128" s="213"/>
      <c r="AA128" s="213"/>
      <c r="AB128" s="213"/>
      <c r="AC128" s="213"/>
      <c r="AD128" s="213"/>
      <c r="AE128" s="213"/>
    </row>
    <row r="129" spans="1:31" s="42" customFormat="1" x14ac:dyDescent="0.3">
      <c r="A129" s="124">
        <v>121</v>
      </c>
      <c r="B129" s="440"/>
      <c r="C129" s="1278"/>
      <c r="D129" s="1278"/>
      <c r="E129" s="795" t="s">
        <v>292</v>
      </c>
      <c r="F129" s="1279"/>
      <c r="G129" s="1279"/>
      <c r="H129" s="1279"/>
      <c r="I129" s="813"/>
      <c r="J129" s="814">
        <f>SUM(K129:R129)</f>
        <v>747152</v>
      </c>
      <c r="K129" s="815">
        <v>465819</v>
      </c>
      <c r="L129" s="815">
        <v>62479</v>
      </c>
      <c r="M129" s="815">
        <v>215854</v>
      </c>
      <c r="N129" s="815"/>
      <c r="O129" s="815"/>
      <c r="P129" s="815">
        <v>3000</v>
      </c>
      <c r="Q129" s="815"/>
      <c r="R129" s="816"/>
      <c r="S129" s="213"/>
      <c r="T129" s="213"/>
      <c r="U129" s="213"/>
      <c r="V129" s="213"/>
      <c r="W129" s="213"/>
      <c r="X129" s="213"/>
      <c r="Y129" s="213"/>
      <c r="Z129" s="213"/>
      <c r="AA129" s="213"/>
      <c r="AB129" s="213"/>
      <c r="AC129" s="213"/>
      <c r="AD129" s="213"/>
      <c r="AE129" s="213"/>
    </row>
    <row r="130" spans="1:31" s="42" customFormat="1" x14ac:dyDescent="0.3">
      <c r="A130" s="124">
        <v>122</v>
      </c>
      <c r="B130" s="440"/>
      <c r="C130" s="1518"/>
      <c r="D130" s="1518"/>
      <c r="E130" s="1499" t="s">
        <v>926</v>
      </c>
      <c r="F130" s="1277"/>
      <c r="G130" s="1277"/>
      <c r="H130" s="1277"/>
      <c r="I130" s="804"/>
      <c r="J130" s="1500">
        <f>SUM(K130:R130)</f>
        <v>117577</v>
      </c>
      <c r="K130" s="340">
        <v>34440</v>
      </c>
      <c r="L130" s="340">
        <v>5521</v>
      </c>
      <c r="M130" s="340">
        <v>74616</v>
      </c>
      <c r="N130" s="340"/>
      <c r="O130" s="340"/>
      <c r="P130" s="340">
        <v>3000</v>
      </c>
      <c r="Q130" s="806"/>
      <c r="R130" s="807"/>
      <c r="S130" s="213"/>
      <c r="T130" s="213"/>
      <c r="U130" s="213"/>
      <c r="V130" s="213"/>
      <c r="W130" s="213"/>
      <c r="X130" s="213"/>
      <c r="Y130" s="213"/>
      <c r="Z130" s="213"/>
      <c r="AA130" s="213"/>
      <c r="AB130" s="213"/>
      <c r="AC130" s="213"/>
      <c r="AD130" s="213"/>
      <c r="AE130" s="213"/>
    </row>
    <row r="131" spans="1:31" s="42" customFormat="1" ht="15.75" thickBot="1" x14ac:dyDescent="0.35">
      <c r="A131" s="124">
        <v>123</v>
      </c>
      <c r="B131" s="440"/>
      <c r="C131" s="1524"/>
      <c r="D131" s="1280"/>
      <c r="E131" s="641" t="s">
        <v>927</v>
      </c>
      <c r="F131" s="1477"/>
      <c r="G131" s="1477"/>
      <c r="H131" s="1477"/>
      <c r="I131" s="1525"/>
      <c r="J131" s="336">
        <f>SUM(K131:R131)</f>
        <v>864729</v>
      </c>
      <c r="K131" s="1526">
        <f>SUM(K129:K130)</f>
        <v>500259</v>
      </c>
      <c r="L131" s="1526">
        <f>SUM(L129:L130)</f>
        <v>68000</v>
      </c>
      <c r="M131" s="1526">
        <f>SUM(M129:M130)</f>
        <v>290470</v>
      </c>
      <c r="N131" s="1526"/>
      <c r="O131" s="1526"/>
      <c r="P131" s="1526">
        <f>SUM(P129:P130)</f>
        <v>6000</v>
      </c>
      <c r="Q131" s="1527"/>
      <c r="R131" s="1528"/>
      <c r="S131" s="213"/>
      <c r="T131" s="213"/>
      <c r="U131" s="213"/>
      <c r="V131" s="213"/>
      <c r="W131" s="213"/>
      <c r="X131" s="213"/>
      <c r="Y131" s="213"/>
      <c r="Z131" s="213"/>
      <c r="AA131" s="213"/>
      <c r="AB131" s="213"/>
      <c r="AC131" s="213"/>
      <c r="AD131" s="213"/>
      <c r="AE131" s="213"/>
    </row>
    <row r="132" spans="1:31" s="42" customFormat="1" ht="15.75" thickTop="1" x14ac:dyDescent="0.2">
      <c r="A132" s="124">
        <v>124</v>
      </c>
      <c r="B132" s="337"/>
      <c r="C132" s="1983" t="s">
        <v>499</v>
      </c>
      <c r="D132" s="1984"/>
      <c r="E132" s="1985"/>
      <c r="F132" s="693"/>
      <c r="G132" s="686">
        <f>SUM(G70:G129)</f>
        <v>2347852</v>
      </c>
      <c r="H132" s="686">
        <f>SUM(H70:H129)-H76-H86-H96-H108</f>
        <v>2182328</v>
      </c>
      <c r="I132" s="820">
        <f>SUM(I70:I129)</f>
        <v>2191996</v>
      </c>
      <c r="J132" s="694"/>
      <c r="K132" s="691"/>
      <c r="L132" s="691"/>
      <c r="M132" s="691"/>
      <c r="N132" s="691"/>
      <c r="O132" s="691"/>
      <c r="P132" s="691"/>
      <c r="Q132" s="691"/>
      <c r="R132" s="692"/>
      <c r="S132" s="213"/>
      <c r="T132" s="213"/>
      <c r="U132" s="213"/>
      <c r="V132" s="213"/>
      <c r="W132" s="213"/>
      <c r="X132" s="213"/>
      <c r="Y132" s="213"/>
      <c r="Z132" s="213"/>
      <c r="AA132" s="213"/>
      <c r="AB132" s="213"/>
      <c r="AC132" s="213"/>
      <c r="AD132" s="213"/>
      <c r="AE132" s="213"/>
    </row>
    <row r="133" spans="1:31" s="51" customFormat="1" x14ac:dyDescent="0.3">
      <c r="A133" s="124">
        <v>125</v>
      </c>
      <c r="B133" s="440"/>
      <c r="C133" s="1516"/>
      <c r="D133" s="1278"/>
      <c r="E133" s="795" t="s">
        <v>292</v>
      </c>
      <c r="F133" s="1279"/>
      <c r="G133" s="1279"/>
      <c r="H133" s="1279"/>
      <c r="I133" s="813"/>
      <c r="J133" s="814">
        <f>SUM(K133:R133)</f>
        <v>2340076</v>
      </c>
      <c r="K133" s="815">
        <f t="shared" ref="K133:R133" si="39">SUM(K71,K78,K82,K92,K98,K102,K115,K120,K129,K88,K111,K125)</f>
        <v>1220525</v>
      </c>
      <c r="L133" s="815">
        <f t="shared" si="39"/>
        <v>191805</v>
      </c>
      <c r="M133" s="815">
        <f t="shared" si="39"/>
        <v>868585</v>
      </c>
      <c r="N133" s="815">
        <f t="shared" si="39"/>
        <v>0</v>
      </c>
      <c r="O133" s="815">
        <f t="shared" si="39"/>
        <v>0</v>
      </c>
      <c r="P133" s="815">
        <f t="shared" si="39"/>
        <v>59161</v>
      </c>
      <c r="Q133" s="815">
        <f t="shared" si="39"/>
        <v>0</v>
      </c>
      <c r="R133" s="816">
        <f t="shared" si="39"/>
        <v>0</v>
      </c>
      <c r="S133" s="264"/>
      <c r="T133" s="264"/>
      <c r="U133" s="264"/>
      <c r="V133" s="264"/>
      <c r="W133" s="264"/>
      <c r="X133" s="264"/>
      <c r="Y133" s="264"/>
      <c r="Z133" s="264"/>
      <c r="AA133" s="264"/>
      <c r="AB133" s="264"/>
      <c r="AC133" s="264"/>
      <c r="AD133" s="264"/>
      <c r="AE133" s="264"/>
    </row>
    <row r="134" spans="1:31" s="764" customFormat="1" x14ac:dyDescent="0.3">
      <c r="A134" s="124">
        <v>126</v>
      </c>
      <c r="B134" s="1517"/>
      <c r="C134" s="1518"/>
      <c r="D134" s="1276"/>
      <c r="E134" s="1499" t="s">
        <v>929</v>
      </c>
      <c r="F134" s="1277"/>
      <c r="G134" s="1277"/>
      <c r="H134" s="1277"/>
      <c r="I134" s="804"/>
      <c r="J134" s="1500">
        <f t="shared" ref="J134" si="40">SUM(K134:R134)</f>
        <v>141410</v>
      </c>
      <c r="K134" s="340">
        <f t="shared" ref="K134:R134" si="41">SUM(K72:K74,K79:K79,K83:K84,K89,K93:K94,K99,K103:K106,K112,K116:K117,K121,K126,K130:K130)</f>
        <v>54847</v>
      </c>
      <c r="L134" s="340">
        <f t="shared" si="41"/>
        <v>8542</v>
      </c>
      <c r="M134" s="340">
        <f t="shared" si="41"/>
        <v>-1938</v>
      </c>
      <c r="N134" s="340">
        <f t="shared" si="41"/>
        <v>0</v>
      </c>
      <c r="O134" s="340">
        <f t="shared" si="41"/>
        <v>263</v>
      </c>
      <c r="P134" s="340">
        <f t="shared" si="41"/>
        <v>79696</v>
      </c>
      <c r="Q134" s="340">
        <f t="shared" si="41"/>
        <v>0</v>
      </c>
      <c r="R134" s="341">
        <f t="shared" si="41"/>
        <v>0</v>
      </c>
      <c r="S134" s="828"/>
      <c r="T134" s="828"/>
      <c r="U134" s="828"/>
      <c r="V134" s="828"/>
      <c r="W134" s="828"/>
      <c r="X134" s="828"/>
      <c r="Y134" s="828"/>
      <c r="Z134" s="828"/>
      <c r="AA134" s="828"/>
      <c r="AB134" s="828"/>
      <c r="AC134" s="828"/>
      <c r="AD134" s="828"/>
      <c r="AE134" s="828"/>
    </row>
    <row r="135" spans="1:31" s="51" customFormat="1" ht="15.75" thickBot="1" x14ac:dyDescent="0.35">
      <c r="A135" s="124">
        <v>127</v>
      </c>
      <c r="B135" s="1517"/>
      <c r="C135" s="1519"/>
      <c r="D135" s="1520"/>
      <c r="E135" s="1456" t="s">
        <v>927</v>
      </c>
      <c r="F135" s="1472"/>
      <c r="G135" s="1472"/>
      <c r="H135" s="1472"/>
      <c r="I135" s="1510"/>
      <c r="J135" s="1511">
        <f>SUM(K135:R135)</f>
        <v>2481486</v>
      </c>
      <c r="K135" s="1512">
        <f>SUM(K133:K134)</f>
        <v>1275372</v>
      </c>
      <c r="L135" s="1512">
        <f t="shared" ref="L135:R135" si="42">SUM(L133:L134)</f>
        <v>200347</v>
      </c>
      <c r="M135" s="1512">
        <f t="shared" si="42"/>
        <v>866647</v>
      </c>
      <c r="N135" s="1512">
        <f t="shared" si="42"/>
        <v>0</v>
      </c>
      <c r="O135" s="1512">
        <f t="shared" si="42"/>
        <v>263</v>
      </c>
      <c r="P135" s="1512">
        <f t="shared" si="42"/>
        <v>138857</v>
      </c>
      <c r="Q135" s="1512">
        <f t="shared" si="42"/>
        <v>0</v>
      </c>
      <c r="R135" s="1513">
        <f t="shared" si="42"/>
        <v>0</v>
      </c>
      <c r="S135" s="264"/>
      <c r="T135" s="264"/>
      <c r="U135" s="264"/>
      <c r="V135" s="264"/>
      <c r="W135" s="264"/>
      <c r="X135" s="264"/>
      <c r="Y135" s="264"/>
      <c r="Z135" s="264"/>
      <c r="AA135" s="264"/>
      <c r="AB135" s="264"/>
      <c r="AC135" s="264"/>
      <c r="AD135" s="264"/>
      <c r="AE135" s="264"/>
    </row>
    <row r="136" spans="1:31" s="764" customFormat="1" ht="15.75" thickTop="1" x14ac:dyDescent="0.3">
      <c r="A136" s="124">
        <v>128</v>
      </c>
      <c r="B136" s="304">
        <v>16</v>
      </c>
      <c r="C136" s="655"/>
      <c r="D136" s="1986" t="s">
        <v>259</v>
      </c>
      <c r="E136" s="1987"/>
      <c r="F136" s="432" t="s">
        <v>23</v>
      </c>
      <c r="G136" s="316">
        <v>965302</v>
      </c>
      <c r="H136" s="316">
        <v>1025459</v>
      </c>
      <c r="I136" s="433">
        <v>743417</v>
      </c>
      <c r="J136" s="423"/>
      <c r="K136" s="316"/>
      <c r="L136" s="316"/>
      <c r="M136" s="316"/>
      <c r="N136" s="316"/>
      <c r="O136" s="316"/>
      <c r="P136" s="316"/>
      <c r="Q136" s="316"/>
      <c r="R136" s="339"/>
      <c r="S136" s="828"/>
      <c r="T136" s="828"/>
      <c r="U136" s="828"/>
      <c r="V136" s="828"/>
      <c r="W136" s="828"/>
      <c r="X136" s="828"/>
      <c r="Y136" s="828"/>
      <c r="Z136" s="828"/>
      <c r="AA136" s="828"/>
      <c r="AB136" s="828"/>
      <c r="AC136" s="828"/>
      <c r="AD136" s="828"/>
      <c r="AE136" s="828"/>
    </row>
    <row r="137" spans="1:31" s="49" customFormat="1" x14ac:dyDescent="0.3">
      <c r="A137" s="124">
        <v>129</v>
      </c>
      <c r="B137" s="1529"/>
      <c r="C137" s="1278"/>
      <c r="D137" s="1278"/>
      <c r="E137" s="795" t="s">
        <v>292</v>
      </c>
      <c r="F137" s="1279"/>
      <c r="G137" s="1279"/>
      <c r="H137" s="1279"/>
      <c r="I137" s="813"/>
      <c r="J137" s="814">
        <f>SUM(K137:R137)</f>
        <v>1199812</v>
      </c>
      <c r="K137" s="815">
        <v>189138</v>
      </c>
      <c r="L137" s="815">
        <v>34301</v>
      </c>
      <c r="M137" s="815">
        <v>973553</v>
      </c>
      <c r="N137" s="815"/>
      <c r="O137" s="815"/>
      <c r="P137" s="815">
        <v>2820</v>
      </c>
      <c r="Q137" s="815"/>
      <c r="R137" s="816"/>
      <c r="S137" s="270"/>
      <c r="T137" s="149"/>
      <c r="U137" s="149"/>
      <c r="V137" s="149"/>
      <c r="W137" s="149"/>
      <c r="X137" s="149"/>
      <c r="Y137" s="149"/>
      <c r="Z137" s="149"/>
      <c r="AA137" s="149"/>
      <c r="AB137" s="149"/>
      <c r="AC137" s="149"/>
      <c r="AD137" s="149"/>
      <c r="AE137" s="149"/>
    </row>
    <row r="138" spans="1:31" s="49" customFormat="1" x14ac:dyDescent="0.3">
      <c r="A138" s="124">
        <v>130</v>
      </c>
      <c r="B138" s="1530"/>
      <c r="C138" s="1518"/>
      <c r="D138" s="1518"/>
      <c r="E138" s="1499" t="s">
        <v>926</v>
      </c>
      <c r="F138" s="1277"/>
      <c r="G138" s="1277"/>
      <c r="H138" s="1277"/>
      <c r="I138" s="804"/>
      <c r="J138" s="1500">
        <f>SUM(K138:R138)</f>
        <v>133434</v>
      </c>
      <c r="K138" s="340">
        <v>40000</v>
      </c>
      <c r="L138" s="340">
        <v>9000</v>
      </c>
      <c r="M138" s="340">
        <v>82414</v>
      </c>
      <c r="N138" s="340"/>
      <c r="O138" s="340"/>
      <c r="P138" s="340">
        <v>2020</v>
      </c>
      <c r="Q138" s="806"/>
      <c r="R138" s="807"/>
      <c r="S138" s="270"/>
      <c r="T138" s="149"/>
      <c r="U138" s="149"/>
      <c r="V138" s="149"/>
      <c r="W138" s="149"/>
      <c r="X138" s="149"/>
      <c r="Y138" s="149"/>
      <c r="Z138" s="149"/>
      <c r="AA138" s="149"/>
      <c r="AB138" s="149"/>
      <c r="AC138" s="149"/>
      <c r="AD138" s="149"/>
      <c r="AE138" s="149"/>
    </row>
    <row r="139" spans="1:31" s="809" customFormat="1" ht="15.75" thickBot="1" x14ac:dyDescent="0.35">
      <c r="A139" s="124">
        <v>131</v>
      </c>
      <c r="B139" s="1531"/>
      <c r="C139" s="1532"/>
      <c r="D139" s="1532"/>
      <c r="E139" s="641" t="s">
        <v>927</v>
      </c>
      <c r="F139" s="1477"/>
      <c r="G139" s="1477"/>
      <c r="H139" s="1477"/>
      <c r="I139" s="1525"/>
      <c r="J139" s="336">
        <f>SUM(K139:R139)</f>
        <v>1333246</v>
      </c>
      <c r="K139" s="1526">
        <f>SUM(K137:K138)</f>
        <v>229138</v>
      </c>
      <c r="L139" s="1526">
        <f>SUM(L137:L138)</f>
        <v>43301</v>
      </c>
      <c r="M139" s="1526">
        <f>SUM(M137:M138)</f>
        <v>1055967</v>
      </c>
      <c r="N139" s="1526"/>
      <c r="O139" s="1526"/>
      <c r="P139" s="1526">
        <f>SUM(P137:P138)</f>
        <v>4840</v>
      </c>
      <c r="Q139" s="1527"/>
      <c r="R139" s="1528"/>
      <c r="S139" s="810"/>
      <c r="T139" s="808"/>
      <c r="U139" s="808"/>
      <c r="V139" s="808"/>
      <c r="W139" s="808"/>
      <c r="X139" s="808"/>
      <c r="Y139" s="808"/>
      <c r="Z139" s="808"/>
      <c r="AA139" s="808"/>
      <c r="AB139" s="808"/>
      <c r="AC139" s="808"/>
      <c r="AD139" s="808"/>
      <c r="AE139" s="808"/>
    </row>
    <row r="140" spans="1:31" s="49" customFormat="1" x14ac:dyDescent="0.3">
      <c r="A140" s="124">
        <v>132</v>
      </c>
      <c r="B140" s="1939" t="s">
        <v>149</v>
      </c>
      <c r="C140" s="1940"/>
      <c r="D140" s="1940"/>
      <c r="E140" s="1941"/>
      <c r="F140" s="436"/>
      <c r="G140" s="437">
        <f>SUM(G136,G132,G66,G42)</f>
        <v>6471307</v>
      </c>
      <c r="H140" s="437">
        <f>SUM(H136,H132,H66,H42)</f>
        <v>6363012</v>
      </c>
      <c r="I140" s="438">
        <f>SUM(I136,I132,I66,I42)</f>
        <v>6169480</v>
      </c>
      <c r="J140" s="821"/>
      <c r="K140" s="349"/>
      <c r="L140" s="349"/>
      <c r="M140" s="349"/>
      <c r="N140" s="349"/>
      <c r="O140" s="349"/>
      <c r="P140" s="349"/>
      <c r="Q140" s="349"/>
      <c r="R140" s="350"/>
      <c r="S140" s="270"/>
      <c r="T140" s="149"/>
      <c r="U140" s="149"/>
      <c r="V140" s="149"/>
      <c r="W140" s="149"/>
      <c r="X140" s="149"/>
      <c r="Y140" s="149"/>
      <c r="Z140" s="149"/>
      <c r="AA140" s="149"/>
      <c r="AB140" s="149"/>
      <c r="AC140" s="149"/>
      <c r="AD140" s="149"/>
      <c r="AE140" s="149"/>
    </row>
    <row r="141" spans="1:31" s="49" customFormat="1" x14ac:dyDescent="0.3">
      <c r="A141" s="124">
        <v>133</v>
      </c>
      <c r="B141" s="1529"/>
      <c r="C141" s="1278"/>
      <c r="D141" s="1278"/>
      <c r="E141" s="795" t="s">
        <v>292</v>
      </c>
      <c r="F141" s="1279"/>
      <c r="G141" s="1279"/>
      <c r="H141" s="1279"/>
      <c r="I141" s="813"/>
      <c r="J141" s="814">
        <f>SUM(K141:R141)</f>
        <v>6945818</v>
      </c>
      <c r="K141" s="815">
        <f t="shared" ref="K141:R141" si="43">SUM(K137,K133,K67,K43)</f>
        <v>3749904</v>
      </c>
      <c r="L141" s="815">
        <f t="shared" si="43"/>
        <v>639752</v>
      </c>
      <c r="M141" s="815">
        <f t="shared" si="43"/>
        <v>2443959</v>
      </c>
      <c r="N141" s="815">
        <f t="shared" si="43"/>
        <v>0</v>
      </c>
      <c r="O141" s="815">
        <f t="shared" si="43"/>
        <v>0</v>
      </c>
      <c r="P141" s="815">
        <f t="shared" si="43"/>
        <v>112203</v>
      </c>
      <c r="Q141" s="815">
        <f t="shared" si="43"/>
        <v>0</v>
      </c>
      <c r="R141" s="816">
        <f t="shared" si="43"/>
        <v>0</v>
      </c>
      <c r="S141" s="270"/>
      <c r="T141" s="149"/>
      <c r="U141" s="149"/>
      <c r="V141" s="149"/>
      <c r="W141" s="149"/>
      <c r="X141" s="149"/>
      <c r="Y141" s="149"/>
      <c r="Z141" s="149"/>
      <c r="AA141" s="149"/>
      <c r="AB141" s="149"/>
      <c r="AC141" s="149"/>
      <c r="AD141" s="149"/>
      <c r="AE141" s="149"/>
    </row>
    <row r="142" spans="1:31" s="809" customFormat="1" x14ac:dyDescent="0.3">
      <c r="A142" s="124">
        <v>134</v>
      </c>
      <c r="B142" s="440"/>
      <c r="C142" s="1276"/>
      <c r="D142" s="1522"/>
      <c r="E142" s="1499" t="s">
        <v>929</v>
      </c>
      <c r="F142" s="1277"/>
      <c r="G142" s="1277"/>
      <c r="H142" s="1277"/>
      <c r="I142" s="804"/>
      <c r="J142" s="1500">
        <f t="shared" ref="J142" si="44">SUM(K142:R142)</f>
        <v>402499</v>
      </c>
      <c r="K142" s="340">
        <f>K138+K134+K68+K44</f>
        <v>156519</v>
      </c>
      <c r="L142" s="340">
        <f t="shared" ref="L142:R142" si="45">L138+L134+L68+L44</f>
        <v>27779</v>
      </c>
      <c r="M142" s="340">
        <f t="shared" si="45"/>
        <v>121535</v>
      </c>
      <c r="N142" s="340">
        <f t="shared" si="45"/>
        <v>0</v>
      </c>
      <c r="O142" s="340">
        <f t="shared" si="45"/>
        <v>263</v>
      </c>
      <c r="P142" s="340">
        <f t="shared" si="45"/>
        <v>96403</v>
      </c>
      <c r="Q142" s="340">
        <f t="shared" si="45"/>
        <v>0</v>
      </c>
      <c r="R142" s="341">
        <f t="shared" si="45"/>
        <v>0</v>
      </c>
      <c r="S142" s="810"/>
      <c r="T142" s="808"/>
      <c r="U142" s="808"/>
      <c r="V142" s="808"/>
      <c r="W142" s="808"/>
      <c r="X142" s="808"/>
      <c r="Y142" s="808"/>
      <c r="Z142" s="808"/>
      <c r="AA142" s="808"/>
      <c r="AB142" s="808"/>
      <c r="AC142" s="808"/>
      <c r="AD142" s="808"/>
      <c r="AE142" s="808"/>
    </row>
    <row r="143" spans="1:31" s="49" customFormat="1" ht="15.75" thickBot="1" x14ac:dyDescent="0.35">
      <c r="A143" s="124">
        <v>135</v>
      </c>
      <c r="B143" s="1533"/>
      <c r="C143" s="1534"/>
      <c r="D143" s="1524"/>
      <c r="E143" s="641" t="s">
        <v>927</v>
      </c>
      <c r="F143" s="1477"/>
      <c r="G143" s="1477"/>
      <c r="H143" s="1477"/>
      <c r="I143" s="1525"/>
      <c r="J143" s="336">
        <f>SUM(K143:R143)</f>
        <v>7348317</v>
      </c>
      <c r="K143" s="1526">
        <f>SUM(K141:K142)</f>
        <v>3906423</v>
      </c>
      <c r="L143" s="1526">
        <f t="shared" ref="L143:R143" si="46">SUM(L141:L142)</f>
        <v>667531</v>
      </c>
      <c r="M143" s="1526">
        <f t="shared" si="46"/>
        <v>2565494</v>
      </c>
      <c r="N143" s="1526">
        <f t="shared" si="46"/>
        <v>0</v>
      </c>
      <c r="O143" s="1526">
        <f t="shared" si="46"/>
        <v>263</v>
      </c>
      <c r="P143" s="1526">
        <f t="shared" si="46"/>
        <v>208606</v>
      </c>
      <c r="Q143" s="1526">
        <f t="shared" si="46"/>
        <v>0</v>
      </c>
      <c r="R143" s="1535">
        <f t="shared" si="46"/>
        <v>0</v>
      </c>
      <c r="S143" s="270"/>
      <c r="T143" s="149"/>
      <c r="U143" s="149"/>
      <c r="V143" s="149"/>
      <c r="W143" s="149"/>
      <c r="X143" s="149"/>
      <c r="Y143" s="149"/>
      <c r="Z143" s="149"/>
      <c r="AA143" s="149"/>
      <c r="AB143" s="149"/>
      <c r="AC143" s="149"/>
      <c r="AD143" s="149"/>
      <c r="AE143" s="149"/>
    </row>
    <row r="144" spans="1:31" s="49" customFormat="1" x14ac:dyDescent="0.3">
      <c r="A144" s="124">
        <v>136</v>
      </c>
      <c r="B144" s="286">
        <v>17</v>
      </c>
      <c r="C144" s="652"/>
      <c r="D144" s="1960" t="s">
        <v>26</v>
      </c>
      <c r="E144" s="1961"/>
      <c r="F144" s="287" t="s">
        <v>23</v>
      </c>
      <c r="G144" s="345"/>
      <c r="H144" s="345"/>
      <c r="I144" s="439"/>
      <c r="J144" s="351"/>
      <c r="K144" s="345"/>
      <c r="L144" s="345"/>
      <c r="M144" s="345"/>
      <c r="N144" s="345"/>
      <c r="O144" s="345"/>
      <c r="P144" s="345"/>
      <c r="Q144" s="345"/>
      <c r="R144" s="346"/>
      <c r="S144" s="270"/>
      <c r="T144" s="149"/>
      <c r="U144" s="149"/>
      <c r="V144" s="149"/>
      <c r="W144" s="149"/>
      <c r="X144" s="149"/>
      <c r="Y144" s="149"/>
      <c r="Z144" s="149"/>
      <c r="AA144" s="149"/>
      <c r="AB144" s="149"/>
      <c r="AC144" s="149"/>
      <c r="AD144" s="149"/>
      <c r="AE144" s="149"/>
    </row>
    <row r="145" spans="1:31" s="835" customFormat="1" x14ac:dyDescent="0.3">
      <c r="A145" s="124">
        <v>137</v>
      </c>
      <c r="B145" s="290"/>
      <c r="C145" s="291">
        <v>1</v>
      </c>
      <c r="D145" s="1920" t="s">
        <v>156</v>
      </c>
      <c r="E145" s="1921"/>
      <c r="F145" s="431"/>
      <c r="G145" s="115">
        <v>1287824</v>
      </c>
      <c r="H145" s="115">
        <f>1326424-205560-2261</f>
        <v>1118603</v>
      </c>
      <c r="I145" s="333">
        <f>1261583-2181-9817-26713</f>
        <v>1222872</v>
      </c>
      <c r="J145" s="344"/>
      <c r="K145" s="115"/>
      <c r="L145" s="115"/>
      <c r="M145" s="115"/>
      <c r="N145" s="115"/>
      <c r="O145" s="115"/>
      <c r="P145" s="115"/>
      <c r="Q145" s="115"/>
      <c r="R145" s="129"/>
      <c r="S145" s="817"/>
      <c r="T145" s="817"/>
      <c r="U145" s="817"/>
      <c r="V145" s="817"/>
      <c r="W145" s="817"/>
      <c r="X145" s="817"/>
      <c r="Y145" s="817"/>
      <c r="Z145" s="817"/>
      <c r="AA145" s="817"/>
      <c r="AB145" s="817"/>
      <c r="AC145" s="817"/>
      <c r="AD145" s="817"/>
      <c r="AE145" s="817"/>
    </row>
    <row r="146" spans="1:31" s="838" customFormat="1" x14ac:dyDescent="0.3">
      <c r="A146" s="124">
        <v>138</v>
      </c>
      <c r="B146" s="440"/>
      <c r="C146" s="1284"/>
      <c r="D146" s="1276"/>
      <c r="E146" s="1347" t="s">
        <v>292</v>
      </c>
      <c r="F146" s="1285"/>
      <c r="G146" s="1277"/>
      <c r="H146" s="1277"/>
      <c r="I146" s="804"/>
      <c r="J146" s="805">
        <f>SUM(K146:R146)</f>
        <v>1380645</v>
      </c>
      <c r="K146" s="806">
        <v>1158703</v>
      </c>
      <c r="L146" s="806">
        <v>191446</v>
      </c>
      <c r="M146" s="806">
        <v>30496</v>
      </c>
      <c r="N146" s="806"/>
      <c r="O146" s="806"/>
      <c r="P146" s="806"/>
      <c r="Q146" s="806"/>
      <c r="R146" s="807"/>
      <c r="S146" s="980"/>
      <c r="T146" s="980"/>
      <c r="U146" s="980"/>
      <c r="V146" s="980"/>
      <c r="W146" s="980"/>
      <c r="X146" s="980"/>
      <c r="Y146" s="980"/>
      <c r="Z146" s="980"/>
      <c r="AA146" s="980"/>
      <c r="AB146" s="980"/>
      <c r="AC146" s="980"/>
      <c r="AD146" s="980"/>
      <c r="AE146" s="980"/>
    </row>
    <row r="147" spans="1:31" s="148" customFormat="1" x14ac:dyDescent="0.3">
      <c r="A147" s="124">
        <v>139</v>
      </c>
      <c r="B147" s="440"/>
      <c r="C147" s="1284"/>
      <c r="D147" s="1522"/>
      <c r="E147" s="1499" t="s">
        <v>926</v>
      </c>
      <c r="F147" s="1285"/>
      <c r="G147" s="1277"/>
      <c r="H147" s="1277"/>
      <c r="I147" s="804"/>
      <c r="J147" s="1500">
        <f t="shared" ref="J147" si="47">SUM(K147:R147)</f>
        <v>182339</v>
      </c>
      <c r="K147" s="340">
        <v>107398</v>
      </c>
      <c r="L147" s="340">
        <f>35970-4</f>
        <v>35966</v>
      </c>
      <c r="M147" s="340">
        <f>38974+1</f>
        <v>38975</v>
      </c>
      <c r="N147" s="806"/>
      <c r="O147" s="806"/>
      <c r="P147" s="806"/>
      <c r="Q147" s="806"/>
      <c r="R147" s="807"/>
      <c r="S147" s="150"/>
      <c r="T147" s="150"/>
      <c r="U147" s="150"/>
      <c r="V147" s="150"/>
      <c r="W147" s="150"/>
      <c r="X147" s="150"/>
      <c r="Y147" s="150"/>
      <c r="Z147" s="150"/>
      <c r="AA147" s="150"/>
      <c r="AB147" s="150"/>
      <c r="AC147" s="150"/>
      <c r="AD147" s="150"/>
      <c r="AE147" s="150"/>
    </row>
    <row r="148" spans="1:31" s="47" customFormat="1" x14ac:dyDescent="0.3">
      <c r="A148" s="124">
        <v>140</v>
      </c>
      <c r="B148" s="440"/>
      <c r="C148" s="1284"/>
      <c r="D148" s="1522"/>
      <c r="E148" s="641" t="s">
        <v>927</v>
      </c>
      <c r="F148" s="1285"/>
      <c r="G148" s="1277"/>
      <c r="H148" s="1277"/>
      <c r="I148" s="804"/>
      <c r="J148" s="336">
        <f>SUM(K148:R148)</f>
        <v>1562984</v>
      </c>
      <c r="K148" s="1503">
        <f>SUM(K146:K147)</f>
        <v>1266101</v>
      </c>
      <c r="L148" s="1503">
        <f t="shared" ref="L148:M148" si="48">SUM(L146:L147)</f>
        <v>227412</v>
      </c>
      <c r="M148" s="1503">
        <f t="shared" si="48"/>
        <v>69471</v>
      </c>
      <c r="N148" s="1503"/>
      <c r="O148" s="1503"/>
      <c r="P148" s="1503"/>
      <c r="Q148" s="806"/>
      <c r="R148" s="807"/>
      <c r="S148" s="266"/>
      <c r="T148" s="266"/>
      <c r="U148" s="266"/>
      <c r="V148" s="266"/>
      <c r="W148" s="266"/>
      <c r="X148" s="266"/>
      <c r="Y148" s="266"/>
      <c r="Z148" s="266"/>
      <c r="AA148" s="266"/>
      <c r="AB148" s="266"/>
      <c r="AC148" s="266"/>
      <c r="AD148" s="266"/>
      <c r="AE148" s="266"/>
    </row>
    <row r="149" spans="1:31" x14ac:dyDescent="0.3">
      <c r="A149" s="124">
        <v>141</v>
      </c>
      <c r="B149" s="290"/>
      <c r="C149" s="291">
        <v>2</v>
      </c>
      <c r="D149" s="1920" t="s">
        <v>157</v>
      </c>
      <c r="E149" s="1921"/>
      <c r="F149" s="431"/>
      <c r="G149" s="115">
        <v>129126</v>
      </c>
      <c r="H149" s="115">
        <v>185553</v>
      </c>
      <c r="I149" s="333">
        <v>135967</v>
      </c>
      <c r="J149" s="344"/>
      <c r="K149" s="115"/>
      <c r="L149" s="115"/>
      <c r="M149" s="115"/>
      <c r="N149" s="115"/>
      <c r="O149" s="115"/>
      <c r="P149" s="115"/>
      <c r="Q149" s="115"/>
      <c r="R149" s="129"/>
    </row>
    <row r="150" spans="1:31" x14ac:dyDescent="0.3">
      <c r="A150" s="124">
        <v>142</v>
      </c>
      <c r="B150" s="440"/>
      <c r="C150" s="1284"/>
      <c r="D150" s="1276"/>
      <c r="E150" s="1347" t="s">
        <v>292</v>
      </c>
      <c r="F150" s="1285"/>
      <c r="G150" s="1277"/>
      <c r="H150" s="1277"/>
      <c r="I150" s="804"/>
      <c r="J150" s="805">
        <f>SUM(K150:R150)</f>
        <v>204402</v>
      </c>
      <c r="K150" s="806">
        <v>3200</v>
      </c>
      <c r="L150" s="806">
        <v>1471</v>
      </c>
      <c r="M150" s="806">
        <v>185920</v>
      </c>
      <c r="N150" s="806"/>
      <c r="O150" s="806"/>
      <c r="P150" s="806">
        <v>13811</v>
      </c>
      <c r="Q150" s="806"/>
      <c r="R150" s="807"/>
    </row>
    <row r="151" spans="1:31" x14ac:dyDescent="0.3">
      <c r="A151" s="124">
        <v>143</v>
      </c>
      <c r="B151" s="440"/>
      <c r="C151" s="1284"/>
      <c r="D151" s="1522"/>
      <c r="E151" s="1499" t="s">
        <v>926</v>
      </c>
      <c r="F151" s="1285"/>
      <c r="G151" s="1277"/>
      <c r="H151" s="1277"/>
      <c r="I151" s="804"/>
      <c r="J151" s="1500">
        <f t="shared" ref="J151" si="49">SUM(K151:R151)</f>
        <v>148668</v>
      </c>
      <c r="K151" s="340">
        <v>90</v>
      </c>
      <c r="L151" s="340">
        <v>538</v>
      </c>
      <c r="M151" s="340">
        <f>138642+3137</f>
        <v>141779</v>
      </c>
      <c r="N151" s="340"/>
      <c r="O151" s="340"/>
      <c r="P151" s="340">
        <f>6461-200</f>
        <v>6261</v>
      </c>
      <c r="Q151" s="806"/>
      <c r="R151" s="807"/>
    </row>
    <row r="152" spans="1:31" x14ac:dyDescent="0.3">
      <c r="A152" s="124">
        <v>144</v>
      </c>
      <c r="B152" s="440"/>
      <c r="C152" s="1284"/>
      <c r="D152" s="1522"/>
      <c r="E152" s="641" t="s">
        <v>927</v>
      </c>
      <c r="F152" s="1285"/>
      <c r="G152" s="1277"/>
      <c r="H152" s="1277"/>
      <c r="I152" s="804"/>
      <c r="J152" s="336">
        <f>SUM(K152:R152)</f>
        <v>353070</v>
      </c>
      <c r="K152" s="1503">
        <f>SUM(K150:K151)</f>
        <v>3290</v>
      </c>
      <c r="L152" s="1503">
        <f t="shared" ref="L152:P152" si="50">SUM(L150:L151)</f>
        <v>2009</v>
      </c>
      <c r="M152" s="1503">
        <f t="shared" si="50"/>
        <v>327699</v>
      </c>
      <c r="N152" s="1503"/>
      <c r="O152" s="1503"/>
      <c r="P152" s="1503">
        <f t="shared" si="50"/>
        <v>20072</v>
      </c>
      <c r="Q152" s="806"/>
      <c r="R152" s="807"/>
    </row>
    <row r="153" spans="1:31" x14ac:dyDescent="0.3">
      <c r="A153" s="124">
        <v>145</v>
      </c>
      <c r="B153" s="290"/>
      <c r="C153" s="291">
        <v>3</v>
      </c>
      <c r="D153" s="1920" t="s">
        <v>33</v>
      </c>
      <c r="E153" s="1921"/>
      <c r="F153" s="431"/>
      <c r="G153" s="115">
        <v>96889</v>
      </c>
      <c r="H153" s="115">
        <v>91571</v>
      </c>
      <c r="I153" s="333">
        <v>85976</v>
      </c>
      <c r="J153" s="344"/>
      <c r="K153" s="115"/>
      <c r="L153" s="115"/>
      <c r="M153" s="115"/>
      <c r="N153" s="115"/>
      <c r="O153" s="115"/>
      <c r="P153" s="115"/>
      <c r="Q153" s="115"/>
      <c r="R153" s="129"/>
    </row>
    <row r="154" spans="1:31" x14ac:dyDescent="0.3">
      <c r="A154" s="124">
        <v>146</v>
      </c>
      <c r="B154" s="440"/>
      <c r="C154" s="1284"/>
      <c r="D154" s="1276"/>
      <c r="E154" s="1347" t="s">
        <v>292</v>
      </c>
      <c r="F154" s="1285"/>
      <c r="G154" s="1277"/>
      <c r="H154" s="1277"/>
      <c r="I154" s="804"/>
      <c r="J154" s="805">
        <f>SUM(K154:R154)</f>
        <v>101862</v>
      </c>
      <c r="K154" s="806"/>
      <c r="L154" s="806"/>
      <c r="M154" s="806">
        <v>81762</v>
      </c>
      <c r="N154" s="806"/>
      <c r="O154" s="806"/>
      <c r="P154" s="806">
        <v>20100</v>
      </c>
      <c r="Q154" s="806"/>
      <c r="R154" s="807"/>
    </row>
    <row r="155" spans="1:31" x14ac:dyDescent="0.3">
      <c r="A155" s="124">
        <v>147</v>
      </c>
      <c r="B155" s="440"/>
      <c r="C155" s="1284"/>
      <c r="D155" s="1522"/>
      <c r="E155" s="1499" t="s">
        <v>926</v>
      </c>
      <c r="F155" s="1285"/>
      <c r="G155" s="1277"/>
      <c r="H155" s="1277"/>
      <c r="I155" s="804"/>
      <c r="J155" s="1500">
        <f t="shared" ref="J155" si="51">SUM(K155:R155)</f>
        <v>31820</v>
      </c>
      <c r="K155" s="806"/>
      <c r="L155" s="806"/>
      <c r="M155" s="340">
        <v>22595</v>
      </c>
      <c r="N155" s="340"/>
      <c r="O155" s="340"/>
      <c r="P155" s="340">
        <v>9225</v>
      </c>
      <c r="Q155" s="806"/>
      <c r="R155" s="807"/>
    </row>
    <row r="156" spans="1:31" x14ac:dyDescent="0.3">
      <c r="A156" s="124">
        <v>148</v>
      </c>
      <c r="B156" s="440"/>
      <c r="C156" s="1284"/>
      <c r="D156" s="1522"/>
      <c r="E156" s="641" t="s">
        <v>927</v>
      </c>
      <c r="F156" s="1285"/>
      <c r="G156" s="1277"/>
      <c r="H156" s="1277"/>
      <c r="I156" s="804"/>
      <c r="J156" s="336">
        <f>SUM(K156:R156)</f>
        <v>133682</v>
      </c>
      <c r="K156" s="806"/>
      <c r="L156" s="806"/>
      <c r="M156" s="1503">
        <f>SUM(M154:M155)</f>
        <v>104357</v>
      </c>
      <c r="N156" s="1503"/>
      <c r="O156" s="1503"/>
      <c r="P156" s="1503">
        <f t="shared" ref="P156" si="52">SUM(P154:P155)</f>
        <v>29325</v>
      </c>
      <c r="Q156" s="806"/>
      <c r="R156" s="807"/>
    </row>
    <row r="157" spans="1:31" x14ac:dyDescent="0.3">
      <c r="A157" s="124">
        <v>149</v>
      </c>
      <c r="B157" s="290"/>
      <c r="C157" s="291">
        <v>4</v>
      </c>
      <c r="D157" s="1920" t="s">
        <v>774</v>
      </c>
      <c r="E157" s="1921"/>
      <c r="F157" s="431"/>
      <c r="G157" s="115">
        <v>2385</v>
      </c>
      <c r="H157" s="115">
        <v>7800</v>
      </c>
      <c r="I157" s="333">
        <v>71</v>
      </c>
      <c r="J157" s="344"/>
      <c r="K157" s="115"/>
      <c r="L157" s="115"/>
      <c r="M157" s="115"/>
      <c r="N157" s="115"/>
      <c r="O157" s="115"/>
      <c r="P157" s="115"/>
      <c r="Q157" s="115"/>
      <c r="R157" s="129"/>
    </row>
    <row r="158" spans="1:31" x14ac:dyDescent="0.3">
      <c r="A158" s="124">
        <v>150</v>
      </c>
      <c r="B158" s="440"/>
      <c r="C158" s="1284"/>
      <c r="D158" s="1276"/>
      <c r="E158" s="1347" t="s">
        <v>292</v>
      </c>
      <c r="F158" s="1285"/>
      <c r="G158" s="1277"/>
      <c r="H158" s="1277"/>
      <c r="I158" s="804"/>
      <c r="J158" s="805">
        <f>SUM(K158:R158)</f>
        <v>7631</v>
      </c>
      <c r="K158" s="806"/>
      <c r="L158" s="806"/>
      <c r="M158" s="806">
        <v>7631</v>
      </c>
      <c r="N158" s="806"/>
      <c r="O158" s="806"/>
      <c r="P158" s="806"/>
      <c r="Q158" s="806"/>
      <c r="R158" s="807"/>
    </row>
    <row r="159" spans="1:31" x14ac:dyDescent="0.3">
      <c r="A159" s="124">
        <v>151</v>
      </c>
      <c r="B159" s="440"/>
      <c r="C159" s="1284"/>
      <c r="D159" s="1522"/>
      <c r="E159" s="1499" t="s">
        <v>926</v>
      </c>
      <c r="F159" s="1285"/>
      <c r="G159" s="1277"/>
      <c r="H159" s="1277"/>
      <c r="I159" s="804"/>
      <c r="J159" s="1500">
        <f t="shared" ref="J159" si="53">SUM(K159:R159)</f>
        <v>13901</v>
      </c>
      <c r="K159" s="806"/>
      <c r="L159" s="806"/>
      <c r="M159" s="340">
        <v>13901</v>
      </c>
      <c r="N159" s="806"/>
      <c r="O159" s="806"/>
      <c r="P159" s="806"/>
      <c r="Q159" s="806"/>
      <c r="R159" s="807"/>
    </row>
    <row r="160" spans="1:31" x14ac:dyDescent="0.3">
      <c r="A160" s="124">
        <v>152</v>
      </c>
      <c r="B160" s="440"/>
      <c r="C160" s="1284"/>
      <c r="D160" s="1522"/>
      <c r="E160" s="641" t="s">
        <v>927</v>
      </c>
      <c r="F160" s="1285"/>
      <c r="G160" s="1277"/>
      <c r="H160" s="1277"/>
      <c r="I160" s="804"/>
      <c r="J160" s="336">
        <f>SUM(K160:R160)</f>
        <v>21532</v>
      </c>
      <c r="K160" s="806"/>
      <c r="L160" s="806"/>
      <c r="M160" s="1503">
        <f>SUM(M158:M159)</f>
        <v>21532</v>
      </c>
      <c r="N160" s="806"/>
      <c r="O160" s="806"/>
      <c r="P160" s="806"/>
      <c r="Q160" s="806"/>
      <c r="R160" s="807"/>
    </row>
    <row r="161" spans="1:18" x14ac:dyDescent="0.3">
      <c r="A161" s="124">
        <v>153</v>
      </c>
      <c r="B161" s="440"/>
      <c r="C161" s="295">
        <v>5</v>
      </c>
      <c r="D161" s="1937" t="s">
        <v>471</v>
      </c>
      <c r="E161" s="1938"/>
      <c r="F161" s="431"/>
      <c r="G161" s="296"/>
      <c r="H161" s="296">
        <v>3250</v>
      </c>
      <c r="I161" s="334">
        <v>0</v>
      </c>
      <c r="J161" s="336"/>
      <c r="K161" s="332"/>
      <c r="L161" s="332"/>
      <c r="M161" s="347"/>
      <c r="N161" s="347"/>
      <c r="O161" s="347"/>
      <c r="P161" s="347"/>
      <c r="Q161" s="347"/>
      <c r="R161" s="348"/>
    </row>
    <row r="162" spans="1:18" x14ac:dyDescent="0.3">
      <c r="A162" s="124">
        <v>154</v>
      </c>
      <c r="B162" s="440"/>
      <c r="C162" s="1284"/>
      <c r="D162" s="1276"/>
      <c r="E162" s="1347" t="s">
        <v>292</v>
      </c>
      <c r="F162" s="1286"/>
      <c r="G162" s="1277"/>
      <c r="H162" s="1277"/>
      <c r="I162" s="804"/>
      <c r="J162" s="805">
        <f>SUM(K162:R162)</f>
        <v>3250</v>
      </c>
      <c r="K162" s="826">
        <v>2720</v>
      </c>
      <c r="L162" s="826">
        <v>530</v>
      </c>
      <c r="M162" s="826"/>
      <c r="N162" s="826"/>
      <c r="O162" s="826"/>
      <c r="P162" s="826"/>
      <c r="Q162" s="826"/>
      <c r="R162" s="827"/>
    </row>
    <row r="163" spans="1:18" x14ac:dyDescent="0.3">
      <c r="A163" s="124">
        <v>155</v>
      </c>
      <c r="B163" s="440"/>
      <c r="C163" s="1284"/>
      <c r="D163" s="1522"/>
      <c r="E163" s="1499" t="s">
        <v>929</v>
      </c>
      <c r="F163" s="1536"/>
      <c r="G163" s="1277"/>
      <c r="H163" s="1277"/>
      <c r="I163" s="804"/>
      <c r="J163" s="1500">
        <f t="shared" ref="J163" si="54">SUM(K163:R163)</f>
        <v>0</v>
      </c>
      <c r="K163" s="826"/>
      <c r="L163" s="826"/>
      <c r="M163" s="826"/>
      <c r="N163" s="826"/>
      <c r="O163" s="826"/>
      <c r="P163" s="826"/>
      <c r="Q163" s="826"/>
      <c r="R163" s="827"/>
    </row>
    <row r="164" spans="1:18" x14ac:dyDescent="0.3">
      <c r="A164" s="124">
        <v>156</v>
      </c>
      <c r="B164" s="440"/>
      <c r="C164" s="1284"/>
      <c r="D164" s="1522"/>
      <c r="E164" s="641" t="s">
        <v>927</v>
      </c>
      <c r="F164" s="1536"/>
      <c r="G164" s="1277"/>
      <c r="H164" s="1277"/>
      <c r="I164" s="804"/>
      <c r="J164" s="336">
        <f>SUM(K164:R164)</f>
        <v>3250</v>
      </c>
      <c r="K164" s="347">
        <f>SUM(K162:K163)</f>
        <v>2720</v>
      </c>
      <c r="L164" s="347">
        <f>SUM(L162:L163)</f>
        <v>530</v>
      </c>
      <c r="M164" s="826"/>
      <c r="N164" s="826"/>
      <c r="O164" s="826"/>
      <c r="P164" s="826"/>
      <c r="Q164" s="826"/>
      <c r="R164" s="827"/>
    </row>
    <row r="165" spans="1:18" ht="16.5" x14ac:dyDescent="0.3">
      <c r="A165" s="124">
        <v>157</v>
      </c>
      <c r="B165" s="440"/>
      <c r="C165" s="295">
        <v>6</v>
      </c>
      <c r="D165" s="1989" t="s">
        <v>703</v>
      </c>
      <c r="E165" s="1990"/>
      <c r="F165" s="1991"/>
      <c r="G165" s="296"/>
      <c r="H165" s="296">
        <v>6000</v>
      </c>
      <c r="I165" s="334">
        <v>0</v>
      </c>
      <c r="J165" s="336"/>
      <c r="K165" s="347"/>
      <c r="L165" s="347"/>
      <c r="M165" s="347"/>
      <c r="N165" s="347"/>
      <c r="O165" s="347"/>
      <c r="P165" s="347"/>
      <c r="Q165" s="347"/>
      <c r="R165" s="348"/>
    </row>
    <row r="166" spans="1:18" x14ac:dyDescent="0.3">
      <c r="A166" s="124">
        <v>158</v>
      </c>
      <c r="B166" s="440"/>
      <c r="C166" s="1284"/>
      <c r="D166" s="1276"/>
      <c r="E166" s="1347" t="s">
        <v>292</v>
      </c>
      <c r="F166" s="1286"/>
      <c r="G166" s="1277"/>
      <c r="H166" s="1277"/>
      <c r="I166" s="804"/>
      <c r="J166" s="805">
        <f>SUM(K166:R166)</f>
        <v>6000</v>
      </c>
      <c r="K166" s="826">
        <v>4918</v>
      </c>
      <c r="L166" s="826">
        <v>1082</v>
      </c>
      <c r="M166" s="826"/>
      <c r="N166" s="826"/>
      <c r="O166" s="826"/>
      <c r="P166" s="826"/>
      <c r="Q166" s="826"/>
      <c r="R166" s="827"/>
    </row>
    <row r="167" spans="1:18" x14ac:dyDescent="0.3">
      <c r="A167" s="124">
        <v>159</v>
      </c>
      <c r="B167" s="440"/>
      <c r="C167" s="1284"/>
      <c r="D167" s="1522"/>
      <c r="E167" s="1499" t="s">
        <v>929</v>
      </c>
      <c r="F167" s="1286"/>
      <c r="G167" s="1277"/>
      <c r="H167" s="1277"/>
      <c r="I167" s="804"/>
      <c r="J167" s="1500">
        <f t="shared" ref="J167" si="55">SUM(K167:R167)</f>
        <v>0</v>
      </c>
      <c r="K167" s="826"/>
      <c r="L167" s="826"/>
      <c r="M167" s="826"/>
      <c r="N167" s="826"/>
      <c r="O167" s="826"/>
      <c r="P167" s="826"/>
      <c r="Q167" s="826"/>
      <c r="R167" s="827"/>
    </row>
    <row r="168" spans="1:18" x14ac:dyDescent="0.3">
      <c r="A168" s="124">
        <v>160</v>
      </c>
      <c r="B168" s="440"/>
      <c r="C168" s="1284"/>
      <c r="D168" s="1522"/>
      <c r="E168" s="641" t="s">
        <v>927</v>
      </c>
      <c r="F168" s="1286"/>
      <c r="G168" s="1277"/>
      <c r="H168" s="1277"/>
      <c r="I168" s="804"/>
      <c r="J168" s="336">
        <f>SUM(K168:R168)</f>
        <v>6000</v>
      </c>
      <c r="K168" s="347">
        <f>SUM(K166:K167)</f>
        <v>4918</v>
      </c>
      <c r="L168" s="347">
        <f>SUM(L166:L167)</f>
        <v>1082</v>
      </c>
      <c r="M168" s="826"/>
      <c r="N168" s="826"/>
      <c r="O168" s="826"/>
      <c r="P168" s="826"/>
      <c r="Q168" s="826"/>
      <c r="R168" s="827"/>
    </row>
    <row r="169" spans="1:18" x14ac:dyDescent="0.3">
      <c r="A169" s="124">
        <v>161</v>
      </c>
      <c r="B169" s="440"/>
      <c r="C169" s="295">
        <v>7</v>
      </c>
      <c r="D169" s="1992" t="s">
        <v>416</v>
      </c>
      <c r="E169" s="1993"/>
      <c r="F169" s="659"/>
      <c r="G169" s="296"/>
      <c r="H169" s="296">
        <v>5962</v>
      </c>
      <c r="I169" s="334">
        <v>0</v>
      </c>
      <c r="J169" s="336"/>
      <c r="K169" s="347"/>
      <c r="L169" s="347"/>
      <c r="M169" s="347"/>
      <c r="N169" s="347"/>
      <c r="O169" s="347"/>
      <c r="P169" s="347"/>
      <c r="Q169" s="347"/>
      <c r="R169" s="348"/>
    </row>
    <row r="170" spans="1:18" x14ac:dyDescent="0.3">
      <c r="A170" s="124">
        <v>162</v>
      </c>
      <c r="B170" s="440"/>
      <c r="C170" s="1284"/>
      <c r="D170" s="1276"/>
      <c r="E170" s="1347" t="s">
        <v>292</v>
      </c>
      <c r="F170" s="1286"/>
      <c r="G170" s="1277"/>
      <c r="H170" s="1277"/>
      <c r="I170" s="804"/>
      <c r="J170" s="805">
        <f>SUM(K170:R170)</f>
        <v>5962</v>
      </c>
      <c r="K170" s="826">
        <v>4887</v>
      </c>
      <c r="L170" s="826">
        <v>1075</v>
      </c>
      <c r="M170" s="826"/>
      <c r="N170" s="826"/>
      <c r="O170" s="826"/>
      <c r="P170" s="826"/>
      <c r="Q170" s="826"/>
      <c r="R170" s="827"/>
    </row>
    <row r="171" spans="1:18" x14ac:dyDescent="0.3">
      <c r="A171" s="124">
        <v>163</v>
      </c>
      <c r="B171" s="440"/>
      <c r="C171" s="1284"/>
      <c r="D171" s="1522"/>
      <c r="E171" s="1499" t="s">
        <v>929</v>
      </c>
      <c r="F171" s="1286"/>
      <c r="G171" s="1277"/>
      <c r="H171" s="1277"/>
      <c r="I171" s="804"/>
      <c r="J171" s="1500">
        <f t="shared" ref="J171" si="56">SUM(K171:R171)</f>
        <v>0</v>
      </c>
      <c r="K171" s="826"/>
      <c r="L171" s="826"/>
      <c r="M171" s="826"/>
      <c r="N171" s="826"/>
      <c r="O171" s="826"/>
      <c r="P171" s="826"/>
      <c r="Q171" s="826"/>
      <c r="R171" s="827"/>
    </row>
    <row r="172" spans="1:18" x14ac:dyDescent="0.3">
      <c r="A172" s="124">
        <v>164</v>
      </c>
      <c r="B172" s="440"/>
      <c r="C172" s="1284"/>
      <c r="D172" s="1522"/>
      <c r="E172" s="641" t="s">
        <v>927</v>
      </c>
      <c r="F172" s="1286"/>
      <c r="G172" s="1277"/>
      <c r="H172" s="1277"/>
      <c r="I172" s="804"/>
      <c r="J172" s="336">
        <f>SUM(K172:R172)</f>
        <v>5962</v>
      </c>
      <c r="K172" s="347">
        <f>SUM(K170:K171)</f>
        <v>4887</v>
      </c>
      <c r="L172" s="347">
        <f>SUM(L170:L171)</f>
        <v>1075</v>
      </c>
      <c r="M172" s="826"/>
      <c r="N172" s="826"/>
      <c r="O172" s="826"/>
      <c r="P172" s="826"/>
      <c r="Q172" s="826"/>
      <c r="R172" s="827"/>
    </row>
    <row r="173" spans="1:18" x14ac:dyDescent="0.3">
      <c r="A173" s="124">
        <v>165</v>
      </c>
      <c r="B173" s="440"/>
      <c r="C173" s="291">
        <v>8</v>
      </c>
      <c r="D173" s="1920" t="s">
        <v>443</v>
      </c>
      <c r="E173" s="1982"/>
      <c r="F173" s="1921"/>
      <c r="G173" s="296"/>
      <c r="H173" s="296">
        <v>12000</v>
      </c>
      <c r="I173" s="334">
        <v>0</v>
      </c>
      <c r="J173" s="336"/>
      <c r="K173" s="347"/>
      <c r="L173" s="347"/>
      <c r="M173" s="347"/>
      <c r="N173" s="347"/>
      <c r="O173" s="347"/>
      <c r="P173" s="347"/>
      <c r="Q173" s="347"/>
      <c r="R173" s="348"/>
    </row>
    <row r="174" spans="1:18" x14ac:dyDescent="0.3">
      <c r="A174" s="124">
        <v>166</v>
      </c>
      <c r="B174" s="440"/>
      <c r="C174" s="1284"/>
      <c r="D174" s="1276"/>
      <c r="E174" s="1347" t="s">
        <v>292</v>
      </c>
      <c r="F174" s="1286"/>
      <c r="G174" s="1277"/>
      <c r="H174" s="1277"/>
      <c r="I174" s="804"/>
      <c r="J174" s="805">
        <f>SUM(K174:R174)</f>
        <v>12000</v>
      </c>
      <c r="K174" s="826">
        <v>10042</v>
      </c>
      <c r="L174" s="826">
        <v>1958</v>
      </c>
      <c r="M174" s="826"/>
      <c r="N174" s="826"/>
      <c r="O174" s="826"/>
      <c r="P174" s="826"/>
      <c r="Q174" s="826"/>
      <c r="R174" s="827"/>
    </row>
    <row r="175" spans="1:18" x14ac:dyDescent="0.3">
      <c r="A175" s="124">
        <v>167</v>
      </c>
      <c r="B175" s="440"/>
      <c r="C175" s="1284"/>
      <c r="D175" s="1522"/>
      <c r="E175" s="1499" t="s">
        <v>929</v>
      </c>
      <c r="F175" s="1286"/>
      <c r="G175" s="1277"/>
      <c r="H175" s="1277"/>
      <c r="I175" s="804"/>
      <c r="J175" s="1500">
        <f t="shared" ref="J175" si="57">SUM(K175:R175)</f>
        <v>0</v>
      </c>
      <c r="K175" s="826"/>
      <c r="L175" s="826"/>
      <c r="M175" s="826"/>
      <c r="N175" s="826"/>
      <c r="O175" s="826"/>
      <c r="P175" s="826"/>
      <c r="Q175" s="826"/>
      <c r="R175" s="827"/>
    </row>
    <row r="176" spans="1:18" x14ac:dyDescent="0.3">
      <c r="A176" s="124">
        <v>168</v>
      </c>
      <c r="B176" s="440"/>
      <c r="C176" s="1284"/>
      <c r="D176" s="1522"/>
      <c r="E176" s="641" t="s">
        <v>927</v>
      </c>
      <c r="F176" s="1286"/>
      <c r="G176" s="1277"/>
      <c r="H176" s="1277"/>
      <c r="I176" s="804"/>
      <c r="J176" s="336">
        <f>SUM(K176:R176)</f>
        <v>12000</v>
      </c>
      <c r="K176" s="347">
        <f>SUM(K174:K175)</f>
        <v>10042</v>
      </c>
      <c r="L176" s="347">
        <f>SUM(L174:L175)</f>
        <v>1958</v>
      </c>
      <c r="M176" s="826"/>
      <c r="N176" s="826"/>
      <c r="O176" s="826"/>
      <c r="P176" s="826"/>
      <c r="Q176" s="826"/>
      <c r="R176" s="827"/>
    </row>
    <row r="177" spans="1:18" x14ac:dyDescent="0.3">
      <c r="A177" s="124">
        <v>169</v>
      </c>
      <c r="B177" s="440"/>
      <c r="C177" s="291">
        <v>9</v>
      </c>
      <c r="D177" s="1920" t="s">
        <v>467</v>
      </c>
      <c r="E177" s="1921"/>
      <c r="F177" s="659"/>
      <c r="G177" s="296">
        <v>1684</v>
      </c>
      <c r="H177" s="296">
        <v>327</v>
      </c>
      <c r="I177" s="334">
        <v>2237</v>
      </c>
      <c r="J177" s="336"/>
      <c r="K177" s="347"/>
      <c r="L177" s="347"/>
      <c r="M177" s="347"/>
      <c r="N177" s="347"/>
      <c r="O177" s="347"/>
      <c r="P177" s="347"/>
      <c r="Q177" s="347"/>
      <c r="R177" s="348"/>
    </row>
    <row r="178" spans="1:18" x14ac:dyDescent="0.3">
      <c r="A178" s="124">
        <v>170</v>
      </c>
      <c r="B178" s="440"/>
      <c r="C178" s="1284"/>
      <c r="D178" s="1276"/>
      <c r="E178" s="1347" t="s">
        <v>292</v>
      </c>
      <c r="F178" s="1286"/>
      <c r="G178" s="1277"/>
      <c r="H178" s="1277"/>
      <c r="I178" s="804"/>
      <c r="J178" s="805">
        <f>SUM(K178:R178)</f>
        <v>76</v>
      </c>
      <c r="K178" s="826"/>
      <c r="L178" s="826">
        <v>33</v>
      </c>
      <c r="M178" s="826">
        <v>43</v>
      </c>
      <c r="N178" s="826"/>
      <c r="O178" s="826"/>
      <c r="P178" s="826"/>
      <c r="Q178" s="826"/>
      <c r="R178" s="827"/>
    </row>
    <row r="179" spans="1:18" x14ac:dyDescent="0.3">
      <c r="A179" s="124">
        <v>171</v>
      </c>
      <c r="B179" s="440"/>
      <c r="C179" s="1284"/>
      <c r="D179" s="1522"/>
      <c r="E179" s="1499" t="s">
        <v>929</v>
      </c>
      <c r="F179" s="1286"/>
      <c r="G179" s="1277"/>
      <c r="H179" s="1277"/>
      <c r="I179" s="804"/>
      <c r="J179" s="1500">
        <f t="shared" ref="J179" si="58">SUM(K179:R179)</f>
        <v>0</v>
      </c>
      <c r="K179" s="826"/>
      <c r="L179" s="826"/>
      <c r="M179" s="826"/>
      <c r="N179" s="826"/>
      <c r="O179" s="826"/>
      <c r="P179" s="826"/>
      <c r="Q179" s="826"/>
      <c r="R179" s="827"/>
    </row>
    <row r="180" spans="1:18" x14ac:dyDescent="0.3">
      <c r="A180" s="124">
        <v>172</v>
      </c>
      <c r="B180" s="440"/>
      <c r="C180" s="1284"/>
      <c r="D180" s="1522"/>
      <c r="E180" s="641" t="s">
        <v>927</v>
      </c>
      <c r="F180" s="1286"/>
      <c r="G180" s="1277"/>
      <c r="H180" s="1277"/>
      <c r="I180" s="804"/>
      <c r="J180" s="336">
        <f>SUM(K180:R180)</f>
        <v>76</v>
      </c>
      <c r="K180" s="826"/>
      <c r="L180" s="347">
        <f>SUM(L178:L179)</f>
        <v>33</v>
      </c>
      <c r="M180" s="347">
        <f>SUM(M178:M179)</f>
        <v>43</v>
      </c>
      <c r="N180" s="826"/>
      <c r="O180" s="826"/>
      <c r="P180" s="826"/>
      <c r="Q180" s="826"/>
      <c r="R180" s="827"/>
    </row>
    <row r="181" spans="1:18" x14ac:dyDescent="0.3">
      <c r="A181" s="124">
        <v>173</v>
      </c>
      <c r="B181" s="1074"/>
      <c r="C181" s="291">
        <v>10</v>
      </c>
      <c r="D181" s="1920" t="s">
        <v>777</v>
      </c>
      <c r="E181" s="1921"/>
      <c r="F181" s="1075"/>
      <c r="G181" s="152">
        <f>10996</f>
        <v>10996</v>
      </c>
      <c r="H181" s="152">
        <v>2261</v>
      </c>
      <c r="I181" s="1076">
        <v>2181</v>
      </c>
      <c r="J181" s="344"/>
      <c r="K181" s="152"/>
      <c r="L181" s="152"/>
      <c r="M181" s="152"/>
      <c r="N181" s="152"/>
      <c r="O181" s="152"/>
      <c r="P181" s="152"/>
      <c r="Q181" s="152"/>
      <c r="R181" s="1077"/>
    </row>
    <row r="182" spans="1:18" x14ac:dyDescent="0.3">
      <c r="A182" s="124">
        <v>174</v>
      </c>
      <c r="B182" s="440"/>
      <c r="C182" s="291">
        <v>11</v>
      </c>
      <c r="D182" s="1920" t="s">
        <v>540</v>
      </c>
      <c r="E182" s="1921"/>
      <c r="F182" s="431"/>
      <c r="G182" s="296"/>
      <c r="H182" s="296">
        <v>205560</v>
      </c>
      <c r="I182" s="334">
        <v>9817</v>
      </c>
      <c r="J182" s="336"/>
      <c r="K182" s="347"/>
      <c r="L182" s="347"/>
      <c r="M182" s="347"/>
      <c r="N182" s="347"/>
      <c r="O182" s="347"/>
      <c r="P182" s="347"/>
      <c r="Q182" s="347"/>
      <c r="R182" s="348"/>
    </row>
    <row r="183" spans="1:18" x14ac:dyDescent="0.3">
      <c r="A183" s="124">
        <v>175</v>
      </c>
      <c r="B183" s="440"/>
      <c r="C183" s="291"/>
      <c r="D183" s="1276"/>
      <c r="E183" s="1347" t="s">
        <v>292</v>
      </c>
      <c r="F183" s="431"/>
      <c r="G183" s="296"/>
      <c r="H183" s="296"/>
      <c r="I183" s="334"/>
      <c r="J183" s="805">
        <f>SUM(K183:R183)</f>
        <v>3524</v>
      </c>
      <c r="K183" s="826">
        <v>2816</v>
      </c>
      <c r="L183" s="826">
        <v>708</v>
      </c>
      <c r="M183" s="347"/>
      <c r="N183" s="347"/>
      <c r="O183" s="347"/>
      <c r="P183" s="347"/>
      <c r="Q183" s="347"/>
      <c r="R183" s="348"/>
    </row>
    <row r="184" spans="1:18" x14ac:dyDescent="0.3">
      <c r="A184" s="124">
        <v>176</v>
      </c>
      <c r="B184" s="440"/>
      <c r="C184" s="291"/>
      <c r="D184" s="1522"/>
      <c r="E184" s="1499" t="s">
        <v>950</v>
      </c>
      <c r="F184" s="431"/>
      <c r="G184" s="296"/>
      <c r="H184" s="296"/>
      <c r="I184" s="334"/>
      <c r="J184" s="1500">
        <f t="shared" ref="J184:J185" si="59">SUM(K184:R184)</f>
        <v>2555</v>
      </c>
      <c r="K184" s="340">
        <v>2451</v>
      </c>
      <c r="L184" s="340">
        <v>104</v>
      </c>
      <c r="M184" s="347"/>
      <c r="N184" s="347"/>
      <c r="O184" s="347"/>
      <c r="P184" s="347"/>
      <c r="Q184" s="347"/>
      <c r="R184" s="348"/>
    </row>
    <row r="185" spans="1:18" x14ac:dyDescent="0.3">
      <c r="A185" s="124">
        <v>177</v>
      </c>
      <c r="B185" s="440"/>
      <c r="C185" s="291"/>
      <c r="D185" s="1522"/>
      <c r="E185" s="1499" t="s">
        <v>931</v>
      </c>
      <c r="F185" s="431"/>
      <c r="G185" s="296"/>
      <c r="H185" s="296"/>
      <c r="I185" s="334"/>
      <c r="J185" s="1500">
        <f t="shared" si="59"/>
        <v>4</v>
      </c>
      <c r="K185" s="340"/>
      <c r="L185" s="340">
        <v>4</v>
      </c>
      <c r="M185" s="347"/>
      <c r="N185" s="347"/>
      <c r="O185" s="347"/>
      <c r="P185" s="347"/>
      <c r="Q185" s="347"/>
      <c r="R185" s="348"/>
    </row>
    <row r="186" spans="1:18" x14ac:dyDescent="0.3">
      <c r="A186" s="124">
        <v>178</v>
      </c>
      <c r="B186" s="440"/>
      <c r="C186" s="291"/>
      <c r="D186" s="1522"/>
      <c r="E186" s="641" t="s">
        <v>927</v>
      </c>
      <c r="F186" s="431"/>
      <c r="G186" s="296"/>
      <c r="H186" s="296"/>
      <c r="I186" s="334"/>
      <c r="J186" s="336">
        <f>SUM(K186:R186)</f>
        <v>6083</v>
      </c>
      <c r="K186" s="347">
        <f>SUM(K183:K185)</f>
        <v>5267</v>
      </c>
      <c r="L186" s="347">
        <f>SUM(L183:L185)</f>
        <v>816</v>
      </c>
      <c r="M186" s="347"/>
      <c r="N186" s="347"/>
      <c r="O186" s="347"/>
      <c r="P186" s="347"/>
      <c r="Q186" s="347"/>
      <c r="R186" s="348"/>
    </row>
    <row r="187" spans="1:18" x14ac:dyDescent="0.3">
      <c r="A187" s="124">
        <v>179</v>
      </c>
      <c r="B187" s="440"/>
      <c r="C187" s="291">
        <v>12</v>
      </c>
      <c r="D187" s="1920" t="s">
        <v>776</v>
      </c>
      <c r="E187" s="1921"/>
      <c r="F187" s="431"/>
      <c r="G187" s="296"/>
      <c r="H187" s="296"/>
      <c r="I187" s="334">
        <v>26713</v>
      </c>
      <c r="J187" s="336"/>
      <c r="K187" s="826"/>
      <c r="L187" s="826"/>
      <c r="M187" s="347"/>
      <c r="N187" s="347"/>
      <c r="O187" s="347"/>
      <c r="P187" s="347"/>
      <c r="Q187" s="347"/>
      <c r="R187" s="348"/>
    </row>
    <row r="188" spans="1:18" x14ac:dyDescent="0.3">
      <c r="A188" s="124">
        <v>180</v>
      </c>
      <c r="B188" s="440"/>
      <c r="C188" s="291"/>
      <c r="D188" s="1276"/>
      <c r="E188" s="1347" t="s">
        <v>292</v>
      </c>
      <c r="F188" s="431"/>
      <c r="G188" s="296"/>
      <c r="H188" s="296"/>
      <c r="I188" s="334"/>
      <c r="J188" s="805">
        <f>SUM(K188:R188)</f>
        <v>2271</v>
      </c>
      <c r="K188" s="826">
        <v>2077</v>
      </c>
      <c r="L188" s="826">
        <v>194</v>
      </c>
      <c r="M188" s="347"/>
      <c r="N188" s="347"/>
      <c r="O188" s="347"/>
      <c r="P188" s="347"/>
      <c r="Q188" s="347"/>
      <c r="R188" s="348"/>
    </row>
    <row r="189" spans="1:18" x14ac:dyDescent="0.3">
      <c r="A189" s="124">
        <v>181</v>
      </c>
      <c r="B189" s="440"/>
      <c r="C189" s="291"/>
      <c r="D189" s="1522"/>
      <c r="E189" s="1499" t="s">
        <v>929</v>
      </c>
      <c r="F189" s="431"/>
      <c r="G189" s="296"/>
      <c r="H189" s="296"/>
      <c r="I189" s="334"/>
      <c r="J189" s="1500">
        <f t="shared" ref="J189" si="60">SUM(K189:R189)</f>
        <v>0</v>
      </c>
      <c r="K189" s="826"/>
      <c r="L189" s="826"/>
      <c r="M189" s="347"/>
      <c r="N189" s="347"/>
      <c r="O189" s="347"/>
      <c r="P189" s="347"/>
      <c r="Q189" s="347"/>
      <c r="R189" s="348"/>
    </row>
    <row r="190" spans="1:18" x14ac:dyDescent="0.3">
      <c r="A190" s="124">
        <v>182</v>
      </c>
      <c r="B190" s="440"/>
      <c r="C190" s="291"/>
      <c r="D190" s="1522"/>
      <c r="E190" s="641" t="s">
        <v>927</v>
      </c>
      <c r="F190" s="431"/>
      <c r="G190" s="296"/>
      <c r="H190" s="296"/>
      <c r="I190" s="334"/>
      <c r="J190" s="336">
        <f>SUM(K190:R190)</f>
        <v>2271</v>
      </c>
      <c r="K190" s="347">
        <f>SUM(K188:K189)</f>
        <v>2077</v>
      </c>
      <c r="L190" s="347">
        <f>SUM(L188:L189)</f>
        <v>194</v>
      </c>
      <c r="M190" s="347"/>
      <c r="N190" s="347"/>
      <c r="O190" s="347"/>
      <c r="P190" s="347"/>
      <c r="Q190" s="347"/>
      <c r="R190" s="348"/>
    </row>
    <row r="191" spans="1:18" x14ac:dyDescent="0.3">
      <c r="A191" s="124">
        <v>183</v>
      </c>
      <c r="B191" s="440"/>
      <c r="C191" s="291">
        <v>13</v>
      </c>
      <c r="D191" s="1920" t="s">
        <v>766</v>
      </c>
      <c r="E191" s="1921"/>
      <c r="F191" s="431"/>
      <c r="G191" s="296"/>
      <c r="H191" s="296"/>
      <c r="I191" s="334"/>
      <c r="J191" s="336"/>
      <c r="K191" s="826"/>
      <c r="L191" s="826"/>
      <c r="M191" s="347"/>
      <c r="N191" s="347"/>
      <c r="O191" s="347"/>
      <c r="P191" s="347"/>
      <c r="Q191" s="347"/>
      <c r="R191" s="348"/>
    </row>
    <row r="192" spans="1:18" x14ac:dyDescent="0.3">
      <c r="A192" s="124">
        <v>184</v>
      </c>
      <c r="B192" s="440"/>
      <c r="C192" s="291"/>
      <c r="D192" s="1276"/>
      <c r="E192" s="1347" t="s">
        <v>292</v>
      </c>
      <c r="F192" s="431"/>
      <c r="G192" s="296"/>
      <c r="H192" s="296"/>
      <c r="I192" s="334"/>
      <c r="J192" s="805">
        <f>SUM(K192:R192)</f>
        <v>35000</v>
      </c>
      <c r="K192" s="826">
        <v>30303</v>
      </c>
      <c r="L192" s="826">
        <v>4697</v>
      </c>
      <c r="M192" s="347"/>
      <c r="N192" s="347"/>
      <c r="O192" s="347"/>
      <c r="P192" s="347"/>
      <c r="Q192" s="347"/>
      <c r="R192" s="348"/>
    </row>
    <row r="193" spans="1:18" x14ac:dyDescent="0.3">
      <c r="A193" s="124">
        <v>185</v>
      </c>
      <c r="B193" s="440"/>
      <c r="C193" s="291"/>
      <c r="D193" s="1522"/>
      <c r="E193" s="1499" t="s">
        <v>949</v>
      </c>
      <c r="F193" s="431"/>
      <c r="G193" s="296"/>
      <c r="H193" s="296"/>
      <c r="I193" s="334"/>
      <c r="J193" s="1500">
        <f t="shared" ref="J193" si="61">SUM(K193:R193)</f>
        <v>-97</v>
      </c>
      <c r="K193" s="340">
        <v>-84</v>
      </c>
      <c r="L193" s="340">
        <v>-13</v>
      </c>
      <c r="M193" s="347"/>
      <c r="N193" s="347"/>
      <c r="O193" s="347"/>
      <c r="P193" s="347"/>
      <c r="Q193" s="347"/>
      <c r="R193" s="348"/>
    </row>
    <row r="194" spans="1:18" x14ac:dyDescent="0.3">
      <c r="A194" s="124">
        <v>186</v>
      </c>
      <c r="B194" s="440"/>
      <c r="C194" s="291"/>
      <c r="D194" s="1522"/>
      <c r="E194" s="641" t="s">
        <v>927</v>
      </c>
      <c r="F194" s="431"/>
      <c r="G194" s="296"/>
      <c r="H194" s="296"/>
      <c r="I194" s="334"/>
      <c r="J194" s="336">
        <f>SUM(K194:R194)</f>
        <v>34903</v>
      </c>
      <c r="K194" s="347">
        <f>SUM(K192:K193)</f>
        <v>30219</v>
      </c>
      <c r="L194" s="347">
        <f>SUM(L192:L193)</f>
        <v>4684</v>
      </c>
      <c r="M194" s="347"/>
      <c r="N194" s="347"/>
      <c r="O194" s="347"/>
      <c r="P194" s="347"/>
      <c r="Q194" s="347"/>
      <c r="R194" s="348"/>
    </row>
    <row r="195" spans="1:18" x14ac:dyDescent="0.3">
      <c r="A195" s="124">
        <v>187</v>
      </c>
      <c r="B195" s="440"/>
      <c r="C195" s="291">
        <v>14</v>
      </c>
      <c r="D195" s="1920" t="s">
        <v>951</v>
      </c>
      <c r="E195" s="1921"/>
      <c r="F195" s="431"/>
      <c r="G195" s="296"/>
      <c r="H195" s="296"/>
      <c r="I195" s="334"/>
      <c r="J195" s="336"/>
      <c r="K195" s="347"/>
      <c r="L195" s="347"/>
      <c r="M195" s="347"/>
      <c r="N195" s="347"/>
      <c r="O195" s="347"/>
      <c r="P195" s="347"/>
      <c r="Q195" s="347"/>
      <c r="R195" s="348"/>
    </row>
    <row r="196" spans="1:18" x14ac:dyDescent="0.3">
      <c r="A196" s="124">
        <v>188</v>
      </c>
      <c r="B196" s="440"/>
      <c r="C196" s="291"/>
      <c r="D196" s="1522"/>
      <c r="E196" s="1499" t="s">
        <v>952</v>
      </c>
      <c r="F196" s="431"/>
      <c r="G196" s="296"/>
      <c r="H196" s="296"/>
      <c r="I196" s="334"/>
      <c r="J196" s="1500">
        <f t="shared" ref="J196" si="62">SUM(K196:R196)</f>
        <v>18664</v>
      </c>
      <c r="K196" s="340">
        <v>16160</v>
      </c>
      <c r="L196" s="340">
        <v>2504</v>
      </c>
      <c r="M196" s="347"/>
      <c r="N196" s="347"/>
      <c r="O196" s="347"/>
      <c r="P196" s="347"/>
      <c r="Q196" s="347"/>
      <c r="R196" s="348"/>
    </row>
    <row r="197" spans="1:18" x14ac:dyDescent="0.3">
      <c r="A197" s="124">
        <v>189</v>
      </c>
      <c r="B197" s="440"/>
      <c r="C197" s="291"/>
      <c r="D197" s="1522"/>
      <c r="E197" s="641" t="s">
        <v>927</v>
      </c>
      <c r="F197" s="431"/>
      <c r="G197" s="296"/>
      <c r="H197" s="296"/>
      <c r="I197" s="334"/>
      <c r="J197" s="336">
        <f>SUM(K197:R197)</f>
        <v>18664</v>
      </c>
      <c r="K197" s="347">
        <f>SUM(K196)</f>
        <v>16160</v>
      </c>
      <c r="L197" s="347">
        <f>SUM(L196)</f>
        <v>2504</v>
      </c>
      <c r="M197" s="347"/>
      <c r="N197" s="347"/>
      <c r="O197" s="347"/>
      <c r="P197" s="347"/>
      <c r="Q197" s="347"/>
      <c r="R197" s="348"/>
    </row>
    <row r="198" spans="1:18" x14ac:dyDescent="0.3">
      <c r="A198" s="124">
        <v>190</v>
      </c>
      <c r="B198" s="440"/>
      <c r="C198" s="291">
        <v>15</v>
      </c>
      <c r="D198" s="1920" t="s">
        <v>732</v>
      </c>
      <c r="E198" s="1982"/>
      <c r="F198" s="1982"/>
      <c r="G198" s="1982"/>
      <c r="H198" s="1982"/>
      <c r="I198" s="1994"/>
      <c r="J198" s="336"/>
      <c r="K198" s="347"/>
      <c r="L198" s="347"/>
      <c r="M198" s="347"/>
      <c r="N198" s="347"/>
      <c r="O198" s="347"/>
      <c r="P198" s="347"/>
      <c r="Q198" s="347"/>
      <c r="R198" s="348"/>
    </row>
    <row r="199" spans="1:18" x14ac:dyDescent="0.3">
      <c r="A199" s="124">
        <v>191</v>
      </c>
      <c r="B199" s="440"/>
      <c r="C199" s="291"/>
      <c r="D199" s="658"/>
      <c r="E199" s="1347" t="s">
        <v>292</v>
      </c>
      <c r="F199" s="431"/>
      <c r="G199" s="296"/>
      <c r="H199" s="296"/>
      <c r="I199" s="334"/>
      <c r="J199" s="805">
        <f>SUM(K199:R199)</f>
        <v>22650</v>
      </c>
      <c r="K199" s="826">
        <v>19277</v>
      </c>
      <c r="L199" s="826">
        <v>3373</v>
      </c>
      <c r="M199" s="347"/>
      <c r="N199" s="347"/>
      <c r="O199" s="347"/>
      <c r="P199" s="347"/>
      <c r="Q199" s="347"/>
      <c r="R199" s="348"/>
    </row>
    <row r="200" spans="1:18" x14ac:dyDescent="0.3">
      <c r="A200" s="124">
        <v>192</v>
      </c>
      <c r="B200" s="440"/>
      <c r="C200" s="291"/>
      <c r="D200" s="658"/>
      <c r="E200" s="1499" t="s">
        <v>929</v>
      </c>
      <c r="F200" s="431"/>
      <c r="G200" s="296"/>
      <c r="H200" s="296"/>
      <c r="I200" s="334"/>
      <c r="J200" s="1500">
        <f t="shared" ref="J200" si="63">SUM(K200:R200)</f>
        <v>0</v>
      </c>
      <c r="K200" s="826"/>
      <c r="L200" s="826"/>
      <c r="M200" s="347"/>
      <c r="N200" s="347"/>
      <c r="O200" s="347"/>
      <c r="P200" s="347"/>
      <c r="Q200" s="347"/>
      <c r="R200" s="348"/>
    </row>
    <row r="201" spans="1:18" x14ac:dyDescent="0.3">
      <c r="A201" s="124">
        <v>193</v>
      </c>
      <c r="B201" s="440"/>
      <c r="C201" s="291"/>
      <c r="D201" s="658"/>
      <c r="E201" s="641" t="s">
        <v>927</v>
      </c>
      <c r="F201" s="431"/>
      <c r="G201" s="296"/>
      <c r="H201" s="296"/>
      <c r="I201" s="334"/>
      <c r="J201" s="336">
        <f>SUM(K201:R201)</f>
        <v>22650</v>
      </c>
      <c r="K201" s="347">
        <f>SUM(K199:K200)</f>
        <v>19277</v>
      </c>
      <c r="L201" s="347">
        <f>SUM(L199:L200)</f>
        <v>3373</v>
      </c>
      <c r="M201" s="347"/>
      <c r="N201" s="347"/>
      <c r="O201" s="347"/>
      <c r="P201" s="347"/>
      <c r="Q201" s="347"/>
      <c r="R201" s="348"/>
    </row>
    <row r="202" spans="1:18" x14ac:dyDescent="0.3">
      <c r="A202" s="124">
        <v>194</v>
      </c>
      <c r="B202" s="440"/>
      <c r="C202" s="291">
        <v>16</v>
      </c>
      <c r="D202" s="658" t="s">
        <v>733</v>
      </c>
      <c r="E202" s="640"/>
      <c r="F202" s="431"/>
      <c r="G202" s="296"/>
      <c r="H202" s="296">
        <v>22278</v>
      </c>
      <c r="I202" s="334"/>
      <c r="J202" s="336"/>
      <c r="K202" s="347"/>
      <c r="L202" s="347"/>
      <c r="M202" s="347"/>
      <c r="N202" s="347"/>
      <c r="O202" s="347"/>
      <c r="P202" s="347"/>
      <c r="Q202" s="347"/>
      <c r="R202" s="348"/>
    </row>
    <row r="203" spans="1:18" x14ac:dyDescent="0.3">
      <c r="A203" s="124">
        <v>195</v>
      </c>
      <c r="B203" s="440"/>
      <c r="C203" s="291"/>
      <c r="D203" s="658"/>
      <c r="E203" s="1347" t="s">
        <v>292</v>
      </c>
      <c r="F203" s="431"/>
      <c r="G203" s="296"/>
      <c r="H203" s="296"/>
      <c r="I203" s="334"/>
      <c r="J203" s="805">
        <f>SUM(K203:R203)</f>
        <v>39749</v>
      </c>
      <c r="K203" s="826">
        <v>34415</v>
      </c>
      <c r="L203" s="826">
        <v>5334</v>
      </c>
      <c r="M203" s="347"/>
      <c r="N203" s="347"/>
      <c r="O203" s="347"/>
      <c r="P203" s="347"/>
      <c r="Q203" s="347"/>
      <c r="R203" s="348"/>
    </row>
    <row r="204" spans="1:18" x14ac:dyDescent="0.3">
      <c r="A204" s="124">
        <v>196</v>
      </c>
      <c r="B204" s="440"/>
      <c r="C204" s="291"/>
      <c r="D204" s="658"/>
      <c r="E204" s="1499" t="s">
        <v>929</v>
      </c>
      <c r="F204" s="431"/>
      <c r="G204" s="296"/>
      <c r="H204" s="296"/>
      <c r="I204" s="334"/>
      <c r="J204" s="1500">
        <f t="shared" ref="J204" si="64">SUM(K204:R204)</f>
        <v>0</v>
      </c>
      <c r="K204" s="826"/>
      <c r="L204" s="826"/>
      <c r="M204" s="347"/>
      <c r="N204" s="347"/>
      <c r="O204" s="347"/>
      <c r="P204" s="347"/>
      <c r="Q204" s="347"/>
      <c r="R204" s="348"/>
    </row>
    <row r="205" spans="1:18" x14ac:dyDescent="0.3">
      <c r="A205" s="124">
        <v>197</v>
      </c>
      <c r="B205" s="440"/>
      <c r="C205" s="291"/>
      <c r="D205" s="658"/>
      <c r="E205" s="641" t="s">
        <v>927</v>
      </c>
      <c r="F205" s="431"/>
      <c r="G205" s="296"/>
      <c r="H205" s="296"/>
      <c r="I205" s="334"/>
      <c r="J205" s="336">
        <f>SUM(K205:R205)</f>
        <v>39749</v>
      </c>
      <c r="K205" s="347">
        <f>SUM(K203:K204)</f>
        <v>34415</v>
      </c>
      <c r="L205" s="347">
        <f>SUM(L203:L204)</f>
        <v>5334</v>
      </c>
      <c r="M205" s="347"/>
      <c r="N205" s="347"/>
      <c r="O205" s="347"/>
      <c r="P205" s="347"/>
      <c r="Q205" s="347"/>
      <c r="R205" s="348"/>
    </row>
    <row r="206" spans="1:18" x14ac:dyDescent="0.3">
      <c r="A206" s="124">
        <v>198</v>
      </c>
      <c r="B206" s="440"/>
      <c r="C206" s="291">
        <v>17</v>
      </c>
      <c r="D206" s="1920" t="s">
        <v>647</v>
      </c>
      <c r="E206" s="1921"/>
      <c r="F206" s="659"/>
      <c r="G206" s="296"/>
      <c r="H206" s="296"/>
      <c r="I206" s="334">
        <v>2297</v>
      </c>
      <c r="J206" s="336"/>
      <c r="K206" s="347"/>
      <c r="L206" s="347"/>
      <c r="M206" s="347"/>
      <c r="N206" s="347"/>
      <c r="O206" s="347"/>
      <c r="P206" s="347"/>
      <c r="Q206" s="347"/>
      <c r="R206" s="348"/>
    </row>
    <row r="207" spans="1:18" x14ac:dyDescent="0.3">
      <c r="A207" s="124">
        <v>199</v>
      </c>
      <c r="B207" s="440"/>
      <c r="C207" s="1284"/>
      <c r="D207" s="1276"/>
      <c r="E207" s="1347" t="s">
        <v>292</v>
      </c>
      <c r="F207" s="1286"/>
      <c r="G207" s="1277"/>
      <c r="H207" s="1277"/>
      <c r="I207" s="804"/>
      <c r="J207" s="805">
        <f>SUM(K207:R207)</f>
        <v>282</v>
      </c>
      <c r="K207" s="826"/>
      <c r="L207" s="826"/>
      <c r="M207" s="826">
        <v>187</v>
      </c>
      <c r="N207" s="826"/>
      <c r="O207" s="826"/>
      <c r="P207" s="826">
        <v>95</v>
      </c>
      <c r="Q207" s="826"/>
      <c r="R207" s="827"/>
    </row>
    <row r="208" spans="1:18" x14ac:dyDescent="0.3">
      <c r="A208" s="124">
        <v>200</v>
      </c>
      <c r="B208" s="440"/>
      <c r="C208" s="1284"/>
      <c r="D208" s="1522"/>
      <c r="E208" s="1499" t="s">
        <v>929</v>
      </c>
      <c r="F208" s="1286"/>
      <c r="G208" s="1277"/>
      <c r="H208" s="1277"/>
      <c r="I208" s="804"/>
      <c r="J208" s="1500">
        <f t="shared" ref="J208" si="65">SUM(K208:R208)</f>
        <v>200</v>
      </c>
      <c r="K208" s="826"/>
      <c r="L208" s="826"/>
      <c r="M208" s="826"/>
      <c r="N208" s="826"/>
      <c r="O208" s="826"/>
      <c r="P208" s="1537">
        <v>200</v>
      </c>
      <c r="Q208" s="826"/>
      <c r="R208" s="827"/>
    </row>
    <row r="209" spans="1:18" x14ac:dyDescent="0.3">
      <c r="A209" s="124">
        <v>201</v>
      </c>
      <c r="B209" s="440"/>
      <c r="C209" s="1284"/>
      <c r="D209" s="1522"/>
      <c r="E209" s="641" t="s">
        <v>927</v>
      </c>
      <c r="F209" s="1286"/>
      <c r="G209" s="1277"/>
      <c r="H209" s="1277"/>
      <c r="I209" s="804"/>
      <c r="J209" s="336">
        <f>SUM(K209:R209)</f>
        <v>482</v>
      </c>
      <c r="K209" s="826"/>
      <c r="L209" s="826"/>
      <c r="M209" s="347">
        <f>SUM(M207:M208)</f>
        <v>187</v>
      </c>
      <c r="N209" s="347"/>
      <c r="O209" s="347"/>
      <c r="P209" s="347">
        <f t="shared" ref="P209" si="66">SUM(P207:P208)</f>
        <v>295</v>
      </c>
      <c r="Q209" s="826"/>
      <c r="R209" s="827"/>
    </row>
    <row r="210" spans="1:18" x14ac:dyDescent="0.3">
      <c r="A210" s="124">
        <v>202</v>
      </c>
      <c r="B210" s="440"/>
      <c r="C210" s="291">
        <v>18</v>
      </c>
      <c r="D210" s="1920" t="s">
        <v>44</v>
      </c>
      <c r="E210" s="1921"/>
      <c r="F210" s="659"/>
      <c r="G210" s="296"/>
      <c r="H210" s="296"/>
      <c r="I210" s="334">
        <v>36</v>
      </c>
      <c r="J210" s="336"/>
      <c r="K210" s="347"/>
      <c r="L210" s="347"/>
      <c r="M210" s="347"/>
      <c r="N210" s="347"/>
      <c r="O210" s="347"/>
      <c r="P210" s="347"/>
      <c r="Q210" s="347"/>
      <c r="R210" s="348"/>
    </row>
    <row r="211" spans="1:18" x14ac:dyDescent="0.3">
      <c r="A211" s="124">
        <v>203</v>
      </c>
      <c r="B211" s="440"/>
      <c r="C211" s="291">
        <v>19</v>
      </c>
      <c r="D211" s="1920" t="s">
        <v>519</v>
      </c>
      <c r="E211" s="1921"/>
      <c r="F211" s="659"/>
      <c r="G211" s="296"/>
      <c r="H211" s="296"/>
      <c r="I211" s="334">
        <v>2474</v>
      </c>
      <c r="J211" s="336"/>
      <c r="K211" s="347"/>
      <c r="L211" s="347"/>
      <c r="M211" s="347"/>
      <c r="N211" s="347"/>
      <c r="O211" s="347"/>
      <c r="P211" s="347"/>
      <c r="Q211" s="347"/>
      <c r="R211" s="348"/>
    </row>
    <row r="212" spans="1:18" x14ac:dyDescent="0.3">
      <c r="A212" s="124">
        <v>204</v>
      </c>
      <c r="B212" s="440"/>
      <c r="C212" s="1284"/>
      <c r="D212" s="1276"/>
      <c r="E212" s="1347" t="s">
        <v>292</v>
      </c>
      <c r="F212" s="1286"/>
      <c r="G212" s="1277"/>
      <c r="H212" s="1277"/>
      <c r="I212" s="804"/>
      <c r="J212" s="805">
        <f>SUM(K212:R212)</f>
        <v>625</v>
      </c>
      <c r="K212" s="826">
        <v>508</v>
      </c>
      <c r="L212" s="826">
        <v>117</v>
      </c>
      <c r="M212" s="826"/>
      <c r="N212" s="826"/>
      <c r="O212" s="826"/>
      <c r="P212" s="826"/>
      <c r="Q212" s="826"/>
      <c r="R212" s="827"/>
    </row>
    <row r="213" spans="1:18" x14ac:dyDescent="0.3">
      <c r="A213" s="124">
        <v>205</v>
      </c>
      <c r="B213" s="440"/>
      <c r="C213" s="1284"/>
      <c r="D213" s="1522"/>
      <c r="E213" s="1499" t="s">
        <v>950</v>
      </c>
      <c r="F213" s="1286"/>
      <c r="G213" s="1277"/>
      <c r="H213" s="1277"/>
      <c r="I213" s="804"/>
      <c r="J213" s="1500">
        <f t="shared" ref="J213" si="67">SUM(K213:R213)</f>
        <v>5664</v>
      </c>
      <c r="K213" s="1537">
        <v>4904</v>
      </c>
      <c r="L213" s="1537">
        <v>760</v>
      </c>
      <c r="M213" s="826"/>
      <c r="N213" s="826"/>
      <c r="O213" s="826"/>
      <c r="P213" s="826"/>
      <c r="Q213" s="826"/>
      <c r="R213" s="827"/>
    </row>
    <row r="214" spans="1:18" x14ac:dyDescent="0.3">
      <c r="A214" s="124">
        <v>206</v>
      </c>
      <c r="B214" s="440"/>
      <c r="C214" s="1284"/>
      <c r="D214" s="1522"/>
      <c r="E214" s="641" t="s">
        <v>927</v>
      </c>
      <c r="F214" s="1286"/>
      <c r="G214" s="1277"/>
      <c r="H214" s="1277"/>
      <c r="I214" s="804"/>
      <c r="J214" s="336">
        <f>SUM(K214:R214)</f>
        <v>6289</v>
      </c>
      <c r="K214" s="347">
        <f>SUM(K212:K213)</f>
        <v>5412</v>
      </c>
      <c r="L214" s="347">
        <f>SUM(L212:L213)</f>
        <v>877</v>
      </c>
      <c r="M214" s="826"/>
      <c r="N214" s="826"/>
      <c r="O214" s="826"/>
      <c r="P214" s="826"/>
      <c r="Q214" s="826"/>
      <c r="R214" s="827"/>
    </row>
    <row r="215" spans="1:18" x14ac:dyDescent="0.3">
      <c r="A215" s="124">
        <v>207</v>
      </c>
      <c r="B215" s="440"/>
      <c r="C215" s="291">
        <v>20</v>
      </c>
      <c r="D215" s="1920" t="s">
        <v>648</v>
      </c>
      <c r="E215" s="1921"/>
      <c r="F215" s="659"/>
      <c r="G215" s="296"/>
      <c r="H215" s="296"/>
      <c r="I215" s="334">
        <v>0</v>
      </c>
      <c r="J215" s="336"/>
      <c r="K215" s="347"/>
      <c r="L215" s="347"/>
      <c r="M215" s="347"/>
      <c r="N215" s="347"/>
      <c r="O215" s="347"/>
      <c r="P215" s="347"/>
      <c r="Q215" s="347"/>
      <c r="R215" s="348"/>
    </row>
    <row r="216" spans="1:18" x14ac:dyDescent="0.3">
      <c r="A216" s="124">
        <v>208</v>
      </c>
      <c r="B216" s="440"/>
      <c r="C216" s="1284"/>
      <c r="D216" s="1276"/>
      <c r="E216" s="1347" t="s">
        <v>292</v>
      </c>
      <c r="F216" s="1286"/>
      <c r="G216" s="1277"/>
      <c r="H216" s="1277"/>
      <c r="I216" s="804"/>
      <c r="J216" s="805">
        <f>SUM(K216:R216)</f>
        <v>63255</v>
      </c>
      <c r="K216" s="826">
        <v>53727</v>
      </c>
      <c r="L216" s="826">
        <v>8328</v>
      </c>
      <c r="M216" s="826">
        <v>1200</v>
      </c>
      <c r="N216" s="826"/>
      <c r="O216" s="826"/>
      <c r="P216" s="826"/>
      <c r="Q216" s="826"/>
      <c r="R216" s="827"/>
    </row>
    <row r="217" spans="1:18" x14ac:dyDescent="0.3">
      <c r="A217" s="124">
        <v>209</v>
      </c>
      <c r="B217" s="440"/>
      <c r="C217" s="1284"/>
      <c r="D217" s="1522"/>
      <c r="E217" s="1499" t="s">
        <v>953</v>
      </c>
      <c r="F217" s="1286"/>
      <c r="G217" s="1277"/>
      <c r="H217" s="1277"/>
      <c r="I217" s="804"/>
      <c r="J217" s="1500">
        <f t="shared" ref="J217" si="68">SUM(K217:R217)</f>
        <v>-16195</v>
      </c>
      <c r="K217" s="1537">
        <v>-53727</v>
      </c>
      <c r="L217" s="1537">
        <v>-8328</v>
      </c>
      <c r="M217" s="1537">
        <v>-1200</v>
      </c>
      <c r="N217" s="1537"/>
      <c r="O217" s="1537">
        <v>47060</v>
      </c>
      <c r="P217" s="826"/>
      <c r="Q217" s="826"/>
      <c r="R217" s="827"/>
    </row>
    <row r="218" spans="1:18" x14ac:dyDescent="0.3">
      <c r="A218" s="124">
        <v>210</v>
      </c>
      <c r="B218" s="440"/>
      <c r="C218" s="1284"/>
      <c r="D218" s="1522"/>
      <c r="E218" s="641" t="s">
        <v>927</v>
      </c>
      <c r="F218" s="1286"/>
      <c r="G218" s="1277"/>
      <c r="H218" s="1277"/>
      <c r="I218" s="804"/>
      <c r="J218" s="336">
        <f>SUM(K218:R218)</f>
        <v>47060</v>
      </c>
      <c r="K218" s="347">
        <f>SUM(K216:K217)</f>
        <v>0</v>
      </c>
      <c r="L218" s="347">
        <f t="shared" ref="L218:M218" si="69">SUM(L216:L217)</f>
        <v>0</v>
      </c>
      <c r="M218" s="347">
        <f t="shared" si="69"/>
        <v>0</v>
      </c>
      <c r="N218" s="826"/>
      <c r="O218" s="347">
        <f>SUM(O217)</f>
        <v>47060</v>
      </c>
      <c r="P218" s="826"/>
      <c r="Q218" s="826"/>
      <c r="R218" s="827"/>
    </row>
    <row r="219" spans="1:18" x14ac:dyDescent="0.3">
      <c r="A219" s="124">
        <v>211</v>
      </c>
      <c r="B219" s="440"/>
      <c r="C219" s="295">
        <v>21</v>
      </c>
      <c r="D219" s="1937" t="s">
        <v>470</v>
      </c>
      <c r="E219" s="1938"/>
      <c r="F219" s="431"/>
      <c r="G219" s="296"/>
      <c r="H219" s="296">
        <v>13852</v>
      </c>
      <c r="I219" s="334"/>
      <c r="J219" s="336"/>
      <c r="K219" s="332"/>
      <c r="L219" s="332"/>
      <c r="M219" s="347"/>
      <c r="N219" s="347"/>
      <c r="O219" s="347"/>
      <c r="P219" s="347"/>
      <c r="Q219" s="347"/>
      <c r="R219" s="348"/>
    </row>
    <row r="220" spans="1:18" x14ac:dyDescent="0.3">
      <c r="A220" s="124">
        <v>212</v>
      </c>
      <c r="B220" s="440"/>
      <c r="C220" s="291">
        <v>22</v>
      </c>
      <c r="D220" s="1920" t="s">
        <v>399</v>
      </c>
      <c r="E220" s="1921"/>
      <c r="F220" s="431"/>
      <c r="G220" s="296">
        <v>3536</v>
      </c>
      <c r="H220" s="296"/>
      <c r="I220" s="334"/>
      <c r="J220" s="336"/>
      <c r="K220" s="347"/>
      <c r="L220" s="347"/>
      <c r="M220" s="347"/>
      <c r="N220" s="347"/>
      <c r="O220" s="347"/>
      <c r="P220" s="347"/>
      <c r="Q220" s="347"/>
      <c r="R220" s="348"/>
    </row>
    <row r="221" spans="1:18" x14ac:dyDescent="0.3">
      <c r="A221" s="124">
        <v>213</v>
      </c>
      <c r="B221" s="440"/>
      <c r="C221" s="295">
        <v>23</v>
      </c>
      <c r="D221" s="1992" t="s">
        <v>400</v>
      </c>
      <c r="E221" s="1993"/>
      <c r="F221" s="659"/>
      <c r="G221" s="296">
        <v>2506</v>
      </c>
      <c r="H221" s="296"/>
      <c r="I221" s="334"/>
      <c r="J221" s="336"/>
      <c r="K221" s="347"/>
      <c r="L221" s="347"/>
      <c r="M221" s="347"/>
      <c r="N221" s="347"/>
      <c r="O221" s="347"/>
      <c r="P221" s="347"/>
      <c r="Q221" s="347"/>
      <c r="R221" s="348"/>
    </row>
    <row r="222" spans="1:18" x14ac:dyDescent="0.3">
      <c r="A222" s="124">
        <v>214</v>
      </c>
      <c r="B222" s="440"/>
      <c r="C222" s="295">
        <v>24</v>
      </c>
      <c r="D222" s="1920" t="s">
        <v>417</v>
      </c>
      <c r="E222" s="1921"/>
      <c r="F222" s="311"/>
      <c r="G222" s="296"/>
      <c r="H222" s="296">
        <v>482</v>
      </c>
      <c r="I222" s="334">
        <v>0</v>
      </c>
      <c r="J222" s="336"/>
      <c r="K222" s="347"/>
      <c r="L222" s="347"/>
      <c r="M222" s="347"/>
      <c r="N222" s="347"/>
      <c r="O222" s="347"/>
      <c r="P222" s="347"/>
      <c r="Q222" s="347"/>
      <c r="R222" s="348"/>
    </row>
    <row r="223" spans="1:18" x14ac:dyDescent="0.3">
      <c r="A223" s="124">
        <v>215</v>
      </c>
      <c r="B223" s="440"/>
      <c r="C223" s="291">
        <v>25</v>
      </c>
      <c r="D223" s="1920" t="s">
        <v>432</v>
      </c>
      <c r="E223" s="1921"/>
      <c r="F223" s="311"/>
      <c r="G223" s="296">
        <v>1541</v>
      </c>
      <c r="H223" s="296"/>
      <c r="I223" s="334"/>
      <c r="J223" s="336"/>
      <c r="K223" s="347"/>
      <c r="L223" s="347"/>
      <c r="M223" s="347"/>
      <c r="N223" s="347"/>
      <c r="O223" s="347"/>
      <c r="P223" s="347"/>
      <c r="Q223" s="347"/>
      <c r="R223" s="348"/>
    </row>
    <row r="224" spans="1:18" x14ac:dyDescent="0.3">
      <c r="A224" s="124">
        <v>216</v>
      </c>
      <c r="B224" s="440"/>
      <c r="C224" s="295">
        <v>26</v>
      </c>
      <c r="D224" s="1992" t="s">
        <v>433</v>
      </c>
      <c r="E224" s="1993"/>
      <c r="F224" s="311"/>
      <c r="G224" s="296">
        <v>13</v>
      </c>
      <c r="H224" s="296">
        <v>62</v>
      </c>
      <c r="I224" s="334">
        <v>0</v>
      </c>
      <c r="J224" s="336"/>
      <c r="K224" s="347"/>
      <c r="L224" s="347"/>
      <c r="M224" s="347"/>
      <c r="N224" s="347"/>
      <c r="O224" s="347"/>
      <c r="P224" s="347"/>
      <c r="Q224" s="347"/>
      <c r="R224" s="348"/>
    </row>
    <row r="225" spans="1:18" x14ac:dyDescent="0.3">
      <c r="A225" s="124">
        <v>217</v>
      </c>
      <c r="B225" s="440"/>
      <c r="C225" s="295">
        <v>27</v>
      </c>
      <c r="D225" s="1920" t="s">
        <v>493</v>
      </c>
      <c r="E225" s="1921"/>
      <c r="F225" s="311"/>
      <c r="G225" s="296">
        <v>14715</v>
      </c>
      <c r="H225" s="296"/>
      <c r="I225" s="334"/>
      <c r="J225" s="336"/>
      <c r="K225" s="347"/>
      <c r="L225" s="347"/>
      <c r="M225" s="347"/>
      <c r="N225" s="347"/>
      <c r="O225" s="347"/>
      <c r="P225" s="347"/>
      <c r="Q225" s="347"/>
      <c r="R225" s="348"/>
    </row>
    <row r="226" spans="1:18" x14ac:dyDescent="0.3">
      <c r="A226" s="124">
        <v>218</v>
      </c>
      <c r="B226" s="440"/>
      <c r="C226" s="291">
        <v>28</v>
      </c>
      <c r="D226" s="1920" t="s">
        <v>487</v>
      </c>
      <c r="E226" s="1921"/>
      <c r="F226" s="311"/>
      <c r="G226" s="296">
        <v>16537</v>
      </c>
      <c r="H226" s="296"/>
      <c r="I226" s="334">
        <v>0</v>
      </c>
      <c r="J226" s="336"/>
      <c r="K226" s="347"/>
      <c r="L226" s="347"/>
      <c r="M226" s="347"/>
      <c r="N226" s="347"/>
      <c r="O226" s="347"/>
      <c r="P226" s="347"/>
      <c r="Q226" s="347"/>
      <c r="R226" s="348"/>
    </row>
    <row r="227" spans="1:18" x14ac:dyDescent="0.3">
      <c r="A227" s="124">
        <v>219</v>
      </c>
      <c r="B227" s="440"/>
      <c r="C227" s="295">
        <v>29</v>
      </c>
      <c r="D227" s="1920" t="s">
        <v>500</v>
      </c>
      <c r="E227" s="1921"/>
      <c r="F227" s="431"/>
      <c r="G227" s="296">
        <v>329</v>
      </c>
      <c r="H227" s="296"/>
      <c r="I227" s="334"/>
      <c r="J227" s="336"/>
      <c r="K227" s="347"/>
      <c r="L227" s="347"/>
      <c r="M227" s="347"/>
      <c r="N227" s="347"/>
      <c r="O227" s="347"/>
      <c r="P227" s="347"/>
      <c r="Q227" s="347"/>
      <c r="R227" s="348"/>
    </row>
    <row r="228" spans="1:18" x14ac:dyDescent="0.3">
      <c r="A228" s="124">
        <v>220</v>
      </c>
      <c r="B228" s="440"/>
      <c r="C228" s="291">
        <v>30</v>
      </c>
      <c r="D228" s="1937" t="s">
        <v>434</v>
      </c>
      <c r="E228" s="1938"/>
      <c r="F228" s="431"/>
      <c r="G228" s="296">
        <v>11</v>
      </c>
      <c r="H228" s="296"/>
      <c r="I228" s="334"/>
      <c r="J228" s="336"/>
      <c r="K228" s="347"/>
      <c r="L228" s="347"/>
      <c r="M228" s="347"/>
      <c r="N228" s="347"/>
      <c r="O228" s="347"/>
      <c r="P228" s="347"/>
      <c r="Q228" s="347"/>
      <c r="R228" s="348"/>
    </row>
    <row r="229" spans="1:18" x14ac:dyDescent="0.3">
      <c r="A229" s="124">
        <v>221</v>
      </c>
      <c r="B229" s="440"/>
      <c r="C229" s="295">
        <v>31</v>
      </c>
      <c r="D229" s="1920" t="s">
        <v>494</v>
      </c>
      <c r="E229" s="1921"/>
      <c r="F229" s="431"/>
      <c r="G229" s="296">
        <v>14897</v>
      </c>
      <c r="H229" s="296"/>
      <c r="I229" s="334">
        <v>16</v>
      </c>
      <c r="J229" s="336"/>
      <c r="K229" s="347"/>
      <c r="L229" s="347"/>
      <c r="M229" s="347"/>
      <c r="N229" s="347"/>
      <c r="O229" s="347"/>
      <c r="P229" s="347"/>
      <c r="Q229" s="347"/>
      <c r="R229" s="348"/>
    </row>
    <row r="230" spans="1:18" ht="15.75" thickBot="1" x14ac:dyDescent="0.35">
      <c r="A230" s="124">
        <v>222</v>
      </c>
      <c r="B230" s="440"/>
      <c r="C230" s="291">
        <v>32</v>
      </c>
      <c r="D230" s="1978" t="s">
        <v>515</v>
      </c>
      <c r="E230" s="1979"/>
      <c r="F230" s="659"/>
      <c r="G230" s="296"/>
      <c r="H230" s="296"/>
      <c r="I230" s="334">
        <v>250</v>
      </c>
      <c r="J230" s="336"/>
      <c r="K230" s="347"/>
      <c r="L230" s="347"/>
      <c r="M230" s="347"/>
      <c r="N230" s="347"/>
      <c r="O230" s="347"/>
      <c r="P230" s="347"/>
      <c r="Q230" s="347"/>
      <c r="R230" s="348"/>
    </row>
    <row r="231" spans="1:18" ht="15.75" thickTop="1" x14ac:dyDescent="0.3">
      <c r="A231" s="124">
        <v>223</v>
      </c>
      <c r="B231" s="424"/>
      <c r="C231" s="1983" t="s">
        <v>481</v>
      </c>
      <c r="D231" s="1984"/>
      <c r="E231" s="1985"/>
      <c r="F231" s="822"/>
      <c r="G231" s="686">
        <f>SUM(G144:G230)</f>
        <v>1582989</v>
      </c>
      <c r="H231" s="686">
        <f>SUM(H144:H230)</f>
        <v>1675561</v>
      </c>
      <c r="I231" s="686">
        <f>SUM(I144:I230)</f>
        <v>1490907</v>
      </c>
      <c r="J231" s="689"/>
      <c r="K231" s="691"/>
      <c r="L231" s="691"/>
      <c r="M231" s="691"/>
      <c r="N231" s="691"/>
      <c r="O231" s="691"/>
      <c r="P231" s="691"/>
      <c r="Q231" s="691"/>
      <c r="R231" s="692"/>
    </row>
    <row r="232" spans="1:18" x14ac:dyDescent="0.3">
      <c r="A232" s="124">
        <v>224</v>
      </c>
      <c r="B232" s="794"/>
      <c r="C232" s="770"/>
      <c r="D232" s="812"/>
      <c r="E232" s="1538" t="s">
        <v>292</v>
      </c>
      <c r="F232" s="1539"/>
      <c r="G232" s="785"/>
      <c r="H232" s="785"/>
      <c r="I232" s="813"/>
      <c r="J232" s="814">
        <f>SUM(K232:R232)</f>
        <v>1889184</v>
      </c>
      <c r="K232" s="1540">
        <f>SUM(K146,K150,K154,K158,K162,K166,K170,K174,K178,K207,K212,K216)+K203+K199+K192+K188+K183</f>
        <v>1327593</v>
      </c>
      <c r="L232" s="1540">
        <f t="shared" ref="L232:R232" si="70">SUM(L146,L150,L154,L158,L162,L166,L170,L174,L178,L207,L212,L216)+L203+L199+L192+L188+L183</f>
        <v>220346</v>
      </c>
      <c r="M232" s="1540">
        <f t="shared" si="70"/>
        <v>307239</v>
      </c>
      <c r="N232" s="1540">
        <f t="shared" si="70"/>
        <v>0</v>
      </c>
      <c r="O232" s="1540">
        <f t="shared" si="70"/>
        <v>0</v>
      </c>
      <c r="P232" s="1540">
        <f t="shared" si="70"/>
        <v>34006</v>
      </c>
      <c r="Q232" s="1540">
        <f t="shared" si="70"/>
        <v>0</v>
      </c>
      <c r="R232" s="1541">
        <f t="shared" si="70"/>
        <v>0</v>
      </c>
    </row>
    <row r="233" spans="1:18" x14ac:dyDescent="0.3">
      <c r="A233" s="124">
        <v>225</v>
      </c>
      <c r="B233" s="1542"/>
      <c r="C233" s="758"/>
      <c r="D233" s="1505"/>
      <c r="E233" s="1499" t="s">
        <v>929</v>
      </c>
      <c r="F233" s="1543"/>
      <c r="G233" s="779"/>
      <c r="H233" s="779"/>
      <c r="I233" s="804"/>
      <c r="J233" s="1500">
        <f t="shared" ref="J233" si="71">SUM(K233:R233)</f>
        <v>387523</v>
      </c>
      <c r="K233" s="1537">
        <f>K217+K213+K208+K204+K200+K193+K189+K184+K179+K175+K171+K167+K163+K159+K155+K151+K147+K185+K196</f>
        <v>77192</v>
      </c>
      <c r="L233" s="1537">
        <f t="shared" ref="L233:R233" si="72">L217+L213+L208+L204+L200+L193+L189+L184+L179+L175+L171+L167+L163+L159+L155+L151+L147+L185+L196</f>
        <v>31535</v>
      </c>
      <c r="M233" s="1537">
        <f t="shared" si="72"/>
        <v>216050</v>
      </c>
      <c r="N233" s="1537">
        <f t="shared" si="72"/>
        <v>0</v>
      </c>
      <c r="O233" s="1537">
        <f t="shared" si="72"/>
        <v>47060</v>
      </c>
      <c r="P233" s="1537">
        <f t="shared" si="72"/>
        <v>15686</v>
      </c>
      <c r="Q233" s="1537">
        <f t="shared" si="72"/>
        <v>0</v>
      </c>
      <c r="R233" s="1544">
        <f t="shared" si="72"/>
        <v>0</v>
      </c>
    </row>
    <row r="234" spans="1:18" ht="15.75" thickBot="1" x14ac:dyDescent="0.35">
      <c r="A234" s="124">
        <v>226</v>
      </c>
      <c r="B234" s="1545"/>
      <c r="C234" s="1483"/>
      <c r="D234" s="1546"/>
      <c r="E234" s="641" t="s">
        <v>927</v>
      </c>
      <c r="F234" s="1547"/>
      <c r="G234" s="1467"/>
      <c r="H234" s="1467"/>
      <c r="I234" s="1525"/>
      <c r="J234" s="336">
        <f>SUM(K234:R234)</f>
        <v>2276707</v>
      </c>
      <c r="K234" s="1548">
        <f>SUM(K232:K233)</f>
        <v>1404785</v>
      </c>
      <c r="L234" s="1548">
        <f t="shared" ref="L234:R234" si="73">SUM(L232:L233)</f>
        <v>251881</v>
      </c>
      <c r="M234" s="1548">
        <f t="shared" si="73"/>
        <v>523289</v>
      </c>
      <c r="N234" s="1548">
        <f t="shared" si="73"/>
        <v>0</v>
      </c>
      <c r="O234" s="1548">
        <f t="shared" si="73"/>
        <v>47060</v>
      </c>
      <c r="P234" s="1548">
        <f t="shared" si="73"/>
        <v>49692</v>
      </c>
      <c r="Q234" s="1548">
        <f t="shared" si="73"/>
        <v>0</v>
      </c>
      <c r="R234" s="1549">
        <f t="shared" si="73"/>
        <v>0</v>
      </c>
    </row>
    <row r="235" spans="1:18" x14ac:dyDescent="0.3">
      <c r="A235" s="124">
        <v>227</v>
      </c>
      <c r="B235" s="1942" t="s">
        <v>13</v>
      </c>
      <c r="C235" s="1943"/>
      <c r="D235" s="1943"/>
      <c r="E235" s="1944"/>
      <c r="F235" s="823"/>
      <c r="G235" s="793">
        <f>SUM(G231,G140)</f>
        <v>8054296</v>
      </c>
      <c r="H235" s="793">
        <f>SUM(H231,H140)</f>
        <v>8038573</v>
      </c>
      <c r="I235" s="793">
        <f>SUM(I231,I140)</f>
        <v>7660387</v>
      </c>
      <c r="J235" s="824"/>
      <c r="K235" s="793"/>
      <c r="L235" s="793"/>
      <c r="M235" s="793"/>
      <c r="N235" s="793"/>
      <c r="O235" s="793"/>
      <c r="P235" s="793"/>
      <c r="Q235" s="793"/>
      <c r="R235" s="825"/>
    </row>
    <row r="236" spans="1:18" x14ac:dyDescent="0.3">
      <c r="A236" s="124">
        <v>228</v>
      </c>
      <c r="B236" s="794"/>
      <c r="C236" s="770"/>
      <c r="D236" s="812"/>
      <c r="E236" s="1538" t="s">
        <v>292</v>
      </c>
      <c r="F236" s="1539"/>
      <c r="G236" s="785"/>
      <c r="H236" s="785"/>
      <c r="I236" s="813"/>
      <c r="J236" s="814">
        <f>SUM(K236:R236)</f>
        <v>8835002</v>
      </c>
      <c r="K236" s="1540">
        <f t="shared" ref="K236:R236" si="74">SUM(K232,K141)</f>
        <v>5077497</v>
      </c>
      <c r="L236" s="1540">
        <f t="shared" si="74"/>
        <v>860098</v>
      </c>
      <c r="M236" s="1540">
        <f t="shared" si="74"/>
        <v>2751198</v>
      </c>
      <c r="N236" s="1540">
        <f t="shared" si="74"/>
        <v>0</v>
      </c>
      <c r="O236" s="1540">
        <f t="shared" si="74"/>
        <v>0</v>
      </c>
      <c r="P236" s="1540">
        <f t="shared" si="74"/>
        <v>146209</v>
      </c>
      <c r="Q236" s="1540">
        <f t="shared" si="74"/>
        <v>0</v>
      </c>
      <c r="R236" s="1541">
        <f t="shared" si="74"/>
        <v>0</v>
      </c>
    </row>
    <row r="237" spans="1:18" x14ac:dyDescent="0.3">
      <c r="A237" s="124">
        <v>229</v>
      </c>
      <c r="B237" s="757"/>
      <c r="C237" s="1550"/>
      <c r="D237" s="802"/>
      <c r="E237" s="1499" t="s">
        <v>929</v>
      </c>
      <c r="F237" s="1543"/>
      <c r="G237" s="779"/>
      <c r="H237" s="779"/>
      <c r="I237" s="804"/>
      <c r="J237" s="1500">
        <f t="shared" ref="J237" si="75">SUM(K237:R237)</f>
        <v>790022</v>
      </c>
      <c r="K237" s="1537">
        <f>K233+K142</f>
        <v>233711</v>
      </c>
      <c r="L237" s="1537">
        <f t="shared" ref="L237:R237" si="76">L233+L142</f>
        <v>59314</v>
      </c>
      <c r="M237" s="1537">
        <f t="shared" si="76"/>
        <v>337585</v>
      </c>
      <c r="N237" s="1537">
        <f t="shared" si="76"/>
        <v>0</v>
      </c>
      <c r="O237" s="1537">
        <f t="shared" si="76"/>
        <v>47323</v>
      </c>
      <c r="P237" s="1537">
        <f t="shared" si="76"/>
        <v>112089</v>
      </c>
      <c r="Q237" s="1537">
        <f t="shared" si="76"/>
        <v>0</v>
      </c>
      <c r="R237" s="1544">
        <f t="shared" si="76"/>
        <v>0</v>
      </c>
    </row>
    <row r="238" spans="1:18" ht="15.75" thickBot="1" x14ac:dyDescent="0.35">
      <c r="A238" s="124">
        <v>230</v>
      </c>
      <c r="B238" s="1551"/>
      <c r="C238" s="1552"/>
      <c r="D238" s="1553"/>
      <c r="E238" s="641" t="s">
        <v>927</v>
      </c>
      <c r="F238" s="1547"/>
      <c r="G238" s="1467"/>
      <c r="H238" s="1467"/>
      <c r="I238" s="1525"/>
      <c r="J238" s="336">
        <f>SUM(K238:R238)</f>
        <v>9625024</v>
      </c>
      <c r="K238" s="1548">
        <f>SUM(K236:K237)</f>
        <v>5311208</v>
      </c>
      <c r="L238" s="1548">
        <f t="shared" ref="L238:R238" si="77">SUM(L236:L237)</f>
        <v>919412</v>
      </c>
      <c r="M238" s="1548">
        <f t="shared" si="77"/>
        <v>3088783</v>
      </c>
      <c r="N238" s="1548">
        <f t="shared" si="77"/>
        <v>0</v>
      </c>
      <c r="O238" s="1548">
        <f t="shared" si="77"/>
        <v>47323</v>
      </c>
      <c r="P238" s="1548">
        <f t="shared" si="77"/>
        <v>258298</v>
      </c>
      <c r="Q238" s="1548">
        <f t="shared" si="77"/>
        <v>0</v>
      </c>
      <c r="R238" s="1549">
        <f t="shared" si="77"/>
        <v>0</v>
      </c>
    </row>
    <row r="239" spans="1:18" x14ac:dyDescent="0.3">
      <c r="A239" s="124">
        <v>231</v>
      </c>
      <c r="B239" s="2001" t="s">
        <v>158</v>
      </c>
      <c r="C239" s="2002"/>
      <c r="D239" s="2002"/>
      <c r="E239" s="2003"/>
      <c r="F239" s="442"/>
      <c r="G239" s="349"/>
      <c r="H239" s="349"/>
      <c r="I239" s="443"/>
      <c r="J239" s="353"/>
      <c r="K239" s="349"/>
      <c r="L239" s="349"/>
      <c r="M239" s="349"/>
      <c r="N239" s="349"/>
      <c r="O239" s="349"/>
      <c r="P239" s="349"/>
      <c r="Q239" s="349"/>
      <c r="R239" s="350"/>
    </row>
    <row r="240" spans="1:18" x14ac:dyDescent="0.3">
      <c r="A240" s="124">
        <v>232</v>
      </c>
      <c r="B240" s="1995" t="s">
        <v>159</v>
      </c>
      <c r="C240" s="1996"/>
      <c r="D240" s="1996"/>
      <c r="E240" s="1997"/>
      <c r="F240" s="1997"/>
      <c r="G240" s="332">
        <f>SUM(G70:G109,G66,G42,G136)</f>
        <v>5457000</v>
      </c>
      <c r="H240" s="332">
        <f>SUM(H70:H109,H66,H42,H136)-H76-H86-H96-H108</f>
        <v>5482717</v>
      </c>
      <c r="I240" s="441">
        <f>SUM(I70:I109,I66,I42,I136)+I110</f>
        <v>5189835</v>
      </c>
      <c r="J240" s="352"/>
      <c r="K240" s="296"/>
      <c r="L240" s="296"/>
      <c r="M240" s="296"/>
      <c r="N240" s="296"/>
      <c r="O240" s="296"/>
      <c r="P240" s="296"/>
      <c r="Q240" s="296"/>
      <c r="R240" s="309"/>
    </row>
    <row r="241" spans="1:18" x14ac:dyDescent="0.3">
      <c r="A241" s="124">
        <v>233</v>
      </c>
      <c r="B241" s="829"/>
      <c r="C241" s="830"/>
      <c r="D241" s="830"/>
      <c r="E241" s="803" t="s">
        <v>292</v>
      </c>
      <c r="F241" s="831"/>
      <c r="G241" s="832"/>
      <c r="H241" s="832"/>
      <c r="I241" s="841"/>
      <c r="J241" s="826">
        <f>SUM(K241:R241)</f>
        <v>6039998</v>
      </c>
      <c r="K241" s="826">
        <f t="shared" ref="K241:R241" si="78">SUM(K43,K67,K71,K78,K82,K92,K98,K102,K109,K137,)+K111+K88</f>
        <v>3192947</v>
      </c>
      <c r="L241" s="826">
        <f t="shared" si="78"/>
        <v>561642</v>
      </c>
      <c r="M241" s="826">
        <f t="shared" si="78"/>
        <v>2177206</v>
      </c>
      <c r="N241" s="826">
        <f t="shared" si="78"/>
        <v>0</v>
      </c>
      <c r="O241" s="826">
        <f t="shared" si="78"/>
        <v>0</v>
      </c>
      <c r="P241" s="826">
        <f t="shared" si="78"/>
        <v>108203</v>
      </c>
      <c r="Q241" s="826">
        <f t="shared" si="78"/>
        <v>0</v>
      </c>
      <c r="R241" s="827">
        <f t="shared" si="78"/>
        <v>0</v>
      </c>
    </row>
    <row r="242" spans="1:18" x14ac:dyDescent="0.3">
      <c r="A242" s="124">
        <v>234</v>
      </c>
      <c r="B242" s="829"/>
      <c r="C242" s="830"/>
      <c r="D242" s="830"/>
      <c r="E242" s="1499" t="s">
        <v>929</v>
      </c>
      <c r="F242" s="831"/>
      <c r="G242" s="832"/>
      <c r="H242" s="832"/>
      <c r="I242" s="833"/>
      <c r="J242" s="1500">
        <f t="shared" ref="J242" si="79">SUM(K242:R242)</f>
        <v>281474</v>
      </c>
      <c r="K242" s="1537">
        <f>K138+K112+K104+K103+K99+K94+K93+K89+K84+K83+K79+K74+K72+K68+K44+K105+K106+K73</f>
        <v>120432</v>
      </c>
      <c r="L242" s="1537">
        <f t="shared" ref="L242:R242" si="80">L138+L112+L104+L103+L99+L94+L93+L89+L84+L83+L79+L74+L72+L68+L44+L105+L106+L73</f>
        <v>22023</v>
      </c>
      <c r="M242" s="1537">
        <f t="shared" si="80"/>
        <v>45616</v>
      </c>
      <c r="N242" s="1537">
        <f t="shared" si="80"/>
        <v>0</v>
      </c>
      <c r="O242" s="1537">
        <f t="shared" si="80"/>
        <v>0</v>
      </c>
      <c r="P242" s="1537">
        <f t="shared" si="80"/>
        <v>93403</v>
      </c>
      <c r="Q242" s="1537">
        <f t="shared" si="80"/>
        <v>0</v>
      </c>
      <c r="R242" s="1544">
        <f t="shared" si="80"/>
        <v>0</v>
      </c>
    </row>
    <row r="243" spans="1:18" x14ac:dyDescent="0.3">
      <c r="A243" s="124">
        <v>235</v>
      </c>
      <c r="B243" s="829"/>
      <c r="C243" s="830"/>
      <c r="D243" s="830"/>
      <c r="E243" s="641" t="s">
        <v>927</v>
      </c>
      <c r="F243" s="831"/>
      <c r="G243" s="832"/>
      <c r="H243" s="832"/>
      <c r="I243" s="833"/>
      <c r="J243" s="336">
        <f>SUM(K243:R243)</f>
        <v>6321472</v>
      </c>
      <c r="K243" s="347">
        <f>SUM(K241:K242)</f>
        <v>3313379</v>
      </c>
      <c r="L243" s="347">
        <f t="shared" ref="L243:R243" si="81">SUM(L241:L242)</f>
        <v>583665</v>
      </c>
      <c r="M243" s="347">
        <f t="shared" si="81"/>
        <v>2222822</v>
      </c>
      <c r="N243" s="347">
        <f t="shared" si="81"/>
        <v>0</v>
      </c>
      <c r="O243" s="347">
        <f t="shared" si="81"/>
        <v>0</v>
      </c>
      <c r="P243" s="347">
        <f t="shared" si="81"/>
        <v>201606</v>
      </c>
      <c r="Q243" s="347">
        <f t="shared" si="81"/>
        <v>0</v>
      </c>
      <c r="R243" s="348">
        <f t="shared" si="81"/>
        <v>0</v>
      </c>
    </row>
    <row r="244" spans="1:18" x14ac:dyDescent="0.3">
      <c r="A244" s="124">
        <v>236</v>
      </c>
      <c r="B244" s="1995" t="s">
        <v>158</v>
      </c>
      <c r="C244" s="1996"/>
      <c r="D244" s="1996"/>
      <c r="E244" s="1997"/>
      <c r="F244" s="444"/>
      <c r="G244" s="332"/>
      <c r="H244" s="332"/>
      <c r="I244" s="441"/>
      <c r="J244" s="354"/>
      <c r="K244" s="332"/>
      <c r="L244" s="332"/>
      <c r="M244" s="332"/>
      <c r="N244" s="332"/>
      <c r="O244" s="332"/>
      <c r="P244" s="332"/>
      <c r="Q244" s="332"/>
      <c r="R244" s="342"/>
    </row>
    <row r="245" spans="1:18" x14ac:dyDescent="0.3">
      <c r="A245" s="124">
        <v>237</v>
      </c>
      <c r="B245" s="1995" t="s">
        <v>160</v>
      </c>
      <c r="C245" s="1996"/>
      <c r="D245" s="1996"/>
      <c r="E245" s="1997"/>
      <c r="F245" s="1997"/>
      <c r="G245" s="332">
        <f>SUM(G114:G129)</f>
        <v>1014307</v>
      </c>
      <c r="H245" s="332">
        <f>SUM(H114:H129)</f>
        <v>880295</v>
      </c>
      <c r="I245" s="441">
        <f>SUM(I114:I129)</f>
        <v>979645</v>
      </c>
      <c r="J245" s="354"/>
      <c r="K245" s="332"/>
      <c r="L245" s="332"/>
      <c r="M245" s="332"/>
      <c r="N245" s="332"/>
      <c r="O245" s="332"/>
      <c r="P245" s="332"/>
      <c r="Q245" s="332"/>
      <c r="R245" s="342"/>
    </row>
    <row r="246" spans="1:18" x14ac:dyDescent="0.3">
      <c r="A246" s="124">
        <v>238</v>
      </c>
      <c r="B246" s="829"/>
      <c r="C246" s="830"/>
      <c r="D246" s="830"/>
      <c r="E246" s="803" t="s">
        <v>292</v>
      </c>
      <c r="F246" s="831"/>
      <c r="G246" s="832"/>
      <c r="H246" s="832"/>
      <c r="I246" s="833"/>
      <c r="J246" s="834">
        <f>SUM(K246:R246)</f>
        <v>905820</v>
      </c>
      <c r="K246" s="826">
        <f t="shared" ref="K246:R246" si="82">SUM(K115,K120,K129)+K125</f>
        <v>556957</v>
      </c>
      <c r="L246" s="826">
        <f t="shared" si="82"/>
        <v>78110</v>
      </c>
      <c r="M246" s="826">
        <f t="shared" si="82"/>
        <v>266753</v>
      </c>
      <c r="N246" s="826">
        <f t="shared" si="82"/>
        <v>0</v>
      </c>
      <c r="O246" s="826">
        <f t="shared" si="82"/>
        <v>0</v>
      </c>
      <c r="P246" s="826">
        <f t="shared" si="82"/>
        <v>4000</v>
      </c>
      <c r="Q246" s="826">
        <f t="shared" si="82"/>
        <v>0</v>
      </c>
      <c r="R246" s="827">
        <f t="shared" si="82"/>
        <v>0</v>
      </c>
    </row>
    <row r="247" spans="1:18" x14ac:dyDescent="0.3">
      <c r="A247" s="124">
        <v>239</v>
      </c>
      <c r="B247" s="829"/>
      <c r="C247" s="830"/>
      <c r="D247" s="830"/>
      <c r="E247" s="1499" t="s">
        <v>929</v>
      </c>
      <c r="F247" s="831"/>
      <c r="G247" s="832"/>
      <c r="H247" s="832"/>
      <c r="I247" s="833"/>
      <c r="J247" s="1500">
        <f t="shared" ref="J247" si="83">SUM(K247:R247)</f>
        <v>121025</v>
      </c>
      <c r="K247" s="1537">
        <f>K130+K126+K121+K117+K116</f>
        <v>36087</v>
      </c>
      <c r="L247" s="1537">
        <f t="shared" ref="L247:R247" si="84">L130+L126+L121+L117+L116</f>
        <v>5756</v>
      </c>
      <c r="M247" s="1537">
        <f t="shared" si="84"/>
        <v>75919</v>
      </c>
      <c r="N247" s="1537">
        <f t="shared" si="84"/>
        <v>0</v>
      </c>
      <c r="O247" s="1537">
        <f t="shared" si="84"/>
        <v>263</v>
      </c>
      <c r="P247" s="1537">
        <f t="shared" si="84"/>
        <v>3000</v>
      </c>
      <c r="Q247" s="1537">
        <f t="shared" si="84"/>
        <v>0</v>
      </c>
      <c r="R247" s="1544">
        <f t="shared" si="84"/>
        <v>0</v>
      </c>
    </row>
    <row r="248" spans="1:18" x14ac:dyDescent="0.3">
      <c r="A248" s="124">
        <v>240</v>
      </c>
      <c r="B248" s="829"/>
      <c r="C248" s="830"/>
      <c r="D248" s="830"/>
      <c r="E248" s="641" t="s">
        <v>927</v>
      </c>
      <c r="F248" s="831"/>
      <c r="G248" s="832"/>
      <c r="H248" s="832"/>
      <c r="I248" s="833"/>
      <c r="J248" s="336">
        <f>SUM(K248:R248)</f>
        <v>1026845</v>
      </c>
      <c r="K248" s="347">
        <f>SUM(K246:K247)</f>
        <v>593044</v>
      </c>
      <c r="L248" s="347">
        <f t="shared" ref="L248:R248" si="85">SUM(L246:L247)</f>
        <v>83866</v>
      </c>
      <c r="M248" s="347">
        <f t="shared" si="85"/>
        <v>342672</v>
      </c>
      <c r="N248" s="347">
        <f t="shared" si="85"/>
        <v>0</v>
      </c>
      <c r="O248" s="347">
        <f t="shared" si="85"/>
        <v>263</v>
      </c>
      <c r="P248" s="347">
        <f t="shared" si="85"/>
        <v>7000</v>
      </c>
      <c r="Q248" s="347">
        <f t="shared" si="85"/>
        <v>0</v>
      </c>
      <c r="R248" s="348">
        <f t="shared" si="85"/>
        <v>0</v>
      </c>
    </row>
    <row r="249" spans="1:18" x14ac:dyDescent="0.3">
      <c r="A249" s="124">
        <v>241</v>
      </c>
      <c r="B249" s="1995" t="s">
        <v>158</v>
      </c>
      <c r="C249" s="1996"/>
      <c r="D249" s="1996"/>
      <c r="E249" s="1997"/>
      <c r="F249" s="444"/>
      <c r="G249" s="332"/>
      <c r="H249" s="332"/>
      <c r="I249" s="441"/>
      <c r="J249" s="354"/>
      <c r="K249" s="347"/>
      <c r="L249" s="347"/>
      <c r="M249" s="347"/>
      <c r="N249" s="347"/>
      <c r="O249" s="347"/>
      <c r="P249" s="347"/>
      <c r="Q249" s="347"/>
      <c r="R249" s="348"/>
    </row>
    <row r="250" spans="1:18" x14ac:dyDescent="0.3">
      <c r="A250" s="124">
        <v>242</v>
      </c>
      <c r="B250" s="1998" t="s">
        <v>161</v>
      </c>
      <c r="C250" s="1999"/>
      <c r="D250" s="1999"/>
      <c r="E250" s="2000"/>
      <c r="F250" s="2000"/>
      <c r="G250" s="330">
        <f>SUM(G231)</f>
        <v>1582989</v>
      </c>
      <c r="H250" s="330">
        <f>SUM(H231)</f>
        <v>1675561</v>
      </c>
      <c r="I250" s="445">
        <f>SUM(I231)</f>
        <v>1490907</v>
      </c>
      <c r="J250" s="354"/>
      <c r="K250" s="332"/>
      <c r="L250" s="332"/>
      <c r="M250" s="332"/>
      <c r="N250" s="332"/>
      <c r="O250" s="332"/>
      <c r="P250" s="332"/>
      <c r="Q250" s="332"/>
      <c r="R250" s="342"/>
    </row>
    <row r="251" spans="1:18" x14ac:dyDescent="0.3">
      <c r="A251" s="124">
        <v>243</v>
      </c>
      <c r="B251" s="1554"/>
      <c r="C251" s="1555"/>
      <c r="D251" s="1555"/>
      <c r="E251" s="795" t="s">
        <v>292</v>
      </c>
      <c r="F251" s="1556"/>
      <c r="G251" s="1557"/>
      <c r="H251" s="1557"/>
      <c r="I251" s="1558"/>
      <c r="J251" s="1559">
        <f>SUM(K251:R251)</f>
        <v>1889184</v>
      </c>
      <c r="K251" s="1540">
        <f>K232</f>
        <v>1327593</v>
      </c>
      <c r="L251" s="1540">
        <f t="shared" ref="L251:R252" si="86">L232</f>
        <v>220346</v>
      </c>
      <c r="M251" s="1540">
        <f t="shared" si="86"/>
        <v>307239</v>
      </c>
      <c r="N251" s="1540">
        <f t="shared" si="86"/>
        <v>0</v>
      </c>
      <c r="O251" s="1540">
        <f t="shared" si="86"/>
        <v>0</v>
      </c>
      <c r="P251" s="1540">
        <f t="shared" si="86"/>
        <v>34006</v>
      </c>
      <c r="Q251" s="1540">
        <f t="shared" si="86"/>
        <v>0</v>
      </c>
      <c r="R251" s="1541">
        <f t="shared" si="86"/>
        <v>0</v>
      </c>
    </row>
    <row r="252" spans="1:18" x14ac:dyDescent="0.3">
      <c r="A252" s="124">
        <v>244</v>
      </c>
      <c r="B252" s="829"/>
      <c r="C252" s="831"/>
      <c r="D252" s="831"/>
      <c r="E252" s="1449" t="s">
        <v>929</v>
      </c>
      <c r="F252" s="831"/>
      <c r="G252" s="832"/>
      <c r="H252" s="832"/>
      <c r="I252" s="833"/>
      <c r="J252" s="1500">
        <f t="shared" ref="J252" si="87">SUM(K252:R252)</f>
        <v>387523</v>
      </c>
      <c r="K252" s="1537">
        <f>K233</f>
        <v>77192</v>
      </c>
      <c r="L252" s="1537">
        <f t="shared" si="86"/>
        <v>31535</v>
      </c>
      <c r="M252" s="1537">
        <f t="shared" si="86"/>
        <v>216050</v>
      </c>
      <c r="N252" s="1537">
        <f t="shared" si="86"/>
        <v>0</v>
      </c>
      <c r="O252" s="1537">
        <f t="shared" si="86"/>
        <v>47060</v>
      </c>
      <c r="P252" s="1537">
        <f t="shared" si="86"/>
        <v>15686</v>
      </c>
      <c r="Q252" s="1537">
        <f t="shared" si="86"/>
        <v>0</v>
      </c>
      <c r="R252" s="1544">
        <f t="shared" si="86"/>
        <v>0</v>
      </c>
    </row>
    <row r="253" spans="1:18" ht="15.75" thickBot="1" x14ac:dyDescent="0.35">
      <c r="A253" s="124">
        <v>245</v>
      </c>
      <c r="B253" s="1560"/>
      <c r="C253" s="1561"/>
      <c r="D253" s="1561"/>
      <c r="E253" s="1562" t="s">
        <v>927</v>
      </c>
      <c r="F253" s="1561"/>
      <c r="G253" s="1563"/>
      <c r="H253" s="1563"/>
      <c r="I253" s="1563"/>
      <c r="J253" s="1564">
        <f>SUM(K253:R253)</f>
        <v>2276707</v>
      </c>
      <c r="K253" s="1565">
        <f>SUM(K251:K252)</f>
        <v>1404785</v>
      </c>
      <c r="L253" s="1565">
        <f t="shared" ref="L253:R253" si="88">SUM(L251:L252)</f>
        <v>251881</v>
      </c>
      <c r="M253" s="1565">
        <f t="shared" si="88"/>
        <v>523289</v>
      </c>
      <c r="N253" s="1565">
        <f t="shared" si="88"/>
        <v>0</v>
      </c>
      <c r="O253" s="1565">
        <f t="shared" si="88"/>
        <v>47060</v>
      </c>
      <c r="P253" s="1565">
        <f t="shared" si="88"/>
        <v>49692</v>
      </c>
      <c r="Q253" s="1565">
        <f t="shared" si="88"/>
        <v>0</v>
      </c>
      <c r="R253" s="1566">
        <f t="shared" si="88"/>
        <v>0</v>
      </c>
    </row>
    <row r="254" spans="1:18" x14ac:dyDescent="0.3">
      <c r="A254" s="836"/>
      <c r="B254" s="840" t="s">
        <v>27</v>
      </c>
      <c r="C254" s="840"/>
      <c r="D254" s="840"/>
      <c r="E254" s="837"/>
      <c r="F254" s="523"/>
      <c r="G254" s="524"/>
      <c r="H254" s="524"/>
      <c r="I254" s="524"/>
      <c r="J254" s="525"/>
      <c r="K254" s="524"/>
      <c r="L254" s="524"/>
      <c r="M254" s="524"/>
      <c r="N254" s="524"/>
      <c r="O254" s="524"/>
      <c r="P254" s="524"/>
      <c r="Q254" s="524"/>
      <c r="R254" s="524"/>
    </row>
    <row r="255" spans="1:18" x14ac:dyDescent="0.3">
      <c r="A255" s="836"/>
      <c r="B255" s="839" t="s">
        <v>28</v>
      </c>
      <c r="C255" s="839"/>
      <c r="D255" s="839"/>
      <c r="E255" s="48"/>
      <c r="F255" s="48"/>
      <c r="G255" s="48"/>
      <c r="H255" s="48"/>
      <c r="I255" s="48"/>
      <c r="J255" s="48"/>
      <c r="K255" s="109"/>
      <c r="L255" s="109"/>
      <c r="M255" s="109"/>
      <c r="N255" s="109"/>
      <c r="O255" s="109"/>
      <c r="P255" s="109"/>
      <c r="Q255" s="109"/>
      <c r="R255" s="109"/>
    </row>
    <row r="256" spans="1:18" x14ac:dyDescent="0.3">
      <c r="A256" s="836"/>
      <c r="B256" s="839" t="s">
        <v>29</v>
      </c>
      <c r="C256" s="839"/>
      <c r="D256" s="839"/>
      <c r="E256" s="48"/>
      <c r="F256" s="430"/>
      <c r="G256" s="109"/>
      <c r="H256" s="109"/>
      <c r="I256" s="109"/>
      <c r="J256" s="619"/>
      <c r="K256" s="109"/>
      <c r="L256" s="109"/>
      <c r="M256" s="109"/>
      <c r="N256" s="109"/>
      <c r="O256" s="109"/>
      <c r="P256" s="109"/>
      <c r="Q256" s="109"/>
      <c r="R256" s="109"/>
    </row>
  </sheetData>
  <mergeCells count="97">
    <mergeCell ref="B244:E244"/>
    <mergeCell ref="B245:F245"/>
    <mergeCell ref="B249:E249"/>
    <mergeCell ref="B250:F250"/>
    <mergeCell ref="D230:E230"/>
    <mergeCell ref="C231:E231"/>
    <mergeCell ref="B235:E235"/>
    <mergeCell ref="B239:E239"/>
    <mergeCell ref="B240:F240"/>
    <mergeCell ref="D225:E225"/>
    <mergeCell ref="D226:E226"/>
    <mergeCell ref="D227:E227"/>
    <mergeCell ref="D228:E228"/>
    <mergeCell ref="D229:E229"/>
    <mergeCell ref="D220:E220"/>
    <mergeCell ref="D221:E221"/>
    <mergeCell ref="D222:E222"/>
    <mergeCell ref="D223:E223"/>
    <mergeCell ref="D224:E224"/>
    <mergeCell ref="D206:E206"/>
    <mergeCell ref="D210:E210"/>
    <mergeCell ref="D211:E211"/>
    <mergeCell ref="D215:E215"/>
    <mergeCell ref="D219:E219"/>
    <mergeCell ref="D182:E182"/>
    <mergeCell ref="D187:E187"/>
    <mergeCell ref="D191:E191"/>
    <mergeCell ref="D195:E195"/>
    <mergeCell ref="D198:I198"/>
    <mergeCell ref="D165:F165"/>
    <mergeCell ref="D169:E169"/>
    <mergeCell ref="D173:F173"/>
    <mergeCell ref="D177:E177"/>
    <mergeCell ref="D181:E181"/>
    <mergeCell ref="D145:E145"/>
    <mergeCell ref="D149:E149"/>
    <mergeCell ref="D153:E153"/>
    <mergeCell ref="D157:E157"/>
    <mergeCell ref="D161:E161"/>
    <mergeCell ref="D119:E119"/>
    <mergeCell ref="D124:E124"/>
    <mergeCell ref="D128:E128"/>
    <mergeCell ref="C132:E132"/>
    <mergeCell ref="D136:E136"/>
    <mergeCell ref="D123:E123"/>
    <mergeCell ref="D101:E101"/>
    <mergeCell ref="D108:E108"/>
    <mergeCell ref="D109:E109"/>
    <mergeCell ref="D110:E110"/>
    <mergeCell ref="D114:E114"/>
    <mergeCell ref="D81:E81"/>
    <mergeCell ref="D86:E86"/>
    <mergeCell ref="D87:E87"/>
    <mergeCell ref="D96:E96"/>
    <mergeCell ref="D97:F97"/>
    <mergeCell ref="D91:E91"/>
    <mergeCell ref="D19:E19"/>
    <mergeCell ref="D20:E20"/>
    <mergeCell ref="D24:E24"/>
    <mergeCell ref="D25:E25"/>
    <mergeCell ref="D30:E30"/>
    <mergeCell ref="D9:E9"/>
    <mergeCell ref="D10:E10"/>
    <mergeCell ref="D14:E14"/>
    <mergeCell ref="D15:E15"/>
    <mergeCell ref="B7:B8"/>
    <mergeCell ref="C7:C8"/>
    <mergeCell ref="B1:G1"/>
    <mergeCell ref="B3:R3"/>
    <mergeCell ref="B4:R4"/>
    <mergeCell ref="Q5:R5"/>
    <mergeCell ref="D6:E6"/>
    <mergeCell ref="B2:F2"/>
    <mergeCell ref="K7:O7"/>
    <mergeCell ref="P7:R7"/>
    <mergeCell ref="D7:E8"/>
    <mergeCell ref="F7:F8"/>
    <mergeCell ref="G7:G8"/>
    <mergeCell ref="H7:H8"/>
    <mergeCell ref="I7:I8"/>
    <mergeCell ref="J7:J8"/>
    <mergeCell ref="D31:E31"/>
    <mergeCell ref="D35:E35"/>
    <mergeCell ref="D36:E36"/>
    <mergeCell ref="B140:E140"/>
    <mergeCell ref="D144:E144"/>
    <mergeCell ref="D40:E40"/>
    <mergeCell ref="C42:E42"/>
    <mergeCell ref="D46:E46"/>
    <mergeCell ref="D53:E53"/>
    <mergeCell ref="D54:E54"/>
    <mergeCell ref="D60:E60"/>
    <mergeCell ref="D65:E65"/>
    <mergeCell ref="C66:E66"/>
    <mergeCell ref="D76:E76"/>
    <mergeCell ref="D77:F77"/>
    <mergeCell ref="D70:E70"/>
  </mergeCells>
  <printOptions horizontalCentered="1"/>
  <pageMargins left="0.19685039370078741" right="0.19685039370078741" top="0.59055118110236227" bottom="0.59055118110236227" header="0.51181102362204722" footer="0.51181102362204722"/>
  <pageSetup paperSize="9" scale="58" fitToHeight="0" orientation="landscape" r:id="rId1"/>
  <headerFooter alignWithMargins="0">
    <oddFooter>&amp;C 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M156"/>
  <sheetViews>
    <sheetView view="pageBreakPreview" zoomScale="80" zoomScaleNormal="100" zoomScaleSheetLayoutView="80" workbookViewId="0">
      <pane ySplit="8" topLeftCell="A69" activePane="bottomLeft" state="frozen"/>
      <selection activeCell="B1" sqref="B1:F1"/>
      <selection pane="bottomLeft" activeCell="B2" sqref="B2:F2"/>
    </sheetView>
  </sheetViews>
  <sheetFormatPr defaultColWidth="9.140625" defaultRowHeight="15" x14ac:dyDescent="0.3"/>
  <cols>
    <col min="1" max="1" width="3.7109375" style="863" customWidth="1"/>
    <col min="2" max="2" width="5.7109375" style="852" customWidth="1"/>
    <col min="3" max="3" width="5.7109375" style="853" customWidth="1"/>
    <col min="4" max="4" width="59.7109375" style="854" customWidth="1"/>
    <col min="5" max="5" width="6.7109375" style="855" customWidth="1"/>
    <col min="6" max="7" width="13.7109375" style="901" customWidth="1"/>
    <col min="8" max="8" width="13.7109375" style="856" customWidth="1"/>
    <col min="9" max="9" width="15.7109375" style="856" customWidth="1"/>
    <col min="10" max="10" width="14.85546875" style="858" customWidth="1"/>
    <col min="11" max="11" width="18.7109375" style="858" bestFit="1" customWidth="1"/>
    <col min="12" max="16384" width="9.140625" style="858"/>
  </cols>
  <sheetData>
    <row r="1" spans="1:247" s="850" customFormat="1" ht="18" customHeight="1" x14ac:dyDescent="0.3">
      <c r="A1" s="982"/>
      <c r="B1" s="2004" t="s">
        <v>907</v>
      </c>
      <c r="C1" s="2004"/>
      <c r="D1" s="2004"/>
      <c r="E1" s="983"/>
      <c r="F1" s="984"/>
      <c r="G1" s="984"/>
      <c r="H1" s="985"/>
      <c r="I1" s="849"/>
      <c r="J1" s="986"/>
      <c r="K1" s="986"/>
      <c r="L1" s="986"/>
      <c r="M1" s="986"/>
      <c r="N1" s="986"/>
      <c r="O1" s="986"/>
      <c r="P1" s="986"/>
      <c r="Q1" s="986"/>
      <c r="R1" s="986"/>
      <c r="S1" s="986"/>
      <c r="T1" s="986"/>
      <c r="U1" s="986"/>
      <c r="V1" s="986"/>
      <c r="W1" s="986"/>
      <c r="X1" s="986"/>
      <c r="Y1" s="986"/>
      <c r="Z1" s="986"/>
      <c r="AA1" s="986"/>
      <c r="AB1" s="986"/>
      <c r="AC1" s="986"/>
      <c r="AD1" s="986"/>
      <c r="AE1" s="986"/>
      <c r="AF1" s="986"/>
      <c r="AG1" s="986"/>
      <c r="AH1" s="986"/>
      <c r="AI1" s="986"/>
      <c r="AJ1" s="986"/>
      <c r="AK1" s="986"/>
      <c r="AL1" s="986"/>
      <c r="AM1" s="986"/>
      <c r="AN1" s="986"/>
      <c r="AO1" s="986"/>
      <c r="AP1" s="986"/>
      <c r="AQ1" s="986"/>
      <c r="AR1" s="986"/>
      <c r="AS1" s="986"/>
      <c r="AT1" s="986"/>
      <c r="AU1" s="986"/>
      <c r="AV1" s="986"/>
      <c r="AW1" s="986"/>
      <c r="AX1" s="986"/>
      <c r="AY1" s="986"/>
      <c r="AZ1" s="986"/>
      <c r="BA1" s="986"/>
      <c r="BB1" s="986"/>
      <c r="BC1" s="986"/>
      <c r="BD1" s="986"/>
      <c r="BE1" s="986"/>
      <c r="BF1" s="986"/>
      <c r="BG1" s="986"/>
      <c r="BH1" s="986"/>
      <c r="BI1" s="986"/>
      <c r="BJ1" s="986"/>
      <c r="BK1" s="986"/>
      <c r="BL1" s="986"/>
      <c r="BM1" s="986"/>
      <c r="BN1" s="986"/>
      <c r="BO1" s="986"/>
      <c r="BP1" s="986"/>
      <c r="BQ1" s="986"/>
      <c r="BR1" s="986"/>
      <c r="BS1" s="986"/>
      <c r="BT1" s="986"/>
      <c r="BU1" s="986"/>
      <c r="BV1" s="986"/>
      <c r="BW1" s="986"/>
      <c r="BX1" s="986"/>
      <c r="BY1" s="986"/>
      <c r="BZ1" s="986"/>
      <c r="CA1" s="986"/>
      <c r="CB1" s="986"/>
      <c r="CC1" s="986"/>
      <c r="CD1" s="986"/>
      <c r="CE1" s="986"/>
      <c r="CF1" s="986"/>
      <c r="CG1" s="986"/>
      <c r="CH1" s="986"/>
      <c r="CI1" s="986"/>
      <c r="CJ1" s="986"/>
      <c r="CK1" s="986"/>
      <c r="CL1" s="986"/>
      <c r="CM1" s="986"/>
      <c r="CN1" s="986"/>
      <c r="CO1" s="986"/>
      <c r="CP1" s="986"/>
      <c r="CQ1" s="986"/>
      <c r="CR1" s="986"/>
      <c r="CS1" s="986"/>
      <c r="CT1" s="986"/>
      <c r="CU1" s="986"/>
      <c r="CV1" s="986"/>
      <c r="CW1" s="986"/>
      <c r="CX1" s="986"/>
      <c r="CY1" s="986"/>
      <c r="CZ1" s="986"/>
      <c r="DA1" s="986"/>
      <c r="DB1" s="986"/>
      <c r="DC1" s="986"/>
      <c r="DD1" s="986"/>
      <c r="DE1" s="986"/>
      <c r="DF1" s="986"/>
      <c r="DG1" s="986"/>
      <c r="DH1" s="986"/>
      <c r="DI1" s="986"/>
      <c r="DJ1" s="986"/>
      <c r="DK1" s="986"/>
      <c r="DL1" s="986"/>
      <c r="DM1" s="986"/>
      <c r="DN1" s="986"/>
      <c r="DO1" s="986"/>
      <c r="DP1" s="986"/>
      <c r="DQ1" s="986"/>
      <c r="DR1" s="986"/>
      <c r="DS1" s="986"/>
      <c r="DT1" s="986"/>
      <c r="DU1" s="986"/>
      <c r="DV1" s="986"/>
      <c r="DW1" s="986"/>
      <c r="DX1" s="986"/>
      <c r="DY1" s="986"/>
      <c r="DZ1" s="986"/>
      <c r="EA1" s="986"/>
      <c r="EB1" s="986"/>
      <c r="EC1" s="986"/>
      <c r="ED1" s="986"/>
      <c r="EE1" s="986"/>
      <c r="EF1" s="986"/>
      <c r="EG1" s="986"/>
      <c r="EH1" s="986"/>
      <c r="EI1" s="986"/>
      <c r="EJ1" s="986"/>
      <c r="EK1" s="986"/>
      <c r="EL1" s="986"/>
      <c r="EM1" s="986"/>
      <c r="EN1" s="986"/>
      <c r="EO1" s="986"/>
      <c r="EP1" s="986"/>
      <c r="EQ1" s="986"/>
      <c r="ER1" s="986"/>
      <c r="ES1" s="986"/>
      <c r="ET1" s="986"/>
      <c r="EU1" s="986"/>
      <c r="EV1" s="986"/>
      <c r="EW1" s="986"/>
      <c r="EX1" s="986"/>
      <c r="EY1" s="986"/>
      <c r="EZ1" s="986"/>
      <c r="FA1" s="986"/>
      <c r="FB1" s="986"/>
      <c r="FC1" s="986"/>
      <c r="FD1" s="986"/>
      <c r="FE1" s="986"/>
      <c r="FF1" s="986"/>
      <c r="FG1" s="986"/>
      <c r="FH1" s="986"/>
      <c r="FI1" s="986"/>
      <c r="FJ1" s="986"/>
      <c r="FK1" s="986"/>
      <c r="FL1" s="986"/>
      <c r="FM1" s="986"/>
      <c r="FN1" s="986"/>
      <c r="FO1" s="986"/>
      <c r="FP1" s="986"/>
      <c r="FQ1" s="986"/>
      <c r="FR1" s="986"/>
      <c r="FS1" s="986"/>
      <c r="FT1" s="986"/>
      <c r="FU1" s="986"/>
      <c r="FV1" s="986"/>
      <c r="FW1" s="986"/>
      <c r="FX1" s="986"/>
      <c r="FY1" s="986"/>
      <c r="FZ1" s="986"/>
      <c r="GA1" s="986"/>
      <c r="GB1" s="986"/>
      <c r="GC1" s="986"/>
      <c r="GD1" s="986"/>
      <c r="GE1" s="986"/>
      <c r="GF1" s="986"/>
      <c r="GG1" s="986"/>
      <c r="GH1" s="986"/>
      <c r="GI1" s="986"/>
      <c r="GJ1" s="986"/>
      <c r="GK1" s="986"/>
      <c r="GL1" s="986"/>
      <c r="GM1" s="986"/>
      <c r="GN1" s="986"/>
      <c r="GO1" s="986"/>
      <c r="GP1" s="986"/>
      <c r="GQ1" s="986"/>
      <c r="GR1" s="986"/>
      <c r="GS1" s="986"/>
      <c r="GT1" s="986"/>
      <c r="GU1" s="986"/>
      <c r="GV1" s="986"/>
      <c r="GW1" s="986"/>
      <c r="GX1" s="986"/>
      <c r="GY1" s="986"/>
      <c r="GZ1" s="986"/>
      <c r="HA1" s="986"/>
      <c r="HB1" s="986"/>
      <c r="HC1" s="986"/>
      <c r="HD1" s="986"/>
      <c r="HE1" s="986"/>
      <c r="HF1" s="986"/>
      <c r="HG1" s="986"/>
      <c r="HH1" s="986"/>
      <c r="HI1" s="986"/>
      <c r="HJ1" s="986"/>
      <c r="HK1" s="986"/>
      <c r="HL1" s="986"/>
      <c r="HM1" s="986"/>
      <c r="HN1" s="986"/>
      <c r="HO1" s="986"/>
      <c r="HP1" s="986"/>
      <c r="HQ1" s="986"/>
      <c r="HR1" s="986"/>
      <c r="HS1" s="986"/>
      <c r="HT1" s="986"/>
      <c r="HU1" s="986"/>
      <c r="HV1" s="986"/>
      <c r="HW1" s="986"/>
      <c r="HX1" s="986"/>
      <c r="HY1" s="986"/>
      <c r="HZ1" s="986"/>
      <c r="IA1" s="986"/>
      <c r="IB1" s="986"/>
      <c r="IC1" s="986"/>
      <c r="ID1" s="986"/>
      <c r="IE1" s="986"/>
      <c r="IF1" s="986"/>
      <c r="IG1" s="986"/>
      <c r="IH1" s="986"/>
      <c r="II1" s="986"/>
      <c r="IJ1" s="986"/>
      <c r="IK1" s="986"/>
      <c r="IL1" s="986"/>
      <c r="IM1" s="986"/>
    </row>
    <row r="2" spans="1:247" s="141" customFormat="1" ht="16.5" x14ac:dyDescent="0.3">
      <c r="A2" s="126"/>
      <c r="B2" s="1896"/>
      <c r="C2" s="1896"/>
      <c r="D2" s="1896"/>
      <c r="E2" s="1896"/>
      <c r="F2" s="1896"/>
      <c r="G2" s="118"/>
      <c r="H2" s="118"/>
      <c r="I2" s="118"/>
      <c r="J2" s="282"/>
    </row>
    <row r="3" spans="1:247" s="850" customFormat="1" ht="24.75" customHeight="1" x14ac:dyDescent="0.35">
      <c r="A3" s="851"/>
      <c r="B3" s="2005" t="s">
        <v>133</v>
      </c>
      <c r="C3" s="2005"/>
      <c r="D3" s="2005"/>
      <c r="E3" s="2005"/>
      <c r="F3" s="2005"/>
      <c r="G3" s="2005"/>
      <c r="H3" s="2005"/>
      <c r="I3" s="2005"/>
    </row>
    <row r="4" spans="1:247" s="850" customFormat="1" ht="24.75" customHeight="1" x14ac:dyDescent="0.3">
      <c r="A4" s="851"/>
      <c r="B4" s="2006" t="s">
        <v>644</v>
      </c>
      <c r="C4" s="2006"/>
      <c r="D4" s="2006"/>
      <c r="E4" s="2006"/>
      <c r="F4" s="2006"/>
      <c r="G4" s="2006"/>
      <c r="H4" s="2006"/>
      <c r="I4" s="2006"/>
    </row>
    <row r="5" spans="1:247" ht="18" customHeight="1" x14ac:dyDescent="0.3">
      <c r="A5" s="852"/>
      <c r="I5" s="857"/>
      <c r="K5" s="857" t="s">
        <v>0</v>
      </c>
    </row>
    <row r="6" spans="1:247" s="862" customFormat="1" ht="18" customHeight="1" thickBot="1" x14ac:dyDescent="0.35">
      <c r="A6" s="859"/>
      <c r="B6" s="860" t="s">
        <v>1</v>
      </c>
      <c r="C6" s="861" t="s">
        <v>3</v>
      </c>
      <c r="D6" s="861" t="s">
        <v>2</v>
      </c>
      <c r="E6" s="861" t="s">
        <v>4</v>
      </c>
      <c r="F6" s="861" t="s">
        <v>5</v>
      </c>
      <c r="G6" s="861" t="s">
        <v>15</v>
      </c>
      <c r="H6" s="861" t="s">
        <v>16</v>
      </c>
      <c r="I6" s="861" t="s">
        <v>17</v>
      </c>
      <c r="J6" s="859" t="s">
        <v>34</v>
      </c>
      <c r="K6" s="859" t="s">
        <v>30</v>
      </c>
      <c r="L6" s="859"/>
      <c r="M6" s="859"/>
      <c r="N6" s="859"/>
      <c r="O6" s="859"/>
      <c r="P6" s="859"/>
      <c r="Q6" s="859"/>
      <c r="R6" s="859"/>
      <c r="S6" s="859"/>
      <c r="T6" s="859"/>
      <c r="U6" s="859"/>
      <c r="V6" s="859"/>
      <c r="W6" s="859"/>
      <c r="X6" s="859"/>
      <c r="Y6" s="859"/>
      <c r="Z6" s="859"/>
      <c r="AA6" s="859"/>
      <c r="AB6" s="859"/>
      <c r="AC6" s="859"/>
      <c r="AD6" s="859"/>
      <c r="AE6" s="859"/>
      <c r="AF6" s="859"/>
      <c r="AG6" s="859"/>
      <c r="AH6" s="859"/>
      <c r="AI6" s="859"/>
      <c r="AJ6" s="859"/>
      <c r="AK6" s="859"/>
      <c r="AL6" s="859"/>
      <c r="AM6" s="859"/>
      <c r="AN6" s="859"/>
      <c r="AO6" s="859"/>
      <c r="AP6" s="859"/>
      <c r="AQ6" s="859"/>
      <c r="AR6" s="859"/>
      <c r="AS6" s="859"/>
      <c r="AT6" s="859"/>
      <c r="AU6" s="859"/>
      <c r="AV6" s="859"/>
      <c r="AW6" s="859"/>
      <c r="AX6" s="859"/>
      <c r="AY6" s="859"/>
      <c r="AZ6" s="859"/>
      <c r="BA6" s="859"/>
      <c r="BB6" s="859"/>
      <c r="BC6" s="859"/>
      <c r="BD6" s="859"/>
      <c r="BE6" s="859"/>
      <c r="BF6" s="859"/>
      <c r="BG6" s="859"/>
      <c r="BH6" s="859"/>
      <c r="BI6" s="859"/>
      <c r="BJ6" s="859"/>
      <c r="BK6" s="859"/>
      <c r="BL6" s="859"/>
      <c r="BM6" s="859"/>
      <c r="BN6" s="859"/>
      <c r="BO6" s="859"/>
      <c r="BP6" s="859"/>
      <c r="BQ6" s="859"/>
      <c r="BR6" s="859"/>
      <c r="BS6" s="859"/>
      <c r="BT6" s="859"/>
      <c r="BU6" s="859"/>
      <c r="BV6" s="859"/>
      <c r="BW6" s="859"/>
      <c r="BX6" s="859"/>
      <c r="BY6" s="859"/>
      <c r="BZ6" s="859"/>
      <c r="CA6" s="859"/>
      <c r="CB6" s="859"/>
      <c r="CC6" s="859"/>
      <c r="CD6" s="859"/>
      <c r="CE6" s="859"/>
      <c r="CF6" s="859"/>
      <c r="CG6" s="859"/>
      <c r="CH6" s="859"/>
      <c r="CI6" s="859"/>
      <c r="CJ6" s="859"/>
      <c r="CK6" s="859"/>
      <c r="CL6" s="859"/>
      <c r="CM6" s="859"/>
      <c r="CN6" s="859"/>
      <c r="CO6" s="859"/>
      <c r="CP6" s="859"/>
      <c r="CQ6" s="859"/>
      <c r="CR6" s="859"/>
      <c r="CS6" s="859"/>
      <c r="CT6" s="859"/>
      <c r="CU6" s="859"/>
      <c r="CV6" s="859"/>
      <c r="CW6" s="859"/>
      <c r="CX6" s="859"/>
      <c r="CY6" s="859"/>
      <c r="CZ6" s="859"/>
      <c r="DA6" s="859"/>
      <c r="DB6" s="859"/>
      <c r="DC6" s="859"/>
      <c r="DD6" s="859"/>
      <c r="DE6" s="859"/>
      <c r="DF6" s="859"/>
      <c r="DG6" s="859"/>
      <c r="DH6" s="859"/>
      <c r="DI6" s="859"/>
      <c r="DJ6" s="859"/>
      <c r="DK6" s="859"/>
      <c r="DL6" s="859"/>
      <c r="DM6" s="859"/>
      <c r="DN6" s="859"/>
      <c r="DO6" s="859"/>
      <c r="DP6" s="859"/>
      <c r="DQ6" s="859"/>
      <c r="DR6" s="859"/>
      <c r="DS6" s="859"/>
      <c r="DT6" s="859"/>
      <c r="DU6" s="859"/>
      <c r="DV6" s="859"/>
      <c r="DW6" s="859"/>
      <c r="DX6" s="859"/>
      <c r="DY6" s="859"/>
      <c r="DZ6" s="859"/>
      <c r="EA6" s="859"/>
      <c r="EB6" s="859"/>
      <c r="EC6" s="859"/>
      <c r="ED6" s="859"/>
      <c r="EE6" s="859"/>
      <c r="EF6" s="859"/>
      <c r="EG6" s="859"/>
      <c r="EH6" s="859"/>
      <c r="EI6" s="859"/>
      <c r="EJ6" s="859"/>
      <c r="EK6" s="859"/>
      <c r="EL6" s="859"/>
      <c r="EM6" s="859"/>
      <c r="EN6" s="859"/>
      <c r="EO6" s="859"/>
      <c r="EP6" s="859"/>
      <c r="EQ6" s="859"/>
      <c r="ER6" s="859"/>
      <c r="ES6" s="859"/>
      <c r="ET6" s="859"/>
      <c r="EU6" s="859"/>
      <c r="EV6" s="859"/>
      <c r="EW6" s="859"/>
      <c r="EX6" s="859"/>
      <c r="EY6" s="859"/>
      <c r="EZ6" s="859"/>
      <c r="FA6" s="859"/>
      <c r="FB6" s="859"/>
      <c r="FC6" s="859"/>
      <c r="FD6" s="859"/>
      <c r="FE6" s="859"/>
      <c r="FF6" s="859"/>
      <c r="FG6" s="859"/>
      <c r="FH6" s="859"/>
      <c r="FI6" s="859"/>
      <c r="FJ6" s="859"/>
      <c r="FK6" s="859"/>
      <c r="FL6" s="859"/>
      <c r="FM6" s="859"/>
      <c r="FN6" s="859"/>
      <c r="FO6" s="859"/>
      <c r="FP6" s="859"/>
      <c r="FQ6" s="859"/>
      <c r="FR6" s="859"/>
      <c r="FS6" s="859"/>
      <c r="FT6" s="859"/>
      <c r="FU6" s="859"/>
      <c r="FV6" s="859"/>
      <c r="FW6" s="859"/>
      <c r="FX6" s="859"/>
      <c r="FY6" s="859"/>
      <c r="FZ6" s="859"/>
      <c r="GA6" s="859"/>
      <c r="GB6" s="859"/>
      <c r="GC6" s="859"/>
      <c r="GD6" s="859"/>
      <c r="GE6" s="859"/>
      <c r="GF6" s="859"/>
      <c r="GG6" s="859"/>
      <c r="GH6" s="859"/>
      <c r="GI6" s="859"/>
      <c r="GJ6" s="859"/>
      <c r="GK6" s="859"/>
      <c r="GL6" s="859"/>
      <c r="GM6" s="859"/>
      <c r="GN6" s="859"/>
      <c r="GO6" s="859"/>
      <c r="GP6" s="859"/>
      <c r="GQ6" s="859"/>
      <c r="GR6" s="859"/>
      <c r="GS6" s="859"/>
      <c r="GT6" s="859"/>
      <c r="GU6" s="859"/>
      <c r="GV6" s="859"/>
      <c r="GW6" s="859"/>
      <c r="GX6" s="859"/>
      <c r="GY6" s="859"/>
      <c r="GZ6" s="859"/>
      <c r="HA6" s="859"/>
      <c r="HB6" s="859"/>
      <c r="HC6" s="859"/>
      <c r="HD6" s="859"/>
      <c r="HE6" s="859"/>
      <c r="HF6" s="859"/>
      <c r="HG6" s="859"/>
      <c r="HH6" s="859"/>
      <c r="HI6" s="859"/>
      <c r="HJ6" s="859"/>
      <c r="HK6" s="859"/>
      <c r="HL6" s="859"/>
      <c r="HM6" s="859"/>
      <c r="HN6" s="859"/>
      <c r="HO6" s="859"/>
      <c r="HP6" s="859"/>
      <c r="HQ6" s="859"/>
      <c r="HR6" s="859"/>
      <c r="HS6" s="859"/>
      <c r="HT6" s="859"/>
      <c r="HU6" s="859"/>
      <c r="HV6" s="859"/>
      <c r="HW6" s="859"/>
      <c r="HX6" s="859"/>
      <c r="HY6" s="859"/>
      <c r="HZ6" s="859"/>
      <c r="IA6" s="859"/>
      <c r="IB6" s="859"/>
      <c r="IC6" s="859"/>
      <c r="ID6" s="859"/>
      <c r="IE6" s="859"/>
      <c r="IF6" s="859"/>
      <c r="IG6" s="859"/>
      <c r="IH6" s="859"/>
      <c r="II6" s="859"/>
      <c r="IJ6" s="859"/>
      <c r="IK6" s="859"/>
      <c r="IL6" s="859"/>
      <c r="IM6" s="859"/>
    </row>
    <row r="7" spans="1:247" ht="30" customHeight="1" x14ac:dyDescent="0.3">
      <c r="B7" s="2007" t="s">
        <v>18</v>
      </c>
      <c r="C7" s="2009" t="s">
        <v>19</v>
      </c>
      <c r="D7" s="2011" t="s">
        <v>6</v>
      </c>
      <c r="E7" s="2013" t="s">
        <v>285</v>
      </c>
      <c r="F7" s="2015" t="s">
        <v>642</v>
      </c>
      <c r="G7" s="2015" t="s">
        <v>636</v>
      </c>
      <c r="H7" s="2017" t="s">
        <v>727</v>
      </c>
      <c r="I7" s="2019" t="s">
        <v>923</v>
      </c>
      <c r="J7" s="2021" t="s">
        <v>114</v>
      </c>
      <c r="K7" s="2023" t="s">
        <v>924</v>
      </c>
    </row>
    <row r="8" spans="1:247" ht="60.75" customHeight="1" thickBot="1" x14ac:dyDescent="0.35">
      <c r="B8" s="2008"/>
      <c r="C8" s="2010"/>
      <c r="D8" s="2012"/>
      <c r="E8" s="2014"/>
      <c r="F8" s="2016"/>
      <c r="G8" s="2016"/>
      <c r="H8" s="2018"/>
      <c r="I8" s="2020"/>
      <c r="J8" s="2022"/>
      <c r="K8" s="2024"/>
    </row>
    <row r="9" spans="1:247" s="1153" customFormat="1" x14ac:dyDescent="0.3">
      <c r="A9" s="1145">
        <v>1</v>
      </c>
      <c r="B9" s="1146">
        <v>1</v>
      </c>
      <c r="C9" s="1147" t="s">
        <v>295</v>
      </c>
      <c r="D9" s="1148"/>
      <c r="E9" s="1149" t="s">
        <v>23</v>
      </c>
      <c r="F9" s="1150">
        <v>3100</v>
      </c>
      <c r="G9" s="1151">
        <v>510</v>
      </c>
      <c r="H9" s="1152">
        <v>531</v>
      </c>
      <c r="I9" s="1567"/>
      <c r="J9" s="1568"/>
      <c r="K9" s="1569"/>
    </row>
    <row r="10" spans="1:247" s="1160" customFormat="1" x14ac:dyDescent="0.3">
      <c r="A10" s="1154">
        <v>2</v>
      </c>
      <c r="B10" s="1146"/>
      <c r="C10" s="1155">
        <v>1</v>
      </c>
      <c r="D10" s="1570" t="s">
        <v>954</v>
      </c>
      <c r="E10" s="1149"/>
      <c r="F10" s="1157"/>
      <c r="G10" s="1158"/>
      <c r="H10" s="1159"/>
      <c r="I10" s="1571">
        <f>30+65+77+90+903</f>
        <v>1165</v>
      </c>
      <c r="J10" s="1572"/>
      <c r="K10" s="1573">
        <f>SUM(I10:J10)</f>
        <v>1165</v>
      </c>
    </row>
    <row r="11" spans="1:247" s="1160" customFormat="1" x14ac:dyDescent="0.3">
      <c r="A11" s="1145">
        <v>3</v>
      </c>
      <c r="B11" s="1146"/>
      <c r="C11" s="1161">
        <v>2</v>
      </c>
      <c r="D11" s="1162" t="s">
        <v>955</v>
      </c>
      <c r="E11" s="1149"/>
      <c r="F11" s="1157"/>
      <c r="G11" s="1158"/>
      <c r="H11" s="1159"/>
      <c r="I11" s="1571">
        <v>400</v>
      </c>
      <c r="J11" s="1572">
        <v>500</v>
      </c>
      <c r="K11" s="1573">
        <f t="shared" ref="K11:K84" si="0">SUM(I11:J11)</f>
        <v>900</v>
      </c>
    </row>
    <row r="12" spans="1:247" s="1160" customFormat="1" x14ac:dyDescent="0.3">
      <c r="A12" s="1145">
        <v>4</v>
      </c>
      <c r="B12" s="1146"/>
      <c r="C12" s="1161">
        <v>3</v>
      </c>
      <c r="D12" s="1162" t="s">
        <v>656</v>
      </c>
      <c r="E12" s="1149"/>
      <c r="F12" s="1157"/>
      <c r="G12" s="1158"/>
      <c r="H12" s="1159"/>
      <c r="I12" s="1571">
        <v>500</v>
      </c>
      <c r="J12" s="1572"/>
      <c r="K12" s="1573">
        <f t="shared" si="0"/>
        <v>500</v>
      </c>
    </row>
    <row r="13" spans="1:247" s="1160" customFormat="1" x14ac:dyDescent="0.3">
      <c r="A13" s="1154">
        <v>5</v>
      </c>
      <c r="B13" s="1146"/>
      <c r="C13" s="1161">
        <v>4</v>
      </c>
      <c r="D13" s="1162" t="s">
        <v>657</v>
      </c>
      <c r="E13" s="1149"/>
      <c r="F13" s="1157"/>
      <c r="G13" s="1158"/>
      <c r="H13" s="1159"/>
      <c r="I13" s="1571">
        <v>250</v>
      </c>
      <c r="J13" s="1572"/>
      <c r="K13" s="1573">
        <f t="shared" si="0"/>
        <v>250</v>
      </c>
    </row>
    <row r="14" spans="1:247" s="1160" customFormat="1" x14ac:dyDescent="0.3">
      <c r="A14" s="1145">
        <v>6</v>
      </c>
      <c r="B14" s="1146"/>
      <c r="C14" s="1161">
        <v>5</v>
      </c>
      <c r="D14" s="1162" t="s">
        <v>658</v>
      </c>
      <c r="E14" s="1149"/>
      <c r="F14" s="1157"/>
      <c r="G14" s="1158"/>
      <c r="H14" s="1159"/>
      <c r="I14" s="1571">
        <v>500</v>
      </c>
      <c r="J14" s="1572"/>
      <c r="K14" s="1573">
        <f t="shared" si="0"/>
        <v>500</v>
      </c>
    </row>
    <row r="15" spans="1:247" s="1160" customFormat="1" x14ac:dyDescent="0.3">
      <c r="A15" s="1145">
        <v>7</v>
      </c>
      <c r="B15" s="1146"/>
      <c r="C15" s="1161">
        <v>6</v>
      </c>
      <c r="D15" s="1162" t="s">
        <v>659</v>
      </c>
      <c r="E15" s="1149"/>
      <c r="F15" s="1157"/>
      <c r="G15" s="1158"/>
      <c r="H15" s="1159"/>
      <c r="I15" s="1571">
        <v>600</v>
      </c>
      <c r="J15" s="1572"/>
      <c r="K15" s="1573">
        <f t="shared" si="0"/>
        <v>600</v>
      </c>
    </row>
    <row r="16" spans="1:247" s="1160" customFormat="1" x14ac:dyDescent="0.3">
      <c r="A16" s="1154">
        <v>8</v>
      </c>
      <c r="B16" s="1146"/>
      <c r="C16" s="1161">
        <v>7</v>
      </c>
      <c r="D16" s="1162" t="s">
        <v>956</v>
      </c>
      <c r="E16" s="1149"/>
      <c r="F16" s="1157"/>
      <c r="G16" s="1158"/>
      <c r="H16" s="1159"/>
      <c r="I16" s="1571">
        <v>200</v>
      </c>
      <c r="J16" s="1572"/>
      <c r="K16" s="1573">
        <f t="shared" si="0"/>
        <v>200</v>
      </c>
    </row>
    <row r="17" spans="1:11" s="1160" customFormat="1" x14ac:dyDescent="0.3">
      <c r="A17" s="1145">
        <v>9</v>
      </c>
      <c r="B17" s="1146"/>
      <c r="C17" s="1163" t="s">
        <v>401</v>
      </c>
      <c r="D17" s="1164"/>
      <c r="E17" s="1149"/>
      <c r="F17" s="1157">
        <v>1294</v>
      </c>
      <c r="G17" s="1158">
        <v>200</v>
      </c>
      <c r="H17" s="1159">
        <v>15</v>
      </c>
      <c r="I17" s="1571"/>
      <c r="J17" s="1572"/>
      <c r="K17" s="1573"/>
    </row>
    <row r="18" spans="1:11" s="1160" customFormat="1" ht="30" x14ac:dyDescent="0.3">
      <c r="A18" s="1145">
        <v>10</v>
      </c>
      <c r="B18" s="1146"/>
      <c r="C18" s="1161">
        <v>8</v>
      </c>
      <c r="D18" s="1156" t="s">
        <v>957</v>
      </c>
      <c r="E18" s="1149"/>
      <c r="F18" s="1157"/>
      <c r="G18" s="1158"/>
      <c r="H18" s="1159"/>
      <c r="I18" s="1571">
        <f>300+77</f>
        <v>377</v>
      </c>
      <c r="J18" s="1572">
        <v>188</v>
      </c>
      <c r="K18" s="1573">
        <f t="shared" si="0"/>
        <v>565</v>
      </c>
    </row>
    <row r="19" spans="1:11" s="1160" customFormat="1" x14ac:dyDescent="0.3">
      <c r="A19" s="1154">
        <v>11</v>
      </c>
      <c r="B19" s="1146"/>
      <c r="C19" s="1161">
        <v>9</v>
      </c>
      <c r="D19" s="1162" t="s">
        <v>958</v>
      </c>
      <c r="E19" s="1149"/>
      <c r="F19" s="1157"/>
      <c r="G19" s="1158"/>
      <c r="H19" s="1159"/>
      <c r="I19" s="1571">
        <v>200</v>
      </c>
      <c r="J19" s="1572">
        <v>200</v>
      </c>
      <c r="K19" s="1573">
        <f t="shared" si="0"/>
        <v>400</v>
      </c>
    </row>
    <row r="20" spans="1:11" s="1160" customFormat="1" x14ac:dyDescent="0.3">
      <c r="A20" s="1145">
        <v>12</v>
      </c>
      <c r="B20" s="1146"/>
      <c r="C20" s="1161">
        <v>10</v>
      </c>
      <c r="D20" s="1162" t="s">
        <v>660</v>
      </c>
      <c r="E20" s="1149"/>
      <c r="F20" s="1157"/>
      <c r="G20" s="1158"/>
      <c r="H20" s="1159"/>
      <c r="I20" s="1571">
        <v>600</v>
      </c>
      <c r="J20" s="1572"/>
      <c r="K20" s="1573">
        <f t="shared" si="0"/>
        <v>600</v>
      </c>
    </row>
    <row r="21" spans="1:11" s="1160" customFormat="1" x14ac:dyDescent="0.3">
      <c r="A21" s="1145">
        <v>13</v>
      </c>
      <c r="B21" s="1146"/>
      <c r="C21" s="1161">
        <v>11</v>
      </c>
      <c r="D21" s="1162" t="s">
        <v>959</v>
      </c>
      <c r="E21" s="1149"/>
      <c r="F21" s="1157"/>
      <c r="G21" s="1158"/>
      <c r="H21" s="1159"/>
      <c r="I21" s="1571">
        <f>200+120</f>
        <v>320</v>
      </c>
      <c r="J21" s="1572"/>
      <c r="K21" s="1573">
        <f t="shared" si="0"/>
        <v>320</v>
      </c>
    </row>
    <row r="22" spans="1:11" s="1153" customFormat="1" x14ac:dyDescent="0.3">
      <c r="A22" s="1154">
        <v>14</v>
      </c>
      <c r="B22" s="1146">
        <v>2</v>
      </c>
      <c r="C22" s="1165" t="s">
        <v>294</v>
      </c>
      <c r="D22" s="1148"/>
      <c r="E22" s="1149" t="s">
        <v>23</v>
      </c>
      <c r="F22" s="1150">
        <v>3496</v>
      </c>
      <c r="G22" s="1151">
        <v>700</v>
      </c>
      <c r="H22" s="1152">
        <v>8341</v>
      </c>
      <c r="I22" s="1567"/>
      <c r="J22" s="1574"/>
      <c r="K22" s="1573"/>
    </row>
    <row r="23" spans="1:11" s="1160" customFormat="1" ht="75" x14ac:dyDescent="0.3">
      <c r="A23" s="1145">
        <v>15</v>
      </c>
      <c r="B23" s="1146"/>
      <c r="C23" s="1155">
        <v>1</v>
      </c>
      <c r="D23" s="1156" t="s">
        <v>960</v>
      </c>
      <c r="E23" s="1149"/>
      <c r="F23" s="1157"/>
      <c r="G23" s="1158"/>
      <c r="H23" s="1159"/>
      <c r="I23" s="1571">
        <f>950+700+100+200+100+150</f>
        <v>2200</v>
      </c>
      <c r="J23" s="1572">
        <f>250+400+250</f>
        <v>900</v>
      </c>
      <c r="K23" s="1573">
        <f>SUM(I23:J23)</f>
        <v>3100</v>
      </c>
    </row>
    <row r="24" spans="1:11" s="1160" customFormat="1" x14ac:dyDescent="0.3">
      <c r="A24" s="1145">
        <v>16</v>
      </c>
      <c r="B24" s="1146"/>
      <c r="C24" s="1161">
        <v>2</v>
      </c>
      <c r="D24" s="1162" t="s">
        <v>655</v>
      </c>
      <c r="E24" s="1149"/>
      <c r="F24" s="1157"/>
      <c r="G24" s="1158"/>
      <c r="H24" s="1159"/>
      <c r="I24" s="1571">
        <f>200+660</f>
        <v>860</v>
      </c>
      <c r="J24" s="1572">
        <v>400</v>
      </c>
      <c r="K24" s="1573">
        <f t="shared" si="0"/>
        <v>1260</v>
      </c>
    </row>
    <row r="25" spans="1:11" s="1160" customFormat="1" x14ac:dyDescent="0.3">
      <c r="A25" s="1154">
        <v>17</v>
      </c>
      <c r="B25" s="1146"/>
      <c r="C25" s="1161">
        <v>3</v>
      </c>
      <c r="D25" s="1162" t="s">
        <v>661</v>
      </c>
      <c r="E25" s="1149"/>
      <c r="F25" s="1157"/>
      <c r="G25" s="1158"/>
      <c r="H25" s="1159"/>
      <c r="I25" s="1571">
        <f>150+300</f>
        <v>450</v>
      </c>
      <c r="J25" s="1572"/>
      <c r="K25" s="1573">
        <f t="shared" si="0"/>
        <v>450</v>
      </c>
    </row>
    <row r="26" spans="1:11" s="1160" customFormat="1" x14ac:dyDescent="0.3">
      <c r="A26" s="1145">
        <v>18</v>
      </c>
      <c r="B26" s="1146"/>
      <c r="C26" s="1161">
        <v>4</v>
      </c>
      <c r="D26" s="1162" t="s">
        <v>961</v>
      </c>
      <c r="E26" s="1149"/>
      <c r="F26" s="1157"/>
      <c r="G26" s="1158"/>
      <c r="H26" s="1159"/>
      <c r="I26" s="1571"/>
      <c r="J26" s="1572">
        <v>300</v>
      </c>
      <c r="K26" s="1573">
        <f t="shared" si="0"/>
        <v>300</v>
      </c>
    </row>
    <row r="27" spans="1:11" s="1160" customFormat="1" x14ac:dyDescent="0.3">
      <c r="A27" s="1145">
        <v>19</v>
      </c>
      <c r="B27" s="1146"/>
      <c r="C27" s="1161">
        <v>5</v>
      </c>
      <c r="D27" s="1162" t="s">
        <v>962</v>
      </c>
      <c r="E27" s="1149"/>
      <c r="F27" s="1157"/>
      <c r="G27" s="1158"/>
      <c r="H27" s="1159"/>
      <c r="I27" s="1571"/>
      <c r="J27" s="1572">
        <v>500</v>
      </c>
      <c r="K27" s="1573">
        <f t="shared" si="0"/>
        <v>500</v>
      </c>
    </row>
    <row r="28" spans="1:11" s="1160" customFormat="1" x14ac:dyDescent="0.3">
      <c r="A28" s="1154">
        <v>20</v>
      </c>
      <c r="B28" s="1146"/>
      <c r="C28" s="1161">
        <v>6</v>
      </c>
      <c r="D28" s="1162" t="s">
        <v>963</v>
      </c>
      <c r="E28" s="1149"/>
      <c r="F28" s="1157"/>
      <c r="G28" s="1158"/>
      <c r="H28" s="1159"/>
      <c r="I28" s="1571"/>
      <c r="J28" s="1572">
        <v>1100</v>
      </c>
      <c r="K28" s="1573">
        <f t="shared" si="0"/>
        <v>1100</v>
      </c>
    </row>
    <row r="29" spans="1:11" s="1160" customFormat="1" x14ac:dyDescent="0.3">
      <c r="A29" s="1145">
        <v>21</v>
      </c>
      <c r="B29" s="1146"/>
      <c r="C29" s="1163" t="s">
        <v>402</v>
      </c>
      <c r="D29" s="1164"/>
      <c r="E29" s="1149"/>
      <c r="F29" s="1157">
        <v>1094</v>
      </c>
      <c r="G29" s="1158"/>
      <c r="H29" s="1159">
        <v>3840</v>
      </c>
      <c r="I29" s="1571"/>
      <c r="J29" s="1572"/>
      <c r="K29" s="1573"/>
    </row>
    <row r="30" spans="1:11" s="1153" customFormat="1" ht="45" x14ac:dyDescent="0.3">
      <c r="A30" s="1145">
        <v>22</v>
      </c>
      <c r="B30" s="1146"/>
      <c r="C30" s="1155">
        <v>7</v>
      </c>
      <c r="D30" s="1156" t="s">
        <v>964</v>
      </c>
      <c r="E30" s="1149"/>
      <c r="F30" s="1157"/>
      <c r="G30" s="1158"/>
      <c r="H30" s="1159"/>
      <c r="I30" s="1571">
        <v>950</v>
      </c>
      <c r="J30" s="1572">
        <v>300</v>
      </c>
      <c r="K30" s="1573">
        <f t="shared" si="0"/>
        <v>1250</v>
      </c>
    </row>
    <row r="31" spans="1:11" s="1160" customFormat="1" x14ac:dyDescent="0.3">
      <c r="A31" s="1154">
        <v>23</v>
      </c>
      <c r="B31" s="1146"/>
      <c r="C31" s="1161">
        <v>8</v>
      </c>
      <c r="D31" s="1162" t="s">
        <v>662</v>
      </c>
      <c r="E31" s="1149"/>
      <c r="F31" s="1157"/>
      <c r="G31" s="1158"/>
      <c r="H31" s="1159"/>
      <c r="I31" s="1571">
        <v>200</v>
      </c>
      <c r="J31" s="1572"/>
      <c r="K31" s="1573">
        <f t="shared" si="0"/>
        <v>200</v>
      </c>
    </row>
    <row r="32" spans="1:11" s="1160" customFormat="1" x14ac:dyDescent="0.3">
      <c r="A32" s="1145">
        <v>24</v>
      </c>
      <c r="B32" s="1146"/>
      <c r="C32" s="1161">
        <v>9</v>
      </c>
      <c r="D32" s="1162" t="s">
        <v>661</v>
      </c>
      <c r="E32" s="1149"/>
      <c r="F32" s="1157"/>
      <c r="G32" s="1158"/>
      <c r="H32" s="1159"/>
      <c r="I32" s="1571">
        <v>150</v>
      </c>
      <c r="J32" s="1572"/>
      <c r="K32" s="1573">
        <f t="shared" si="0"/>
        <v>150</v>
      </c>
    </row>
    <row r="33" spans="1:11" s="1160" customFormat="1" x14ac:dyDescent="0.3">
      <c r="A33" s="1145">
        <v>25</v>
      </c>
      <c r="B33" s="1146">
        <v>3</v>
      </c>
      <c r="C33" s="1165" t="s">
        <v>255</v>
      </c>
      <c r="D33" s="1148"/>
      <c r="E33" s="1149" t="s">
        <v>23</v>
      </c>
      <c r="F33" s="1150">
        <v>6208</v>
      </c>
      <c r="G33" s="1151"/>
      <c r="H33" s="1152">
        <v>951</v>
      </c>
      <c r="I33" s="1567"/>
      <c r="J33" s="1574"/>
      <c r="K33" s="1573"/>
    </row>
    <row r="34" spans="1:11" s="1160" customFormat="1" x14ac:dyDescent="0.3">
      <c r="A34" s="1154">
        <v>26</v>
      </c>
      <c r="B34" s="1146"/>
      <c r="C34" s="1161">
        <v>1</v>
      </c>
      <c r="D34" s="1156" t="s">
        <v>663</v>
      </c>
      <c r="E34" s="1149"/>
      <c r="F34" s="1157"/>
      <c r="G34" s="1158"/>
      <c r="H34" s="1159"/>
      <c r="I34" s="1571">
        <v>493</v>
      </c>
      <c r="J34" s="1572"/>
      <c r="K34" s="1573">
        <f t="shared" si="0"/>
        <v>493</v>
      </c>
    </row>
    <row r="35" spans="1:11" s="1160" customFormat="1" ht="30" x14ac:dyDescent="0.3">
      <c r="A35" s="1145">
        <v>27</v>
      </c>
      <c r="B35" s="1146"/>
      <c r="C35" s="1161">
        <v>2</v>
      </c>
      <c r="D35" s="1156" t="s">
        <v>664</v>
      </c>
      <c r="E35" s="1149"/>
      <c r="F35" s="1157"/>
      <c r="G35" s="1158"/>
      <c r="H35" s="1159"/>
      <c r="I35" s="1571">
        <v>1500</v>
      </c>
      <c r="J35" s="1572"/>
      <c r="K35" s="1573">
        <f t="shared" si="0"/>
        <v>1500</v>
      </c>
    </row>
    <row r="36" spans="1:11" s="1153" customFormat="1" x14ac:dyDescent="0.3">
      <c r="A36" s="1145">
        <v>28</v>
      </c>
      <c r="B36" s="1146"/>
      <c r="C36" s="1161">
        <v>3</v>
      </c>
      <c r="D36" s="1162" t="s">
        <v>665</v>
      </c>
      <c r="E36" s="1149"/>
      <c r="F36" s="1157"/>
      <c r="G36" s="1158"/>
      <c r="H36" s="1159"/>
      <c r="I36" s="1571">
        <v>800</v>
      </c>
      <c r="J36" s="1572"/>
      <c r="K36" s="1573">
        <f t="shared" si="0"/>
        <v>800</v>
      </c>
    </row>
    <row r="37" spans="1:11" s="1160" customFormat="1" x14ac:dyDescent="0.3">
      <c r="A37" s="1154">
        <v>29</v>
      </c>
      <c r="B37" s="1146"/>
      <c r="C37" s="1161">
        <v>4</v>
      </c>
      <c r="D37" s="1162" t="s">
        <v>666</v>
      </c>
      <c r="E37" s="1149"/>
      <c r="F37" s="1157"/>
      <c r="G37" s="1158"/>
      <c r="H37" s="1159"/>
      <c r="I37" s="1571">
        <v>700</v>
      </c>
      <c r="J37" s="1572"/>
      <c r="K37" s="1573">
        <f t="shared" si="0"/>
        <v>700</v>
      </c>
    </row>
    <row r="38" spans="1:11" s="1160" customFormat="1" x14ac:dyDescent="0.3">
      <c r="A38" s="1145">
        <v>30</v>
      </c>
      <c r="B38" s="1146"/>
      <c r="C38" s="1163" t="s">
        <v>504</v>
      </c>
      <c r="D38" s="1164"/>
      <c r="E38" s="1149"/>
      <c r="F38" s="1157">
        <v>3386</v>
      </c>
      <c r="G38" s="1158"/>
      <c r="H38" s="1159">
        <v>317</v>
      </c>
      <c r="I38" s="1571"/>
      <c r="J38" s="1572"/>
      <c r="K38" s="1573"/>
    </row>
    <row r="39" spans="1:11" s="1160" customFormat="1" x14ac:dyDescent="0.3">
      <c r="A39" s="1145">
        <v>31</v>
      </c>
      <c r="B39" s="1146">
        <v>4</v>
      </c>
      <c r="C39" s="1165" t="s">
        <v>256</v>
      </c>
      <c r="D39" s="1148"/>
      <c r="E39" s="1149" t="s">
        <v>23</v>
      </c>
      <c r="F39" s="1150">
        <v>1347</v>
      </c>
      <c r="G39" s="1151"/>
      <c r="H39" s="1152">
        <v>1115</v>
      </c>
      <c r="I39" s="1567"/>
      <c r="J39" s="1574"/>
      <c r="K39" s="1573"/>
    </row>
    <row r="40" spans="1:11" s="1160" customFormat="1" ht="45" x14ac:dyDescent="0.3">
      <c r="A40" s="1154">
        <v>32</v>
      </c>
      <c r="B40" s="1146"/>
      <c r="C40" s="1155">
        <v>1</v>
      </c>
      <c r="D40" s="1156" t="s">
        <v>667</v>
      </c>
      <c r="E40" s="1149"/>
      <c r="F40" s="1157"/>
      <c r="G40" s="1158"/>
      <c r="H40" s="1159"/>
      <c r="I40" s="1571">
        <f>66+800+55+50+1070</f>
        <v>2041</v>
      </c>
      <c r="J40" s="1572"/>
      <c r="K40" s="1573">
        <f t="shared" si="0"/>
        <v>2041</v>
      </c>
    </row>
    <row r="41" spans="1:11" s="1160" customFormat="1" x14ac:dyDescent="0.3">
      <c r="A41" s="1145">
        <v>33</v>
      </c>
      <c r="B41" s="1146"/>
      <c r="C41" s="1161">
        <v>2</v>
      </c>
      <c r="D41" s="1162" t="s">
        <v>668</v>
      </c>
      <c r="E41" s="1149"/>
      <c r="F41" s="1157"/>
      <c r="G41" s="1158"/>
      <c r="H41" s="1159"/>
      <c r="I41" s="1571">
        <v>800</v>
      </c>
      <c r="J41" s="1572"/>
      <c r="K41" s="1573">
        <f t="shared" si="0"/>
        <v>800</v>
      </c>
    </row>
    <row r="42" spans="1:11" s="1153" customFormat="1" x14ac:dyDescent="0.3">
      <c r="A42" s="1145">
        <v>34</v>
      </c>
      <c r="B42" s="1146"/>
      <c r="C42" s="1166" t="s">
        <v>403</v>
      </c>
      <c r="D42" s="1156"/>
      <c r="E42" s="1149"/>
      <c r="F42" s="1157">
        <v>2216</v>
      </c>
      <c r="G42" s="1158"/>
      <c r="H42" s="1159"/>
      <c r="I42" s="1571"/>
      <c r="J42" s="1572"/>
      <c r="K42" s="1573"/>
    </row>
    <row r="43" spans="1:11" s="1160" customFormat="1" ht="30" x14ac:dyDescent="0.3">
      <c r="A43" s="1154">
        <v>35</v>
      </c>
      <c r="B43" s="1146"/>
      <c r="C43" s="1155">
        <v>3</v>
      </c>
      <c r="D43" s="1156" t="s">
        <v>669</v>
      </c>
      <c r="E43" s="1149"/>
      <c r="F43" s="1157"/>
      <c r="G43" s="1158"/>
      <c r="H43" s="1159"/>
      <c r="I43" s="1571">
        <f>50+20+40+20+60+15+25</f>
        <v>230</v>
      </c>
      <c r="J43" s="1572"/>
      <c r="K43" s="1573">
        <f t="shared" si="0"/>
        <v>230</v>
      </c>
    </row>
    <row r="44" spans="1:11" s="1160" customFormat="1" x14ac:dyDescent="0.3">
      <c r="A44" s="1145">
        <v>36</v>
      </c>
      <c r="B44" s="1146"/>
      <c r="C44" s="1161">
        <v>4</v>
      </c>
      <c r="D44" s="1162" t="s">
        <v>670</v>
      </c>
      <c r="E44" s="1149"/>
      <c r="F44" s="1157"/>
      <c r="G44" s="1158"/>
      <c r="H44" s="1159"/>
      <c r="I44" s="1571">
        <v>190</v>
      </c>
      <c r="J44" s="1572"/>
      <c r="K44" s="1573">
        <f t="shared" si="0"/>
        <v>190</v>
      </c>
    </row>
    <row r="45" spans="1:11" s="1160" customFormat="1" x14ac:dyDescent="0.3">
      <c r="A45" s="1145">
        <v>37</v>
      </c>
      <c r="B45" s="1146">
        <v>5</v>
      </c>
      <c r="C45" s="1165" t="s">
        <v>257</v>
      </c>
      <c r="D45" s="1148"/>
      <c r="E45" s="1149" t="s">
        <v>23</v>
      </c>
      <c r="F45" s="1150">
        <v>6273</v>
      </c>
      <c r="G45" s="1151"/>
      <c r="H45" s="1152">
        <v>707</v>
      </c>
      <c r="I45" s="1567"/>
      <c r="J45" s="1574"/>
      <c r="K45" s="1573"/>
    </row>
    <row r="46" spans="1:11" s="1160" customFormat="1" ht="45" x14ac:dyDescent="0.3">
      <c r="A46" s="1154">
        <v>38</v>
      </c>
      <c r="B46" s="1146"/>
      <c r="C46" s="1161">
        <v>1</v>
      </c>
      <c r="D46" s="1156" t="s">
        <v>965</v>
      </c>
      <c r="E46" s="1149"/>
      <c r="F46" s="1157"/>
      <c r="G46" s="1158"/>
      <c r="H46" s="1159"/>
      <c r="I46" s="1571">
        <v>494</v>
      </c>
      <c r="J46" s="1572">
        <v>456</v>
      </c>
      <c r="K46" s="1573">
        <f t="shared" si="0"/>
        <v>950</v>
      </c>
    </row>
    <row r="47" spans="1:11" s="1153" customFormat="1" x14ac:dyDescent="0.3">
      <c r="A47" s="1145">
        <v>39</v>
      </c>
      <c r="B47" s="1146"/>
      <c r="C47" s="1161">
        <v>2</v>
      </c>
      <c r="D47" s="1156" t="s">
        <v>672</v>
      </c>
      <c r="E47" s="1149"/>
      <c r="F47" s="1157"/>
      <c r="G47" s="1158"/>
      <c r="H47" s="1159"/>
      <c r="I47" s="1571">
        <v>3500</v>
      </c>
      <c r="J47" s="1572"/>
      <c r="K47" s="1573">
        <f t="shared" si="0"/>
        <v>3500</v>
      </c>
    </row>
    <row r="48" spans="1:11" s="1160" customFormat="1" x14ac:dyDescent="0.3">
      <c r="A48" s="1154">
        <v>40</v>
      </c>
      <c r="B48" s="1146"/>
      <c r="C48" s="1155">
        <v>3</v>
      </c>
      <c r="D48" s="1570" t="s">
        <v>966</v>
      </c>
      <c r="E48" s="1149"/>
      <c r="F48" s="1157"/>
      <c r="G48" s="1158"/>
      <c r="H48" s="1159"/>
      <c r="I48" s="1571"/>
      <c r="J48" s="1572">
        <v>350</v>
      </c>
      <c r="K48" s="1573">
        <f t="shared" si="0"/>
        <v>350</v>
      </c>
    </row>
    <row r="49" spans="1:11" s="1160" customFormat="1" x14ac:dyDescent="0.3">
      <c r="A49" s="1145">
        <v>41</v>
      </c>
      <c r="B49" s="1146"/>
      <c r="C49" s="1166" t="s">
        <v>404</v>
      </c>
      <c r="D49" s="1156"/>
      <c r="E49" s="1149"/>
      <c r="F49" s="1157">
        <v>6233</v>
      </c>
      <c r="G49" s="1158"/>
      <c r="H49" s="1159">
        <v>399</v>
      </c>
      <c r="I49" s="1571"/>
      <c r="J49" s="1572"/>
      <c r="K49" s="1573">
        <f t="shared" si="0"/>
        <v>0</v>
      </c>
    </row>
    <row r="50" spans="1:11" s="1160" customFormat="1" x14ac:dyDescent="0.3">
      <c r="A50" s="1154">
        <v>42</v>
      </c>
      <c r="B50" s="1146"/>
      <c r="C50" s="1161">
        <v>4</v>
      </c>
      <c r="D50" s="1156" t="s">
        <v>673</v>
      </c>
      <c r="E50" s="1149"/>
      <c r="F50" s="1157"/>
      <c r="G50" s="1158"/>
      <c r="H50" s="1159"/>
      <c r="I50" s="1571">
        <v>3500</v>
      </c>
      <c r="J50" s="1572"/>
      <c r="K50" s="1573">
        <f t="shared" si="0"/>
        <v>3500</v>
      </c>
    </row>
    <row r="51" spans="1:11" s="1160" customFormat="1" x14ac:dyDescent="0.3">
      <c r="A51" s="1145">
        <v>43</v>
      </c>
      <c r="B51" s="1146"/>
      <c r="C51" s="1161">
        <v>5</v>
      </c>
      <c r="D51" s="1156" t="s">
        <v>967</v>
      </c>
      <c r="E51" s="1149"/>
      <c r="F51" s="1157"/>
      <c r="G51" s="1158"/>
      <c r="H51" s="1159"/>
      <c r="I51" s="1571"/>
      <c r="J51" s="1572">
        <v>300</v>
      </c>
      <c r="K51" s="1573">
        <f t="shared" si="0"/>
        <v>300</v>
      </c>
    </row>
    <row r="52" spans="1:11" s="1160" customFormat="1" x14ac:dyDescent="0.3">
      <c r="A52" s="1154">
        <v>44</v>
      </c>
      <c r="B52" s="1146"/>
      <c r="C52" s="1161">
        <v>6</v>
      </c>
      <c r="D52" s="1575" t="s">
        <v>961</v>
      </c>
      <c r="E52" s="1149"/>
      <c r="F52" s="1157"/>
      <c r="G52" s="1158"/>
      <c r="H52" s="1159"/>
      <c r="I52" s="1571"/>
      <c r="J52" s="1572">
        <v>300</v>
      </c>
      <c r="K52" s="1573">
        <f t="shared" si="0"/>
        <v>300</v>
      </c>
    </row>
    <row r="53" spans="1:11" s="1160" customFormat="1" ht="30" x14ac:dyDescent="0.3">
      <c r="A53" s="1145">
        <v>45</v>
      </c>
      <c r="B53" s="1146"/>
      <c r="C53" s="1155">
        <v>7</v>
      </c>
      <c r="D53" s="1156" t="s">
        <v>968</v>
      </c>
      <c r="E53" s="1149"/>
      <c r="F53" s="1157"/>
      <c r="G53" s="1158"/>
      <c r="H53" s="1159"/>
      <c r="I53" s="1571"/>
      <c r="J53" s="1572">
        <v>594</v>
      </c>
      <c r="K53" s="1573">
        <f t="shared" si="0"/>
        <v>594</v>
      </c>
    </row>
    <row r="54" spans="1:11" s="1160" customFormat="1" x14ac:dyDescent="0.3">
      <c r="A54" s="1154">
        <v>46</v>
      </c>
      <c r="B54" s="1146">
        <v>6</v>
      </c>
      <c r="C54" s="1165" t="s">
        <v>258</v>
      </c>
      <c r="D54" s="1148"/>
      <c r="E54" s="1149" t="s">
        <v>23</v>
      </c>
      <c r="F54" s="1150">
        <v>6174</v>
      </c>
      <c r="G54" s="1151"/>
      <c r="H54" s="1152">
        <v>2078</v>
      </c>
      <c r="I54" s="1567"/>
      <c r="J54" s="1574"/>
      <c r="K54" s="1573">
        <f t="shared" si="0"/>
        <v>0</v>
      </c>
    </row>
    <row r="55" spans="1:11" s="1160" customFormat="1" ht="45" x14ac:dyDescent="0.3">
      <c r="A55" s="1145">
        <v>47</v>
      </c>
      <c r="B55" s="1146"/>
      <c r="C55" s="1155">
        <v>1</v>
      </c>
      <c r="D55" s="1156" t="s">
        <v>674</v>
      </c>
      <c r="E55" s="1149"/>
      <c r="F55" s="1157"/>
      <c r="G55" s="1158"/>
      <c r="H55" s="1159"/>
      <c r="I55" s="1571">
        <f>100+100+165+125+80+200+209</f>
        <v>979</v>
      </c>
      <c r="J55" s="1572"/>
      <c r="K55" s="1573">
        <f t="shared" si="0"/>
        <v>979</v>
      </c>
    </row>
    <row r="56" spans="1:11" s="1160" customFormat="1" x14ac:dyDescent="0.3">
      <c r="A56" s="1154">
        <v>48</v>
      </c>
      <c r="B56" s="1146"/>
      <c r="C56" s="1161">
        <v>2</v>
      </c>
      <c r="D56" s="1162" t="s">
        <v>675</v>
      </c>
      <c r="E56" s="1149"/>
      <c r="F56" s="1157"/>
      <c r="G56" s="1158"/>
      <c r="H56" s="1159"/>
      <c r="I56" s="1571">
        <v>700</v>
      </c>
      <c r="J56" s="1572"/>
      <c r="K56" s="1573">
        <f t="shared" si="0"/>
        <v>700</v>
      </c>
    </row>
    <row r="57" spans="1:11" s="1160" customFormat="1" x14ac:dyDescent="0.3">
      <c r="A57" s="1145">
        <v>49</v>
      </c>
      <c r="B57" s="1146"/>
      <c r="C57" s="1161">
        <v>3</v>
      </c>
      <c r="D57" s="1162" t="s">
        <v>676</v>
      </c>
      <c r="E57" s="1149"/>
      <c r="F57" s="1157"/>
      <c r="G57" s="1158"/>
      <c r="H57" s="1159"/>
      <c r="I57" s="1571">
        <v>890</v>
      </c>
      <c r="J57" s="1572"/>
      <c r="K57" s="1573">
        <f t="shared" si="0"/>
        <v>890</v>
      </c>
    </row>
    <row r="58" spans="1:11" s="1160" customFormat="1" x14ac:dyDescent="0.3">
      <c r="A58" s="1154">
        <v>50</v>
      </c>
      <c r="B58" s="1146"/>
      <c r="C58" s="1161">
        <v>4</v>
      </c>
      <c r="D58" s="1162" t="s">
        <v>677</v>
      </c>
      <c r="E58" s="1149"/>
      <c r="F58" s="1157"/>
      <c r="G58" s="1158"/>
      <c r="H58" s="1159"/>
      <c r="I58" s="1571">
        <f>1000+270</f>
        <v>1270</v>
      </c>
      <c r="J58" s="1572"/>
      <c r="K58" s="1573">
        <f t="shared" si="0"/>
        <v>1270</v>
      </c>
    </row>
    <row r="59" spans="1:11" s="1160" customFormat="1" x14ac:dyDescent="0.3">
      <c r="A59" s="1145">
        <v>51</v>
      </c>
      <c r="B59" s="1146"/>
      <c r="C59" s="1161">
        <v>5</v>
      </c>
      <c r="D59" s="1162" t="s">
        <v>678</v>
      </c>
      <c r="E59" s="1149"/>
      <c r="F59" s="1157"/>
      <c r="G59" s="1158"/>
      <c r="H59" s="1159"/>
      <c r="I59" s="1571">
        <v>1140</v>
      </c>
      <c r="J59" s="1572"/>
      <c r="K59" s="1573">
        <f t="shared" si="0"/>
        <v>1140</v>
      </c>
    </row>
    <row r="60" spans="1:11" s="1153" customFormat="1" x14ac:dyDescent="0.3">
      <c r="A60" s="1154">
        <v>52</v>
      </c>
      <c r="B60" s="1146"/>
      <c r="C60" s="1161">
        <v>6</v>
      </c>
      <c r="D60" s="1162" t="s">
        <v>679</v>
      </c>
      <c r="E60" s="1149"/>
      <c r="F60" s="1157"/>
      <c r="G60" s="1158"/>
      <c r="H60" s="1159"/>
      <c r="I60" s="1571">
        <f>1500+500+540</f>
        <v>2540</v>
      </c>
      <c r="J60" s="1572"/>
      <c r="K60" s="1573">
        <f t="shared" si="0"/>
        <v>2540</v>
      </c>
    </row>
    <row r="61" spans="1:11" s="1160" customFormat="1" x14ac:dyDescent="0.3">
      <c r="A61" s="1145">
        <v>53</v>
      </c>
      <c r="B61" s="1146"/>
      <c r="C61" s="1166" t="s">
        <v>405</v>
      </c>
      <c r="D61" s="1156"/>
      <c r="E61" s="1149"/>
      <c r="F61" s="1157">
        <v>324</v>
      </c>
      <c r="G61" s="1158"/>
      <c r="H61" s="1159">
        <v>347</v>
      </c>
      <c r="I61" s="1571"/>
      <c r="J61" s="1572"/>
      <c r="K61" s="1573">
        <f t="shared" si="0"/>
        <v>0</v>
      </c>
    </row>
    <row r="62" spans="1:11" s="1160" customFormat="1" ht="45" x14ac:dyDescent="0.3">
      <c r="A62" s="1154">
        <v>54</v>
      </c>
      <c r="B62" s="1146"/>
      <c r="C62" s="1155">
        <v>7</v>
      </c>
      <c r="D62" s="1156" t="s">
        <v>680</v>
      </c>
      <c r="E62" s="1149"/>
      <c r="F62" s="1157"/>
      <c r="G62" s="1158"/>
      <c r="H62" s="1159"/>
      <c r="I62" s="1576">
        <f>60+40+35+150+250+210+80+80+66+261</f>
        <v>1232</v>
      </c>
      <c r="J62" s="1577"/>
      <c r="K62" s="1578">
        <f t="shared" si="0"/>
        <v>1232</v>
      </c>
    </row>
    <row r="63" spans="1:11" s="1160" customFormat="1" x14ac:dyDescent="0.3">
      <c r="A63" s="1145">
        <v>55</v>
      </c>
      <c r="B63" s="1146"/>
      <c r="C63" s="1161">
        <v>8</v>
      </c>
      <c r="D63" s="1162" t="s">
        <v>661</v>
      </c>
      <c r="E63" s="1149"/>
      <c r="F63" s="1157"/>
      <c r="G63" s="1158"/>
      <c r="H63" s="1159"/>
      <c r="I63" s="1571">
        <v>700</v>
      </c>
      <c r="J63" s="1572"/>
      <c r="K63" s="1573">
        <f t="shared" si="0"/>
        <v>700</v>
      </c>
    </row>
    <row r="64" spans="1:11" s="1160" customFormat="1" x14ac:dyDescent="0.3">
      <c r="A64" s="1154">
        <v>56</v>
      </c>
      <c r="B64" s="1146"/>
      <c r="C64" s="1161">
        <v>9</v>
      </c>
      <c r="D64" s="1162" t="s">
        <v>681</v>
      </c>
      <c r="E64" s="1149"/>
      <c r="F64" s="1157"/>
      <c r="G64" s="1158"/>
      <c r="H64" s="1159"/>
      <c r="I64" s="1571">
        <v>2032</v>
      </c>
      <c r="J64" s="1572"/>
      <c r="K64" s="1573">
        <f t="shared" si="0"/>
        <v>2032</v>
      </c>
    </row>
    <row r="65" spans="1:11" s="1160" customFormat="1" x14ac:dyDescent="0.3">
      <c r="A65" s="1145">
        <v>57</v>
      </c>
      <c r="B65" s="1146"/>
      <c r="C65" s="1161">
        <v>10</v>
      </c>
      <c r="D65" s="1162" t="s">
        <v>678</v>
      </c>
      <c r="E65" s="1149"/>
      <c r="F65" s="1157"/>
      <c r="G65" s="1158"/>
      <c r="H65" s="1159"/>
      <c r="I65" s="1571">
        <v>380</v>
      </c>
      <c r="J65" s="1572"/>
      <c r="K65" s="1573">
        <f t="shared" si="0"/>
        <v>380</v>
      </c>
    </row>
    <row r="66" spans="1:11" s="1160" customFormat="1" x14ac:dyDescent="0.3">
      <c r="A66" s="1154">
        <v>58</v>
      </c>
      <c r="B66" s="1146"/>
      <c r="C66" s="1161">
        <v>11</v>
      </c>
      <c r="D66" s="1162" t="s">
        <v>682</v>
      </c>
      <c r="E66" s="1149"/>
      <c r="F66" s="1157"/>
      <c r="G66" s="1158"/>
      <c r="H66" s="1159"/>
      <c r="I66" s="1571">
        <v>1270</v>
      </c>
      <c r="J66" s="1572"/>
      <c r="K66" s="1573">
        <f t="shared" si="0"/>
        <v>1270</v>
      </c>
    </row>
    <row r="67" spans="1:11" s="1160" customFormat="1" x14ac:dyDescent="0.3">
      <c r="A67" s="1145">
        <v>59</v>
      </c>
      <c r="B67" s="1146">
        <v>7</v>
      </c>
      <c r="C67" s="1147" t="s">
        <v>343</v>
      </c>
      <c r="D67" s="1148"/>
      <c r="E67" s="1149" t="s">
        <v>23</v>
      </c>
      <c r="F67" s="1167"/>
      <c r="G67" s="1151"/>
      <c r="H67" s="1168"/>
      <c r="I67" s="1567"/>
      <c r="J67" s="1574"/>
      <c r="K67" s="1573"/>
    </row>
    <row r="68" spans="1:11" s="1160" customFormat="1" x14ac:dyDescent="0.3">
      <c r="A68" s="1154">
        <v>60</v>
      </c>
      <c r="B68" s="1146"/>
      <c r="C68" s="1166" t="s">
        <v>442</v>
      </c>
      <c r="D68" s="1169"/>
      <c r="E68" s="1149"/>
      <c r="F68" s="1157">
        <v>1129</v>
      </c>
      <c r="G68" s="1158">
        <f>120+300</f>
        <v>420</v>
      </c>
      <c r="H68" s="1579">
        <v>438</v>
      </c>
      <c r="I68" s="1571"/>
      <c r="J68" s="1572"/>
      <c r="K68" s="1573"/>
    </row>
    <row r="69" spans="1:11" s="1160" customFormat="1" x14ac:dyDescent="0.3">
      <c r="A69" s="1145">
        <v>61</v>
      </c>
      <c r="B69" s="1146"/>
      <c r="C69" s="1161">
        <v>1</v>
      </c>
      <c r="D69" s="1156" t="s">
        <v>969</v>
      </c>
      <c r="E69" s="1149"/>
      <c r="F69" s="1157"/>
      <c r="G69" s="1158"/>
      <c r="H69" s="1159"/>
      <c r="I69" s="1571">
        <v>300</v>
      </c>
      <c r="J69" s="1572">
        <v>100</v>
      </c>
      <c r="K69" s="1573">
        <f t="shared" si="0"/>
        <v>400</v>
      </c>
    </row>
    <row r="70" spans="1:11" s="1160" customFormat="1" x14ac:dyDescent="0.3">
      <c r="A70" s="1154">
        <v>62</v>
      </c>
      <c r="B70" s="1146"/>
      <c r="C70" s="1161">
        <v>2</v>
      </c>
      <c r="D70" s="1156" t="s">
        <v>970</v>
      </c>
      <c r="E70" s="1149"/>
      <c r="F70" s="1157"/>
      <c r="G70" s="1158"/>
      <c r="H70" s="1159"/>
      <c r="I70" s="1571"/>
      <c r="J70" s="1572">
        <v>300</v>
      </c>
      <c r="K70" s="1573">
        <f t="shared" si="0"/>
        <v>300</v>
      </c>
    </row>
    <row r="71" spans="1:11" s="1160" customFormat="1" x14ac:dyDescent="0.3">
      <c r="A71" s="1145">
        <v>63</v>
      </c>
      <c r="B71" s="1146"/>
      <c r="C71" s="1166" t="s">
        <v>406</v>
      </c>
      <c r="D71" s="1169"/>
      <c r="E71" s="1149"/>
      <c r="F71" s="1157">
        <v>1450</v>
      </c>
      <c r="G71" s="1158">
        <v>190</v>
      </c>
      <c r="H71" s="1159">
        <v>257</v>
      </c>
      <c r="I71" s="1571"/>
      <c r="J71" s="1572"/>
      <c r="K71" s="1573"/>
    </row>
    <row r="72" spans="1:11" s="1160" customFormat="1" ht="30" x14ac:dyDescent="0.3">
      <c r="A72" s="1154">
        <v>64</v>
      </c>
      <c r="B72" s="1146"/>
      <c r="C72" s="1155">
        <v>3</v>
      </c>
      <c r="D72" s="1156" t="s">
        <v>971</v>
      </c>
      <c r="E72" s="1149"/>
      <c r="F72" s="1157"/>
      <c r="G72" s="1158"/>
      <c r="H72" s="1159"/>
      <c r="I72" s="1576">
        <v>300</v>
      </c>
      <c r="J72" s="1577">
        <v>900</v>
      </c>
      <c r="K72" s="1578">
        <f t="shared" si="0"/>
        <v>1200</v>
      </c>
    </row>
    <row r="73" spans="1:11" s="1160" customFormat="1" x14ac:dyDescent="0.3">
      <c r="A73" s="1145">
        <v>65</v>
      </c>
      <c r="B73" s="1146"/>
      <c r="C73" s="1166" t="s">
        <v>407</v>
      </c>
      <c r="D73" s="1169"/>
      <c r="E73" s="1149"/>
      <c r="F73" s="1157">
        <v>2493</v>
      </c>
      <c r="G73" s="1158">
        <v>260</v>
      </c>
      <c r="H73" s="1159">
        <v>172</v>
      </c>
      <c r="I73" s="1571"/>
      <c r="J73" s="1572"/>
      <c r="K73" s="1573"/>
    </row>
    <row r="74" spans="1:11" s="1160" customFormat="1" ht="30" x14ac:dyDescent="0.3">
      <c r="A74" s="1154">
        <v>66</v>
      </c>
      <c r="B74" s="1146"/>
      <c r="C74" s="1155">
        <v>4</v>
      </c>
      <c r="D74" s="1156" t="s">
        <v>972</v>
      </c>
      <c r="E74" s="1149"/>
      <c r="F74" s="1157"/>
      <c r="G74" s="1158"/>
      <c r="H74" s="1159"/>
      <c r="I74" s="1576">
        <v>330</v>
      </c>
      <c r="J74" s="1577">
        <v>1270</v>
      </c>
      <c r="K74" s="1578">
        <f t="shared" si="0"/>
        <v>1600</v>
      </c>
    </row>
    <row r="75" spans="1:11" s="1160" customFormat="1" x14ac:dyDescent="0.3">
      <c r="A75" s="1145">
        <v>67</v>
      </c>
      <c r="B75" s="1146"/>
      <c r="C75" s="1166" t="s">
        <v>409</v>
      </c>
      <c r="D75" s="1156"/>
      <c r="E75" s="1149"/>
      <c r="F75" s="1157">
        <v>3057</v>
      </c>
      <c r="G75" s="1158">
        <v>340</v>
      </c>
      <c r="H75" s="1159">
        <v>384</v>
      </c>
      <c r="I75" s="1571"/>
      <c r="J75" s="1572"/>
      <c r="K75" s="1573"/>
    </row>
    <row r="76" spans="1:11" s="1153" customFormat="1" ht="30" x14ac:dyDescent="0.3">
      <c r="A76" s="1154">
        <v>68</v>
      </c>
      <c r="B76" s="1146"/>
      <c r="C76" s="1155">
        <v>5</v>
      </c>
      <c r="D76" s="1156" t="s">
        <v>973</v>
      </c>
      <c r="E76" s="1149"/>
      <c r="F76" s="1157"/>
      <c r="G76" s="1158"/>
      <c r="H76" s="1159"/>
      <c r="I76" s="1576">
        <f>150+300+500+80+498</f>
        <v>1528</v>
      </c>
      <c r="J76" s="1577">
        <v>1420</v>
      </c>
      <c r="K76" s="1578">
        <f t="shared" si="0"/>
        <v>2948</v>
      </c>
    </row>
    <row r="77" spans="1:11" s="1160" customFormat="1" x14ac:dyDescent="0.3">
      <c r="A77" s="1145">
        <v>69</v>
      </c>
      <c r="B77" s="1146"/>
      <c r="C77" s="1166" t="s">
        <v>408</v>
      </c>
      <c r="D77" s="1169"/>
      <c r="E77" s="1149"/>
      <c r="F77" s="1157">
        <v>1244</v>
      </c>
      <c r="G77" s="1158">
        <v>220</v>
      </c>
      <c r="H77" s="1159">
        <v>290</v>
      </c>
      <c r="I77" s="1571"/>
      <c r="J77" s="1572"/>
      <c r="K77" s="1573"/>
    </row>
    <row r="78" spans="1:11" s="1153" customFormat="1" ht="30" x14ac:dyDescent="0.3">
      <c r="A78" s="1154">
        <v>70</v>
      </c>
      <c r="B78" s="1146"/>
      <c r="C78" s="1155">
        <v>6</v>
      </c>
      <c r="D78" s="1156" t="s">
        <v>974</v>
      </c>
      <c r="E78" s="1149"/>
      <c r="F78" s="1157"/>
      <c r="G78" s="1158"/>
      <c r="H78" s="1159"/>
      <c r="I78" s="1576">
        <v>300</v>
      </c>
      <c r="J78" s="1577">
        <v>1100</v>
      </c>
      <c r="K78" s="1578">
        <f t="shared" si="0"/>
        <v>1400</v>
      </c>
    </row>
    <row r="79" spans="1:11" s="1160" customFormat="1" x14ac:dyDescent="0.3">
      <c r="A79" s="1145">
        <v>71</v>
      </c>
      <c r="B79" s="1146"/>
      <c r="C79" s="1166" t="s">
        <v>564</v>
      </c>
      <c r="D79" s="1169"/>
      <c r="E79" s="1149"/>
      <c r="F79" s="1157">
        <v>193</v>
      </c>
      <c r="G79" s="1158"/>
      <c r="H79" s="1159"/>
      <c r="I79" s="1571"/>
      <c r="J79" s="1572"/>
      <c r="K79" s="1573"/>
    </row>
    <row r="80" spans="1:11" s="1160" customFormat="1" x14ac:dyDescent="0.3">
      <c r="A80" s="1154">
        <v>72</v>
      </c>
      <c r="B80" s="1146"/>
      <c r="C80" s="1161">
        <v>7</v>
      </c>
      <c r="D80" s="1156" t="s">
        <v>975</v>
      </c>
      <c r="E80" s="1149"/>
      <c r="F80" s="1157"/>
      <c r="G80" s="1158"/>
      <c r="H80" s="1159"/>
      <c r="I80" s="1571"/>
      <c r="J80" s="1572">
        <v>100</v>
      </c>
      <c r="K80" s="1573">
        <f t="shared" si="0"/>
        <v>100</v>
      </c>
    </row>
    <row r="81" spans="1:11" s="1160" customFormat="1" x14ac:dyDescent="0.3">
      <c r="A81" s="1145">
        <v>73</v>
      </c>
      <c r="B81" s="1146"/>
      <c r="C81" s="1166" t="s">
        <v>375</v>
      </c>
      <c r="D81" s="1156"/>
      <c r="E81" s="1149"/>
      <c r="F81" s="1157">
        <v>15436</v>
      </c>
      <c r="G81" s="1151">
        <v>200</v>
      </c>
      <c r="H81" s="1152">
        <v>941</v>
      </c>
      <c r="I81" s="1567"/>
      <c r="J81" s="1572"/>
      <c r="K81" s="1573"/>
    </row>
    <row r="82" spans="1:11" s="1160" customFormat="1" x14ac:dyDescent="0.3">
      <c r="A82" s="1154">
        <v>74</v>
      </c>
      <c r="B82" s="1146"/>
      <c r="C82" s="1580">
        <v>8</v>
      </c>
      <c r="D82" s="1156" t="s">
        <v>976</v>
      </c>
      <c r="E82" s="1149"/>
      <c r="F82" s="1157"/>
      <c r="G82" s="1158"/>
      <c r="H82" s="1159"/>
      <c r="I82" s="1571"/>
      <c r="J82" s="1572">
        <v>1299</v>
      </c>
      <c r="K82" s="1573">
        <f>SUM(I82:J82)</f>
        <v>1299</v>
      </c>
    </row>
    <row r="83" spans="1:11" s="1153" customFormat="1" x14ac:dyDescent="0.3">
      <c r="A83" s="1145">
        <v>75</v>
      </c>
      <c r="B83" s="1146"/>
      <c r="C83" s="1170" t="s">
        <v>565</v>
      </c>
      <c r="D83" s="1156"/>
      <c r="E83" s="1149"/>
      <c r="F83" s="1157"/>
      <c r="G83" s="1151"/>
      <c r="H83" s="1152"/>
      <c r="I83" s="1567"/>
      <c r="J83" s="1572"/>
      <c r="K83" s="1573"/>
    </row>
    <row r="84" spans="1:11" s="1160" customFormat="1" ht="30" x14ac:dyDescent="0.3">
      <c r="A84" s="1154">
        <v>76</v>
      </c>
      <c r="B84" s="1146"/>
      <c r="C84" s="1155">
        <v>9</v>
      </c>
      <c r="D84" s="1156" t="s">
        <v>977</v>
      </c>
      <c r="E84" s="1149"/>
      <c r="F84" s="1157"/>
      <c r="G84" s="1158"/>
      <c r="H84" s="1159"/>
      <c r="I84" s="1571">
        <f>290+80+40</f>
        <v>410</v>
      </c>
      <c r="J84" s="1572">
        <v>590</v>
      </c>
      <c r="K84" s="1573">
        <f t="shared" si="0"/>
        <v>1000</v>
      </c>
    </row>
    <row r="85" spans="1:11" s="1176" customFormat="1" ht="30" x14ac:dyDescent="0.3">
      <c r="A85" s="1145">
        <v>77</v>
      </c>
      <c r="B85" s="1146"/>
      <c r="C85" s="1155">
        <v>10</v>
      </c>
      <c r="D85" s="1156" t="s">
        <v>978</v>
      </c>
      <c r="E85" s="1149"/>
      <c r="F85" s="1157"/>
      <c r="G85" s="1158"/>
      <c r="H85" s="1159"/>
      <c r="I85" s="1571">
        <f>200+80</f>
        <v>280</v>
      </c>
      <c r="J85" s="1572">
        <v>720</v>
      </c>
      <c r="K85" s="1573">
        <f t="shared" ref="K85:K140" si="1">SUM(I85:J85)</f>
        <v>1000</v>
      </c>
    </row>
    <row r="86" spans="1:11" s="1153" customFormat="1" x14ac:dyDescent="0.3">
      <c r="A86" s="1154">
        <v>78</v>
      </c>
      <c r="B86" s="1146">
        <v>8</v>
      </c>
      <c r="C86" s="1165" t="s">
        <v>116</v>
      </c>
      <c r="D86" s="1148"/>
      <c r="E86" s="1149" t="s">
        <v>23</v>
      </c>
      <c r="F86" s="1150">
        <v>2004</v>
      </c>
      <c r="G86" s="1151"/>
      <c r="H86" s="1152">
        <v>291</v>
      </c>
      <c r="I86" s="1567"/>
      <c r="J86" s="1574"/>
      <c r="K86" s="1573"/>
    </row>
    <row r="87" spans="1:11" s="1160" customFormat="1" ht="30" x14ac:dyDescent="0.3">
      <c r="A87" s="1145">
        <v>79</v>
      </c>
      <c r="B87" s="1146"/>
      <c r="C87" s="1155">
        <v>1</v>
      </c>
      <c r="D87" s="1156" t="s">
        <v>979</v>
      </c>
      <c r="E87" s="1149"/>
      <c r="F87" s="1157"/>
      <c r="G87" s="1158"/>
      <c r="H87" s="1159"/>
      <c r="I87" s="1571">
        <v>341</v>
      </c>
      <c r="J87" s="1572">
        <v>300</v>
      </c>
      <c r="K87" s="1573">
        <f t="shared" si="1"/>
        <v>641</v>
      </c>
    </row>
    <row r="88" spans="1:11" s="1160" customFormat="1" x14ac:dyDescent="0.3">
      <c r="A88" s="1154">
        <v>80</v>
      </c>
      <c r="B88" s="1146"/>
      <c r="C88" s="1161">
        <v>2</v>
      </c>
      <c r="D88" s="1162" t="s">
        <v>980</v>
      </c>
      <c r="E88" s="1149"/>
      <c r="F88" s="1157"/>
      <c r="G88" s="1158"/>
      <c r="H88" s="1159"/>
      <c r="I88" s="1571"/>
      <c r="J88" s="1572">
        <v>200</v>
      </c>
      <c r="K88" s="1573">
        <f t="shared" si="1"/>
        <v>200</v>
      </c>
    </row>
    <row r="89" spans="1:11" s="1160" customFormat="1" x14ac:dyDescent="0.3">
      <c r="A89" s="1145">
        <v>81</v>
      </c>
      <c r="B89" s="1146">
        <v>9</v>
      </c>
      <c r="C89" s="1165" t="s">
        <v>435</v>
      </c>
      <c r="D89" s="1148"/>
      <c r="E89" s="1149" t="s">
        <v>23</v>
      </c>
      <c r="F89" s="1150">
        <v>5998</v>
      </c>
      <c r="G89" s="1151">
        <f>500+300+200+150</f>
        <v>1150</v>
      </c>
      <c r="H89" s="1152">
        <v>3230</v>
      </c>
      <c r="I89" s="1567"/>
      <c r="J89" s="1574"/>
      <c r="K89" s="1573"/>
    </row>
    <row r="90" spans="1:11" s="1160" customFormat="1" ht="75" x14ac:dyDescent="0.3">
      <c r="A90" s="1154">
        <v>82</v>
      </c>
      <c r="B90" s="1146"/>
      <c r="C90" s="1155">
        <v>1</v>
      </c>
      <c r="D90" s="1156" t="s">
        <v>981</v>
      </c>
      <c r="E90" s="1149"/>
      <c r="F90" s="1157"/>
      <c r="G90" s="1158"/>
      <c r="H90" s="1159"/>
      <c r="I90" s="1571">
        <v>1500</v>
      </c>
      <c r="J90" s="1572"/>
      <c r="K90" s="1573">
        <f t="shared" si="1"/>
        <v>1500</v>
      </c>
    </row>
    <row r="91" spans="1:11" s="1153" customFormat="1" ht="75" x14ac:dyDescent="0.3">
      <c r="A91" s="1145">
        <v>83</v>
      </c>
      <c r="B91" s="1146"/>
      <c r="C91" s="1155">
        <v>2</v>
      </c>
      <c r="D91" s="1156" t="s">
        <v>982</v>
      </c>
      <c r="E91" s="1149"/>
      <c r="F91" s="1157"/>
      <c r="G91" s="1158"/>
      <c r="H91" s="1159"/>
      <c r="I91" s="1571">
        <v>1000</v>
      </c>
      <c r="J91" s="1572"/>
      <c r="K91" s="1573">
        <f t="shared" si="1"/>
        <v>1000</v>
      </c>
    </row>
    <row r="92" spans="1:11" s="1160" customFormat="1" ht="60" x14ac:dyDescent="0.3">
      <c r="A92" s="1154">
        <v>84</v>
      </c>
      <c r="B92" s="1146"/>
      <c r="C92" s="1155">
        <v>3</v>
      </c>
      <c r="D92" s="1156" t="s">
        <v>983</v>
      </c>
      <c r="E92" s="1149"/>
      <c r="F92" s="1157"/>
      <c r="G92" s="1158"/>
      <c r="H92" s="1159"/>
      <c r="I92" s="1571">
        <v>1000</v>
      </c>
      <c r="J92" s="1572"/>
      <c r="K92" s="1573">
        <f t="shared" si="1"/>
        <v>1000</v>
      </c>
    </row>
    <row r="93" spans="1:11" s="1160" customFormat="1" ht="30" x14ac:dyDescent="0.3">
      <c r="A93" s="1145">
        <v>85</v>
      </c>
      <c r="B93" s="1146"/>
      <c r="C93" s="1161">
        <v>4</v>
      </c>
      <c r="D93" s="1156" t="s">
        <v>684</v>
      </c>
      <c r="E93" s="1149"/>
      <c r="F93" s="1157"/>
      <c r="G93" s="1158"/>
      <c r="H93" s="1159"/>
      <c r="I93" s="1571">
        <f>1400+350+50+30+3800</f>
        <v>5630</v>
      </c>
      <c r="J93" s="1572"/>
      <c r="K93" s="1573">
        <f t="shared" si="1"/>
        <v>5630</v>
      </c>
    </row>
    <row r="94" spans="1:11" s="1160" customFormat="1" x14ac:dyDescent="0.3">
      <c r="A94" s="1154">
        <v>86</v>
      </c>
      <c r="B94" s="1146">
        <v>10</v>
      </c>
      <c r="C94" s="1147" t="s">
        <v>437</v>
      </c>
      <c r="D94" s="1148"/>
      <c r="E94" s="1149" t="s">
        <v>23</v>
      </c>
      <c r="F94" s="1150">
        <v>4955</v>
      </c>
      <c r="G94" s="1151"/>
      <c r="H94" s="1152">
        <v>5225</v>
      </c>
      <c r="I94" s="1567"/>
      <c r="J94" s="1574"/>
      <c r="K94" s="1573"/>
    </row>
    <row r="95" spans="1:11" s="1160" customFormat="1" x14ac:dyDescent="0.3">
      <c r="A95" s="1145">
        <v>87</v>
      </c>
      <c r="B95" s="1146"/>
      <c r="C95" s="1161">
        <v>1</v>
      </c>
      <c r="D95" s="1156" t="s">
        <v>663</v>
      </c>
      <c r="E95" s="1149"/>
      <c r="F95" s="1157"/>
      <c r="G95" s="1158"/>
      <c r="H95" s="1159"/>
      <c r="I95" s="1571">
        <v>3000</v>
      </c>
      <c r="J95" s="1572"/>
      <c r="K95" s="1573">
        <f t="shared" si="1"/>
        <v>3000</v>
      </c>
    </row>
    <row r="96" spans="1:11" s="1160" customFormat="1" ht="30" x14ac:dyDescent="0.3">
      <c r="A96" s="1154">
        <v>88</v>
      </c>
      <c r="B96" s="1171"/>
      <c r="C96" s="1155">
        <v>2</v>
      </c>
      <c r="D96" s="1172" t="s">
        <v>566</v>
      </c>
      <c r="E96" s="1173"/>
      <c r="F96" s="1174"/>
      <c r="G96" s="1175">
        <v>4050</v>
      </c>
      <c r="H96" s="1152">
        <v>0</v>
      </c>
      <c r="I96" s="1571">
        <v>4050</v>
      </c>
      <c r="J96" s="1577"/>
      <c r="K96" s="1573">
        <f t="shared" si="1"/>
        <v>4050</v>
      </c>
    </row>
    <row r="97" spans="1:11" s="1160" customFormat="1" ht="17.25" x14ac:dyDescent="0.35">
      <c r="A97" s="1145">
        <v>89</v>
      </c>
      <c r="B97" s="1171"/>
      <c r="C97" s="1155">
        <v>3</v>
      </c>
      <c r="D97" s="1156" t="s">
        <v>984</v>
      </c>
      <c r="E97" s="1173"/>
      <c r="F97" s="1174"/>
      <c r="G97" s="1175"/>
      <c r="H97" s="1152"/>
      <c r="I97" s="1571"/>
      <c r="J97" s="1581">
        <v>1850</v>
      </c>
      <c r="K97" s="1573">
        <f t="shared" si="1"/>
        <v>1850</v>
      </c>
    </row>
    <row r="98" spans="1:11" s="1153" customFormat="1" ht="17.25" x14ac:dyDescent="0.35">
      <c r="A98" s="1154">
        <v>90</v>
      </c>
      <c r="B98" s="1171"/>
      <c r="C98" s="1155">
        <v>4</v>
      </c>
      <c r="D98" s="1156" t="s">
        <v>985</v>
      </c>
      <c r="E98" s="1173"/>
      <c r="F98" s="1174"/>
      <c r="G98" s="1175"/>
      <c r="H98" s="1152"/>
      <c r="I98" s="1571"/>
      <c r="J98" s="1581">
        <v>300</v>
      </c>
      <c r="K98" s="1573">
        <f t="shared" si="1"/>
        <v>300</v>
      </c>
    </row>
    <row r="99" spans="1:11" s="1160" customFormat="1" ht="17.25" x14ac:dyDescent="0.35">
      <c r="A99" s="1145">
        <v>91</v>
      </c>
      <c r="B99" s="1171"/>
      <c r="C99" s="1155">
        <v>5</v>
      </c>
      <c r="D99" s="1156" t="s">
        <v>986</v>
      </c>
      <c r="E99" s="1173"/>
      <c r="F99" s="1174"/>
      <c r="G99" s="1175"/>
      <c r="H99" s="1152"/>
      <c r="I99" s="1571"/>
      <c r="J99" s="1581">
        <v>400</v>
      </c>
      <c r="K99" s="1573">
        <f t="shared" si="1"/>
        <v>400</v>
      </c>
    </row>
    <row r="100" spans="1:11" s="1160" customFormat="1" ht="17.25" x14ac:dyDescent="0.35">
      <c r="A100" s="1154">
        <v>92</v>
      </c>
      <c r="B100" s="1171"/>
      <c r="C100" s="1155">
        <v>6</v>
      </c>
      <c r="D100" s="1156" t="s">
        <v>987</v>
      </c>
      <c r="E100" s="1173"/>
      <c r="F100" s="1174"/>
      <c r="G100" s="1175"/>
      <c r="H100" s="1152"/>
      <c r="I100" s="1571"/>
      <c r="J100" s="1582">
        <v>690</v>
      </c>
      <c r="K100" s="1573">
        <f t="shared" si="1"/>
        <v>690</v>
      </c>
    </row>
    <row r="101" spans="1:11" s="1160" customFormat="1" x14ac:dyDescent="0.3">
      <c r="A101" s="1145">
        <v>93</v>
      </c>
      <c r="B101" s="1146">
        <v>11</v>
      </c>
      <c r="C101" s="1165" t="s">
        <v>428</v>
      </c>
      <c r="D101" s="1148"/>
      <c r="E101" s="1149" t="s">
        <v>23</v>
      </c>
      <c r="F101" s="1150">
        <v>8894</v>
      </c>
      <c r="G101" s="1151"/>
      <c r="H101" s="1152">
        <v>1580</v>
      </c>
      <c r="I101" s="1567"/>
      <c r="J101" s="1574"/>
      <c r="K101" s="1573"/>
    </row>
    <row r="102" spans="1:11" s="1160" customFormat="1" x14ac:dyDescent="0.3">
      <c r="A102" s="1154">
        <v>94</v>
      </c>
      <c r="B102" s="1146"/>
      <c r="C102" s="1161">
        <v>1</v>
      </c>
      <c r="D102" s="1156" t="s">
        <v>683</v>
      </c>
      <c r="E102" s="1149"/>
      <c r="F102" s="1157"/>
      <c r="G102" s="1158"/>
      <c r="H102" s="1159"/>
      <c r="I102" s="1571">
        <v>600</v>
      </c>
      <c r="J102" s="1572">
        <v>200</v>
      </c>
      <c r="K102" s="1573">
        <f t="shared" si="1"/>
        <v>800</v>
      </c>
    </row>
    <row r="103" spans="1:11" s="1160" customFormat="1" ht="30" x14ac:dyDescent="0.3">
      <c r="A103" s="1145">
        <v>95</v>
      </c>
      <c r="B103" s="1146"/>
      <c r="C103" s="1155">
        <v>2</v>
      </c>
      <c r="D103" s="1156" t="s">
        <v>988</v>
      </c>
      <c r="E103" s="1149"/>
      <c r="F103" s="1157"/>
      <c r="G103" s="1158"/>
      <c r="H103" s="1159"/>
      <c r="I103" s="1571">
        <v>600</v>
      </c>
      <c r="J103" s="1572">
        <v>400</v>
      </c>
      <c r="K103" s="1573">
        <f t="shared" si="1"/>
        <v>1000</v>
      </c>
    </row>
    <row r="104" spans="1:11" s="1160" customFormat="1" x14ac:dyDescent="0.3">
      <c r="A104" s="1154">
        <v>96</v>
      </c>
      <c r="B104" s="1146"/>
      <c r="C104" s="1161">
        <v>3</v>
      </c>
      <c r="D104" s="1156" t="s">
        <v>685</v>
      </c>
      <c r="E104" s="1149"/>
      <c r="F104" s="1157"/>
      <c r="G104" s="1158"/>
      <c r="H104" s="1159"/>
      <c r="I104" s="1571">
        <v>2000</v>
      </c>
      <c r="J104" s="1572"/>
      <c r="K104" s="1573">
        <f t="shared" si="1"/>
        <v>2000</v>
      </c>
    </row>
    <row r="105" spans="1:11" s="1160" customFormat="1" x14ac:dyDescent="0.3">
      <c r="A105" s="1145">
        <v>97</v>
      </c>
      <c r="B105" s="1146"/>
      <c r="C105" s="1161">
        <v>4</v>
      </c>
      <c r="D105" s="1162" t="s">
        <v>772</v>
      </c>
      <c r="E105" s="1149"/>
      <c r="F105" s="1157"/>
      <c r="G105" s="1158"/>
      <c r="H105" s="1159"/>
      <c r="I105" s="1571">
        <v>5000</v>
      </c>
      <c r="J105" s="1572"/>
      <c r="K105" s="1573">
        <f t="shared" si="1"/>
        <v>5000</v>
      </c>
    </row>
    <row r="106" spans="1:11" s="1153" customFormat="1" x14ac:dyDescent="0.3">
      <c r="A106" s="1154">
        <v>98</v>
      </c>
      <c r="B106" s="1146"/>
      <c r="C106" s="1161">
        <v>5</v>
      </c>
      <c r="D106" s="1162" t="s">
        <v>697</v>
      </c>
      <c r="E106" s="1149"/>
      <c r="F106" s="1157"/>
      <c r="G106" s="1158"/>
      <c r="H106" s="1159"/>
      <c r="I106" s="1571"/>
      <c r="J106" s="1572">
        <v>800</v>
      </c>
      <c r="K106" s="1573">
        <f t="shared" si="1"/>
        <v>800</v>
      </c>
    </row>
    <row r="107" spans="1:11" s="1160" customFormat="1" x14ac:dyDescent="0.3">
      <c r="A107" s="1145">
        <v>99</v>
      </c>
      <c r="B107" s="1146"/>
      <c r="C107" s="1161">
        <v>6</v>
      </c>
      <c r="D107" s="1162" t="s">
        <v>989</v>
      </c>
      <c r="E107" s="1149"/>
      <c r="F107" s="1157"/>
      <c r="G107" s="1158"/>
      <c r="H107" s="1159"/>
      <c r="I107" s="1571"/>
      <c r="J107" s="1572">
        <v>100</v>
      </c>
      <c r="K107" s="1573">
        <f t="shared" si="1"/>
        <v>100</v>
      </c>
    </row>
    <row r="108" spans="1:11" s="1160" customFormat="1" x14ac:dyDescent="0.3">
      <c r="A108" s="1154">
        <v>100</v>
      </c>
      <c r="B108" s="1146">
        <v>12</v>
      </c>
      <c r="C108" s="1165" t="s">
        <v>25</v>
      </c>
      <c r="D108" s="1148"/>
      <c r="E108" s="1149" t="s">
        <v>23</v>
      </c>
      <c r="F108" s="1150">
        <v>4783</v>
      </c>
      <c r="G108" s="1151"/>
      <c r="H108" s="1152">
        <v>16587</v>
      </c>
      <c r="I108" s="1567"/>
      <c r="J108" s="1574"/>
      <c r="K108" s="1573"/>
    </row>
    <row r="109" spans="1:11" s="1153" customFormat="1" ht="30" x14ac:dyDescent="0.3">
      <c r="A109" s="1145">
        <v>101</v>
      </c>
      <c r="B109" s="1146"/>
      <c r="C109" s="1155">
        <v>1</v>
      </c>
      <c r="D109" s="1156" t="s">
        <v>686</v>
      </c>
      <c r="E109" s="1149"/>
      <c r="F109" s="1150"/>
      <c r="G109" s="1175"/>
      <c r="H109" s="1159"/>
      <c r="I109" s="1571">
        <v>11550</v>
      </c>
      <c r="J109" s="1572">
        <v>450</v>
      </c>
      <c r="K109" s="1573">
        <f t="shared" si="1"/>
        <v>12000</v>
      </c>
    </row>
    <row r="110" spans="1:11" s="1160" customFormat="1" ht="30" x14ac:dyDescent="0.3">
      <c r="A110" s="1154">
        <v>102</v>
      </c>
      <c r="B110" s="1146"/>
      <c r="C110" s="1155">
        <v>2</v>
      </c>
      <c r="D110" s="1156" t="s">
        <v>376</v>
      </c>
      <c r="E110" s="1149"/>
      <c r="F110" s="1150">
        <v>20716</v>
      </c>
      <c r="G110" s="1175">
        <v>16000</v>
      </c>
      <c r="H110" s="1152">
        <v>66716</v>
      </c>
      <c r="I110" s="1571">
        <v>16000</v>
      </c>
      <c r="J110" s="1572">
        <v>51000</v>
      </c>
      <c r="K110" s="1573">
        <f t="shared" si="1"/>
        <v>67000</v>
      </c>
    </row>
    <row r="111" spans="1:11" s="1153" customFormat="1" ht="30" x14ac:dyDescent="0.3">
      <c r="A111" s="1145">
        <v>103</v>
      </c>
      <c r="B111" s="1146"/>
      <c r="C111" s="1161">
        <v>3</v>
      </c>
      <c r="D111" s="1156" t="s">
        <v>990</v>
      </c>
      <c r="E111" s="1149"/>
      <c r="F111" s="1150"/>
      <c r="G111" s="1175"/>
      <c r="H111" s="1159"/>
      <c r="I111" s="1571">
        <v>987</v>
      </c>
      <c r="J111" s="1572">
        <v>-787</v>
      </c>
      <c r="K111" s="1573">
        <f t="shared" si="1"/>
        <v>200</v>
      </c>
    </row>
    <row r="112" spans="1:11" s="1160" customFormat="1" x14ac:dyDescent="0.3">
      <c r="A112" s="1154">
        <v>104</v>
      </c>
      <c r="B112" s="1146"/>
      <c r="C112" s="1161">
        <v>4</v>
      </c>
      <c r="D112" s="1156" t="s">
        <v>687</v>
      </c>
      <c r="E112" s="1149"/>
      <c r="F112" s="1150"/>
      <c r="G112" s="1175"/>
      <c r="H112" s="1159"/>
      <c r="I112" s="1571">
        <v>717</v>
      </c>
      <c r="J112" s="1572"/>
      <c r="K112" s="1573">
        <f t="shared" si="1"/>
        <v>717</v>
      </c>
    </row>
    <row r="113" spans="1:11" s="1160" customFormat="1" x14ac:dyDescent="0.3">
      <c r="A113" s="1145">
        <v>105</v>
      </c>
      <c r="B113" s="1146"/>
      <c r="C113" s="1161">
        <v>5</v>
      </c>
      <c r="D113" s="1156" t="s">
        <v>688</v>
      </c>
      <c r="E113" s="1149"/>
      <c r="F113" s="1150"/>
      <c r="G113" s="1175"/>
      <c r="H113" s="1159"/>
      <c r="I113" s="1571">
        <v>200</v>
      </c>
      <c r="J113" s="1572"/>
      <c r="K113" s="1573">
        <f t="shared" si="1"/>
        <v>200</v>
      </c>
    </row>
    <row r="114" spans="1:11" s="1160" customFormat="1" ht="30" x14ac:dyDescent="0.3">
      <c r="A114" s="1154">
        <v>106</v>
      </c>
      <c r="B114" s="1146"/>
      <c r="C114" s="1155">
        <v>6</v>
      </c>
      <c r="D114" s="1156" t="s">
        <v>566</v>
      </c>
      <c r="E114" s="1149"/>
      <c r="F114" s="1157"/>
      <c r="G114" s="1151">
        <v>2400</v>
      </c>
      <c r="H114" s="1152">
        <v>0</v>
      </c>
      <c r="I114" s="1571">
        <v>2400</v>
      </c>
      <c r="J114" s="1572"/>
      <c r="K114" s="1573">
        <f t="shared" si="1"/>
        <v>2400</v>
      </c>
    </row>
    <row r="115" spans="1:11" s="864" customFormat="1" x14ac:dyDescent="0.3">
      <c r="A115" s="1145">
        <v>107</v>
      </c>
      <c r="B115" s="1146"/>
      <c r="C115" s="1155">
        <v>7</v>
      </c>
      <c r="D115" s="1156" t="s">
        <v>991</v>
      </c>
      <c r="E115" s="1149"/>
      <c r="F115" s="1157"/>
      <c r="G115" s="1151"/>
      <c r="H115" s="1152"/>
      <c r="I115" s="1571"/>
      <c r="J115" s="1572">
        <v>762</v>
      </c>
      <c r="K115" s="1573">
        <f t="shared" si="1"/>
        <v>762</v>
      </c>
    </row>
    <row r="116" spans="1:11" s="1153" customFormat="1" x14ac:dyDescent="0.3">
      <c r="A116" s="1154">
        <v>108</v>
      </c>
      <c r="B116" s="1146"/>
      <c r="C116" s="1155">
        <v>8</v>
      </c>
      <c r="D116" s="1162" t="s">
        <v>992</v>
      </c>
      <c r="E116" s="1149"/>
      <c r="F116" s="1157"/>
      <c r="G116" s="1151"/>
      <c r="H116" s="1152"/>
      <c r="I116" s="1571"/>
      <c r="J116" s="1572">
        <v>225</v>
      </c>
      <c r="K116" s="1573">
        <f t="shared" si="1"/>
        <v>225</v>
      </c>
    </row>
    <row r="117" spans="1:11" s="1153" customFormat="1" x14ac:dyDescent="0.3">
      <c r="A117" s="1145">
        <v>109</v>
      </c>
      <c r="B117" s="1146">
        <v>13</v>
      </c>
      <c r="C117" s="1165" t="s">
        <v>32</v>
      </c>
      <c r="D117" s="1148"/>
      <c r="E117" s="1149" t="s">
        <v>23</v>
      </c>
      <c r="F117" s="1150">
        <v>50840</v>
      </c>
      <c r="G117" s="1151">
        <f>700+500</f>
        <v>1200</v>
      </c>
      <c r="H117" s="1152">
        <v>5908</v>
      </c>
      <c r="I117" s="1567"/>
      <c r="J117" s="1574"/>
      <c r="K117" s="1573"/>
    </row>
    <row r="118" spans="1:11" s="1160" customFormat="1" x14ac:dyDescent="0.3">
      <c r="A118" s="1154">
        <v>110</v>
      </c>
      <c r="B118" s="1146"/>
      <c r="C118" s="1161">
        <v>1</v>
      </c>
      <c r="D118" s="1156" t="s">
        <v>663</v>
      </c>
      <c r="E118" s="1149"/>
      <c r="F118" s="1157"/>
      <c r="G118" s="1158"/>
      <c r="H118" s="1159"/>
      <c r="I118" s="1571">
        <v>2500</v>
      </c>
      <c r="J118" s="1572"/>
      <c r="K118" s="1573">
        <f t="shared" si="1"/>
        <v>2500</v>
      </c>
    </row>
    <row r="119" spans="1:11" s="1160" customFormat="1" x14ac:dyDescent="0.3">
      <c r="A119" s="1145">
        <v>111</v>
      </c>
      <c r="B119" s="1146"/>
      <c r="C119" s="1161">
        <v>2</v>
      </c>
      <c r="D119" s="1156" t="s">
        <v>689</v>
      </c>
      <c r="E119" s="1149"/>
      <c r="F119" s="1157"/>
      <c r="G119" s="1158"/>
      <c r="H119" s="1159"/>
      <c r="I119" s="1571">
        <v>1557</v>
      </c>
      <c r="J119" s="1572"/>
      <c r="K119" s="1573">
        <f t="shared" si="1"/>
        <v>1557</v>
      </c>
    </row>
    <row r="120" spans="1:11" s="1160" customFormat="1" x14ac:dyDescent="0.3">
      <c r="A120" s="1154">
        <v>112</v>
      </c>
      <c r="B120" s="1146"/>
      <c r="C120" s="1161">
        <v>3</v>
      </c>
      <c r="D120" s="1162" t="s">
        <v>690</v>
      </c>
      <c r="E120" s="1149"/>
      <c r="F120" s="1157"/>
      <c r="G120" s="1158"/>
      <c r="H120" s="1159"/>
      <c r="I120" s="1571">
        <v>3000</v>
      </c>
      <c r="J120" s="1572"/>
      <c r="K120" s="1573">
        <f t="shared" si="1"/>
        <v>3000</v>
      </c>
    </row>
    <row r="121" spans="1:11" s="1160" customFormat="1" x14ac:dyDescent="0.3">
      <c r="A121" s="1145">
        <v>113</v>
      </c>
      <c r="B121" s="1146"/>
      <c r="C121" s="1161">
        <v>4</v>
      </c>
      <c r="D121" s="1162" t="s">
        <v>691</v>
      </c>
      <c r="E121" s="1149"/>
      <c r="F121" s="1157"/>
      <c r="G121" s="1158"/>
      <c r="H121" s="1159"/>
      <c r="I121" s="1571">
        <v>200</v>
      </c>
      <c r="J121" s="1572"/>
      <c r="K121" s="1573">
        <f t="shared" si="1"/>
        <v>200</v>
      </c>
    </row>
    <row r="122" spans="1:11" s="1160" customFormat="1" x14ac:dyDescent="0.3">
      <c r="A122" s="1154">
        <v>114</v>
      </c>
      <c r="B122" s="1146"/>
      <c r="C122" s="1161">
        <v>5</v>
      </c>
      <c r="D122" s="1162" t="s">
        <v>692</v>
      </c>
      <c r="E122" s="1149"/>
      <c r="F122" s="1157"/>
      <c r="G122" s="1158"/>
      <c r="H122" s="1159"/>
      <c r="I122" s="1571">
        <v>600</v>
      </c>
      <c r="J122" s="1572"/>
      <c r="K122" s="1573">
        <f t="shared" si="1"/>
        <v>600</v>
      </c>
    </row>
    <row r="123" spans="1:11" s="1160" customFormat="1" x14ac:dyDescent="0.3">
      <c r="A123" s="1145">
        <v>115</v>
      </c>
      <c r="B123" s="1146"/>
      <c r="C123" s="1161">
        <v>6</v>
      </c>
      <c r="D123" s="1162" t="s">
        <v>693</v>
      </c>
      <c r="E123" s="1149"/>
      <c r="F123" s="1157"/>
      <c r="G123" s="1158"/>
      <c r="H123" s="1159"/>
      <c r="I123" s="1571">
        <v>200</v>
      </c>
      <c r="J123" s="1572"/>
      <c r="K123" s="1573">
        <f t="shared" si="1"/>
        <v>200</v>
      </c>
    </row>
    <row r="124" spans="1:11" s="1160" customFormat="1" x14ac:dyDescent="0.3">
      <c r="A124" s="1154">
        <v>116</v>
      </c>
      <c r="B124" s="1146"/>
      <c r="C124" s="1161">
        <v>7</v>
      </c>
      <c r="D124" s="1162" t="s">
        <v>993</v>
      </c>
      <c r="E124" s="1149"/>
      <c r="F124" s="1157"/>
      <c r="G124" s="1158"/>
      <c r="H124" s="1159"/>
      <c r="I124" s="1571"/>
      <c r="J124" s="1572">
        <v>298</v>
      </c>
      <c r="K124" s="1573">
        <f t="shared" si="1"/>
        <v>298</v>
      </c>
    </row>
    <row r="125" spans="1:11" s="1160" customFormat="1" x14ac:dyDescent="0.3">
      <c r="A125" s="1145">
        <v>117</v>
      </c>
      <c r="B125" s="1146"/>
      <c r="C125" s="1161">
        <v>8</v>
      </c>
      <c r="D125" s="1162" t="s">
        <v>994</v>
      </c>
      <c r="E125" s="1149"/>
      <c r="F125" s="1157"/>
      <c r="G125" s="1158"/>
      <c r="H125" s="1159"/>
      <c r="I125" s="1571"/>
      <c r="J125" s="1572">
        <v>7008</v>
      </c>
      <c r="K125" s="1573">
        <f t="shared" si="1"/>
        <v>7008</v>
      </c>
    </row>
    <row r="126" spans="1:11" s="864" customFormat="1" x14ac:dyDescent="0.3">
      <c r="A126" s="1154">
        <v>118</v>
      </c>
      <c r="B126" s="1146"/>
      <c r="C126" s="1161">
        <v>9</v>
      </c>
      <c r="D126" s="1162" t="s">
        <v>995</v>
      </c>
      <c r="E126" s="1149"/>
      <c r="F126" s="1157"/>
      <c r="G126" s="1158"/>
      <c r="H126" s="1159"/>
      <c r="I126" s="1571"/>
      <c r="J126" s="1572">
        <v>13000</v>
      </c>
      <c r="K126" s="1573">
        <f t="shared" si="1"/>
        <v>13000</v>
      </c>
    </row>
    <row r="127" spans="1:11" s="864" customFormat="1" ht="60" x14ac:dyDescent="0.3">
      <c r="A127" s="1145">
        <v>119</v>
      </c>
      <c r="B127" s="1146"/>
      <c r="C127" s="1155">
        <v>10</v>
      </c>
      <c r="D127" s="1177" t="s">
        <v>567</v>
      </c>
      <c r="E127" s="1149"/>
      <c r="F127" s="1178">
        <v>54424</v>
      </c>
      <c r="G127" s="1158"/>
      <c r="H127" s="1159"/>
      <c r="I127" s="1571"/>
      <c r="J127" s="1572"/>
      <c r="K127" s="1573"/>
    </row>
    <row r="128" spans="1:11" x14ac:dyDescent="0.3">
      <c r="A128" s="1154">
        <v>120</v>
      </c>
      <c r="B128" s="1146">
        <v>14</v>
      </c>
      <c r="C128" s="1165" t="s">
        <v>429</v>
      </c>
      <c r="D128" s="1148"/>
      <c r="E128" s="1149" t="s">
        <v>24</v>
      </c>
      <c r="F128" s="1150">
        <v>2197</v>
      </c>
      <c r="G128" s="1151"/>
      <c r="H128" s="1152">
        <v>3173</v>
      </c>
      <c r="I128" s="1567"/>
      <c r="J128" s="1574"/>
      <c r="K128" s="1573"/>
    </row>
    <row r="129" spans="1:247" s="866" customFormat="1" x14ac:dyDescent="0.3">
      <c r="A129" s="1145">
        <v>121</v>
      </c>
      <c r="B129" s="1146"/>
      <c r="C129" s="1161">
        <v>1</v>
      </c>
      <c r="D129" s="1156" t="s">
        <v>663</v>
      </c>
      <c r="E129" s="1149"/>
      <c r="F129" s="1157"/>
      <c r="G129" s="1158"/>
      <c r="H129" s="1159"/>
      <c r="I129" s="1571">
        <v>1000</v>
      </c>
      <c r="J129" s="1572"/>
      <c r="K129" s="1573">
        <f t="shared" si="1"/>
        <v>1000</v>
      </c>
      <c r="L129" s="858"/>
      <c r="M129" s="858"/>
      <c r="N129" s="858"/>
      <c r="O129" s="858"/>
      <c r="P129" s="858"/>
      <c r="Q129" s="858"/>
      <c r="R129" s="858"/>
      <c r="S129" s="858"/>
      <c r="T129" s="858"/>
      <c r="U129" s="858"/>
      <c r="V129" s="858"/>
      <c r="W129" s="858"/>
      <c r="X129" s="858"/>
      <c r="Y129" s="858"/>
      <c r="Z129" s="858"/>
      <c r="AA129" s="858"/>
      <c r="AB129" s="858"/>
      <c r="AC129" s="858"/>
      <c r="AD129" s="858"/>
      <c r="AE129" s="858"/>
      <c r="AF129" s="858"/>
      <c r="AG129" s="858"/>
      <c r="AH129" s="858"/>
      <c r="AI129" s="858"/>
      <c r="AJ129" s="858"/>
      <c r="AK129" s="858"/>
      <c r="AL129" s="858"/>
      <c r="AM129" s="858"/>
      <c r="AN129" s="858"/>
      <c r="AO129" s="858"/>
      <c r="AP129" s="858"/>
      <c r="AQ129" s="858"/>
      <c r="AR129" s="858"/>
      <c r="AS129" s="858"/>
      <c r="AT129" s="858"/>
      <c r="AU129" s="858"/>
      <c r="AV129" s="858"/>
      <c r="AW129" s="858"/>
      <c r="AX129" s="858"/>
      <c r="AY129" s="858"/>
      <c r="AZ129" s="858"/>
      <c r="BA129" s="858"/>
      <c r="BB129" s="858"/>
      <c r="BC129" s="858"/>
      <c r="BD129" s="858"/>
      <c r="BE129" s="858"/>
      <c r="BF129" s="858"/>
      <c r="BG129" s="858"/>
      <c r="BH129" s="858"/>
      <c r="BI129" s="858"/>
      <c r="BJ129" s="858"/>
      <c r="BK129" s="858"/>
      <c r="BL129" s="858"/>
      <c r="BM129" s="858"/>
      <c r="BN129" s="858"/>
      <c r="BO129" s="858"/>
      <c r="BP129" s="858"/>
      <c r="BQ129" s="858"/>
      <c r="BR129" s="858"/>
      <c r="BS129" s="858"/>
      <c r="BT129" s="858"/>
      <c r="BU129" s="858"/>
      <c r="BV129" s="858"/>
      <c r="BW129" s="858"/>
      <c r="BX129" s="858"/>
      <c r="BY129" s="858"/>
      <c r="BZ129" s="858"/>
      <c r="CA129" s="858"/>
      <c r="CB129" s="858"/>
      <c r="CC129" s="858"/>
      <c r="CD129" s="858"/>
      <c r="CE129" s="858"/>
      <c r="CF129" s="858"/>
      <c r="CG129" s="858"/>
      <c r="CH129" s="858"/>
      <c r="CI129" s="858"/>
      <c r="CJ129" s="858"/>
      <c r="CK129" s="858"/>
      <c r="CL129" s="858"/>
      <c r="CM129" s="858"/>
      <c r="CN129" s="858"/>
      <c r="CO129" s="858"/>
      <c r="CP129" s="858"/>
      <c r="CQ129" s="858"/>
      <c r="CR129" s="858"/>
      <c r="CS129" s="858"/>
      <c r="CT129" s="858"/>
      <c r="CU129" s="858"/>
      <c r="CV129" s="858"/>
      <c r="CW129" s="858"/>
      <c r="CX129" s="858"/>
      <c r="CY129" s="858"/>
      <c r="CZ129" s="858"/>
      <c r="DA129" s="858"/>
      <c r="DB129" s="858"/>
      <c r="DC129" s="858"/>
      <c r="DD129" s="858"/>
      <c r="DE129" s="858"/>
      <c r="DF129" s="858"/>
      <c r="DG129" s="858"/>
      <c r="DH129" s="858"/>
      <c r="DI129" s="858"/>
      <c r="DJ129" s="858"/>
      <c r="DK129" s="858"/>
      <c r="DL129" s="858"/>
      <c r="DM129" s="858"/>
      <c r="DN129" s="858"/>
      <c r="DO129" s="858"/>
      <c r="DP129" s="858"/>
      <c r="DQ129" s="858"/>
      <c r="DR129" s="858"/>
      <c r="DS129" s="858"/>
      <c r="DT129" s="858"/>
      <c r="DU129" s="858"/>
      <c r="DV129" s="858"/>
      <c r="DW129" s="858"/>
      <c r="DX129" s="858"/>
      <c r="DY129" s="858"/>
      <c r="DZ129" s="858"/>
      <c r="EA129" s="858"/>
      <c r="EB129" s="858"/>
      <c r="EC129" s="858"/>
      <c r="ED129" s="858"/>
      <c r="EE129" s="858"/>
      <c r="EF129" s="858"/>
      <c r="EG129" s="858"/>
      <c r="EH129" s="858"/>
      <c r="EI129" s="858"/>
      <c r="EJ129" s="858"/>
      <c r="EK129" s="858"/>
      <c r="EL129" s="858"/>
      <c r="EM129" s="858"/>
      <c r="EN129" s="858"/>
      <c r="EO129" s="858"/>
      <c r="EP129" s="858"/>
      <c r="EQ129" s="858"/>
      <c r="ER129" s="858"/>
      <c r="ES129" s="858"/>
      <c r="ET129" s="858"/>
      <c r="EU129" s="858"/>
      <c r="EV129" s="858"/>
      <c r="EW129" s="858"/>
      <c r="EX129" s="858"/>
      <c r="EY129" s="858"/>
      <c r="EZ129" s="858"/>
      <c r="FA129" s="858"/>
      <c r="FB129" s="858"/>
      <c r="FC129" s="858"/>
      <c r="FD129" s="858"/>
      <c r="FE129" s="858"/>
      <c r="FF129" s="858"/>
      <c r="FG129" s="858"/>
      <c r="FH129" s="858"/>
      <c r="FI129" s="858"/>
      <c r="FJ129" s="858"/>
      <c r="FK129" s="858"/>
      <c r="FL129" s="858"/>
      <c r="FM129" s="858"/>
      <c r="FN129" s="858"/>
      <c r="FO129" s="858"/>
      <c r="FP129" s="858"/>
      <c r="FQ129" s="858"/>
      <c r="FR129" s="858"/>
      <c r="FS129" s="858"/>
      <c r="FT129" s="858"/>
      <c r="FU129" s="858"/>
      <c r="FV129" s="858"/>
      <c r="FW129" s="858"/>
      <c r="FX129" s="858"/>
      <c r="FY129" s="858"/>
      <c r="FZ129" s="858"/>
      <c r="GA129" s="858"/>
      <c r="GB129" s="858"/>
      <c r="GC129" s="858"/>
      <c r="GD129" s="858"/>
      <c r="GE129" s="858"/>
      <c r="GF129" s="858"/>
      <c r="GG129" s="858"/>
      <c r="GH129" s="858"/>
      <c r="GI129" s="858"/>
      <c r="GJ129" s="858"/>
      <c r="GK129" s="858"/>
      <c r="GL129" s="858"/>
      <c r="GM129" s="858"/>
      <c r="GN129" s="858"/>
      <c r="GO129" s="858"/>
      <c r="GP129" s="858"/>
      <c r="GQ129" s="858"/>
      <c r="GR129" s="858"/>
      <c r="GS129" s="858"/>
      <c r="GT129" s="858"/>
      <c r="GU129" s="858"/>
      <c r="GV129" s="858"/>
      <c r="GW129" s="858"/>
      <c r="GX129" s="858"/>
      <c r="GY129" s="858"/>
      <c r="GZ129" s="858"/>
      <c r="HA129" s="858"/>
      <c r="HB129" s="858"/>
      <c r="HC129" s="858"/>
      <c r="HD129" s="858"/>
      <c r="HE129" s="858"/>
      <c r="HF129" s="858"/>
      <c r="HG129" s="858"/>
      <c r="HH129" s="858"/>
      <c r="HI129" s="858"/>
      <c r="HJ129" s="858"/>
      <c r="HK129" s="858"/>
      <c r="HL129" s="858"/>
      <c r="HM129" s="858"/>
      <c r="HN129" s="858"/>
      <c r="HO129" s="858"/>
      <c r="HP129" s="858"/>
      <c r="HQ129" s="858"/>
      <c r="HR129" s="858"/>
      <c r="HS129" s="858"/>
      <c r="HT129" s="858"/>
      <c r="HU129" s="858"/>
      <c r="HV129" s="858"/>
      <c r="HW129" s="858"/>
      <c r="HX129" s="858"/>
      <c r="HY129" s="858"/>
      <c r="HZ129" s="858"/>
      <c r="IA129" s="858"/>
      <c r="IB129" s="858"/>
      <c r="IC129" s="858"/>
      <c r="ID129" s="858"/>
      <c r="IE129" s="858"/>
      <c r="IF129" s="858"/>
      <c r="IG129" s="858"/>
      <c r="IH129" s="858"/>
      <c r="II129" s="858"/>
      <c r="IJ129" s="858"/>
      <c r="IK129" s="858"/>
      <c r="IL129" s="858"/>
      <c r="IM129" s="858"/>
    </row>
    <row r="130" spans="1:247" s="866" customFormat="1" ht="30" x14ac:dyDescent="0.3">
      <c r="A130" s="1154">
        <v>122</v>
      </c>
      <c r="B130" s="1146"/>
      <c r="C130" s="1155">
        <v>2</v>
      </c>
      <c r="D130" s="1162" t="s">
        <v>568</v>
      </c>
      <c r="E130" s="1149"/>
      <c r="F130" s="1178">
        <v>835</v>
      </c>
      <c r="G130" s="1175">
        <v>2831</v>
      </c>
      <c r="H130" s="1152">
        <v>868</v>
      </c>
      <c r="I130" s="1571">
        <v>0</v>
      </c>
      <c r="J130" s="1572"/>
      <c r="K130" s="1573">
        <f t="shared" si="1"/>
        <v>0</v>
      </c>
      <c r="L130" s="858"/>
      <c r="M130" s="858"/>
      <c r="N130" s="858"/>
      <c r="O130" s="858"/>
      <c r="P130" s="858"/>
      <c r="Q130" s="858"/>
      <c r="R130" s="858"/>
      <c r="S130" s="858"/>
      <c r="T130" s="858"/>
      <c r="U130" s="858"/>
      <c r="V130" s="858"/>
      <c r="W130" s="858"/>
      <c r="X130" s="858"/>
      <c r="Y130" s="858"/>
      <c r="Z130" s="858"/>
      <c r="AA130" s="858"/>
      <c r="AB130" s="858"/>
      <c r="AC130" s="858"/>
      <c r="AD130" s="858"/>
      <c r="AE130" s="858"/>
      <c r="AF130" s="858"/>
      <c r="AG130" s="858"/>
      <c r="AH130" s="858"/>
      <c r="AI130" s="858"/>
      <c r="AJ130" s="858"/>
      <c r="AK130" s="858"/>
      <c r="AL130" s="858"/>
      <c r="AM130" s="858"/>
      <c r="AN130" s="858"/>
      <c r="AO130" s="858"/>
      <c r="AP130" s="858"/>
      <c r="AQ130" s="858"/>
      <c r="AR130" s="858"/>
      <c r="AS130" s="858"/>
      <c r="AT130" s="858"/>
      <c r="AU130" s="858"/>
      <c r="AV130" s="858"/>
      <c r="AW130" s="858"/>
      <c r="AX130" s="858"/>
      <c r="AY130" s="858"/>
      <c r="AZ130" s="858"/>
      <c r="BA130" s="858"/>
      <c r="BB130" s="858"/>
      <c r="BC130" s="858"/>
      <c r="BD130" s="858"/>
      <c r="BE130" s="858"/>
      <c r="BF130" s="858"/>
      <c r="BG130" s="858"/>
      <c r="BH130" s="858"/>
      <c r="BI130" s="858"/>
      <c r="BJ130" s="858"/>
      <c r="BK130" s="858"/>
      <c r="BL130" s="858"/>
      <c r="BM130" s="858"/>
      <c r="BN130" s="858"/>
      <c r="BO130" s="858"/>
      <c r="BP130" s="858"/>
      <c r="BQ130" s="858"/>
      <c r="BR130" s="858"/>
      <c r="BS130" s="858"/>
      <c r="BT130" s="858"/>
      <c r="BU130" s="858"/>
      <c r="BV130" s="858"/>
      <c r="BW130" s="858"/>
      <c r="BX130" s="858"/>
      <c r="BY130" s="858"/>
      <c r="BZ130" s="858"/>
      <c r="CA130" s="858"/>
      <c r="CB130" s="858"/>
      <c r="CC130" s="858"/>
      <c r="CD130" s="858"/>
      <c r="CE130" s="858"/>
      <c r="CF130" s="858"/>
      <c r="CG130" s="858"/>
      <c r="CH130" s="858"/>
      <c r="CI130" s="858"/>
      <c r="CJ130" s="858"/>
      <c r="CK130" s="858"/>
      <c r="CL130" s="858"/>
      <c r="CM130" s="858"/>
      <c r="CN130" s="858"/>
      <c r="CO130" s="858"/>
      <c r="CP130" s="858"/>
      <c r="CQ130" s="858"/>
      <c r="CR130" s="858"/>
      <c r="CS130" s="858"/>
      <c r="CT130" s="858"/>
      <c r="CU130" s="858"/>
      <c r="CV130" s="858"/>
      <c r="CW130" s="858"/>
      <c r="CX130" s="858"/>
      <c r="CY130" s="858"/>
      <c r="CZ130" s="858"/>
      <c r="DA130" s="858"/>
      <c r="DB130" s="858"/>
      <c r="DC130" s="858"/>
      <c r="DD130" s="858"/>
      <c r="DE130" s="858"/>
      <c r="DF130" s="858"/>
      <c r="DG130" s="858"/>
      <c r="DH130" s="858"/>
      <c r="DI130" s="858"/>
      <c r="DJ130" s="858"/>
      <c r="DK130" s="858"/>
      <c r="DL130" s="858"/>
      <c r="DM130" s="858"/>
      <c r="DN130" s="858"/>
      <c r="DO130" s="858"/>
      <c r="DP130" s="858"/>
      <c r="DQ130" s="858"/>
      <c r="DR130" s="858"/>
      <c r="DS130" s="858"/>
      <c r="DT130" s="858"/>
      <c r="DU130" s="858"/>
      <c r="DV130" s="858"/>
      <c r="DW130" s="858"/>
      <c r="DX130" s="858"/>
      <c r="DY130" s="858"/>
      <c r="DZ130" s="858"/>
      <c r="EA130" s="858"/>
      <c r="EB130" s="858"/>
      <c r="EC130" s="858"/>
      <c r="ED130" s="858"/>
      <c r="EE130" s="858"/>
      <c r="EF130" s="858"/>
      <c r="EG130" s="858"/>
      <c r="EH130" s="858"/>
      <c r="EI130" s="858"/>
      <c r="EJ130" s="858"/>
      <c r="EK130" s="858"/>
      <c r="EL130" s="858"/>
      <c r="EM130" s="858"/>
      <c r="EN130" s="858"/>
      <c r="EO130" s="858"/>
      <c r="EP130" s="858"/>
      <c r="EQ130" s="858"/>
      <c r="ER130" s="858"/>
      <c r="ES130" s="858"/>
      <c r="ET130" s="858"/>
      <c r="EU130" s="858"/>
      <c r="EV130" s="858"/>
      <c r="EW130" s="858"/>
      <c r="EX130" s="858"/>
      <c r="EY130" s="858"/>
      <c r="EZ130" s="858"/>
      <c r="FA130" s="858"/>
      <c r="FB130" s="858"/>
      <c r="FC130" s="858"/>
      <c r="FD130" s="858"/>
      <c r="FE130" s="858"/>
      <c r="FF130" s="858"/>
      <c r="FG130" s="858"/>
      <c r="FH130" s="858"/>
      <c r="FI130" s="858"/>
      <c r="FJ130" s="858"/>
      <c r="FK130" s="858"/>
      <c r="FL130" s="858"/>
      <c r="FM130" s="858"/>
      <c r="FN130" s="858"/>
      <c r="FO130" s="858"/>
      <c r="FP130" s="858"/>
      <c r="FQ130" s="858"/>
      <c r="FR130" s="858"/>
      <c r="FS130" s="858"/>
      <c r="FT130" s="858"/>
      <c r="FU130" s="858"/>
      <c r="FV130" s="858"/>
      <c r="FW130" s="858"/>
      <c r="FX130" s="858"/>
      <c r="FY130" s="858"/>
      <c r="FZ130" s="858"/>
      <c r="GA130" s="858"/>
      <c r="GB130" s="858"/>
      <c r="GC130" s="858"/>
      <c r="GD130" s="858"/>
      <c r="GE130" s="858"/>
      <c r="GF130" s="858"/>
      <c r="GG130" s="858"/>
      <c r="GH130" s="858"/>
      <c r="GI130" s="858"/>
      <c r="GJ130" s="858"/>
      <c r="GK130" s="858"/>
      <c r="GL130" s="858"/>
      <c r="GM130" s="858"/>
      <c r="GN130" s="858"/>
      <c r="GO130" s="858"/>
      <c r="GP130" s="858"/>
      <c r="GQ130" s="858"/>
      <c r="GR130" s="858"/>
      <c r="GS130" s="858"/>
      <c r="GT130" s="858"/>
      <c r="GU130" s="858"/>
      <c r="GV130" s="858"/>
      <c r="GW130" s="858"/>
      <c r="GX130" s="858"/>
      <c r="GY130" s="858"/>
      <c r="GZ130" s="858"/>
      <c r="HA130" s="858"/>
      <c r="HB130" s="858"/>
      <c r="HC130" s="858"/>
      <c r="HD130" s="858"/>
      <c r="HE130" s="858"/>
      <c r="HF130" s="858"/>
      <c r="HG130" s="858"/>
      <c r="HH130" s="858"/>
      <c r="HI130" s="858"/>
      <c r="HJ130" s="858"/>
      <c r="HK130" s="858"/>
      <c r="HL130" s="858"/>
      <c r="HM130" s="858"/>
      <c r="HN130" s="858"/>
      <c r="HO130" s="858"/>
      <c r="HP130" s="858"/>
      <c r="HQ130" s="858"/>
      <c r="HR130" s="858"/>
      <c r="HS130" s="858"/>
      <c r="HT130" s="858"/>
      <c r="HU130" s="858"/>
      <c r="HV130" s="858"/>
      <c r="HW130" s="858"/>
      <c r="HX130" s="858"/>
      <c r="HY130" s="858"/>
      <c r="HZ130" s="858"/>
      <c r="IA130" s="858"/>
      <c r="IB130" s="858"/>
      <c r="IC130" s="858"/>
      <c r="ID130" s="858"/>
      <c r="IE130" s="858"/>
      <c r="IF130" s="858"/>
      <c r="IG130" s="858"/>
      <c r="IH130" s="858"/>
      <c r="II130" s="858"/>
      <c r="IJ130" s="858"/>
      <c r="IK130" s="858"/>
      <c r="IL130" s="858"/>
      <c r="IM130" s="858"/>
    </row>
    <row r="131" spans="1:247" s="866" customFormat="1" x14ac:dyDescent="0.3">
      <c r="A131" s="1145">
        <v>123</v>
      </c>
      <c r="B131" s="1146">
        <v>15</v>
      </c>
      <c r="C131" s="1165" t="s">
        <v>148</v>
      </c>
      <c r="D131" s="1148"/>
      <c r="E131" s="1149" t="s">
        <v>24</v>
      </c>
      <c r="F131" s="1150">
        <v>22457</v>
      </c>
      <c r="G131" s="1151">
        <v>2000</v>
      </c>
      <c r="H131" s="1152">
        <v>25055</v>
      </c>
      <c r="I131" s="1567"/>
      <c r="J131" s="1574"/>
      <c r="K131" s="1573"/>
      <c r="L131" s="858"/>
      <c r="M131" s="858"/>
      <c r="N131" s="858"/>
      <c r="O131" s="858"/>
      <c r="P131" s="858"/>
      <c r="Q131" s="858"/>
      <c r="R131" s="858"/>
      <c r="S131" s="858"/>
      <c r="T131" s="858"/>
      <c r="U131" s="858"/>
      <c r="V131" s="858"/>
      <c r="W131" s="858"/>
      <c r="X131" s="858"/>
      <c r="Y131" s="858"/>
      <c r="Z131" s="858"/>
      <c r="AA131" s="858"/>
      <c r="AB131" s="858"/>
      <c r="AC131" s="858"/>
      <c r="AD131" s="858"/>
      <c r="AE131" s="858"/>
      <c r="AF131" s="858"/>
      <c r="AG131" s="858"/>
      <c r="AH131" s="858"/>
      <c r="AI131" s="858"/>
      <c r="AJ131" s="858"/>
      <c r="AK131" s="858"/>
      <c r="AL131" s="858"/>
      <c r="AM131" s="858"/>
      <c r="AN131" s="858"/>
      <c r="AO131" s="858"/>
      <c r="AP131" s="858"/>
      <c r="AQ131" s="858"/>
      <c r="AR131" s="858"/>
      <c r="AS131" s="858"/>
      <c r="AT131" s="858"/>
      <c r="AU131" s="858"/>
      <c r="AV131" s="858"/>
      <c r="AW131" s="858"/>
      <c r="AX131" s="858"/>
      <c r="AY131" s="858"/>
      <c r="AZ131" s="858"/>
      <c r="BA131" s="858"/>
      <c r="BB131" s="858"/>
      <c r="BC131" s="858"/>
      <c r="BD131" s="858"/>
      <c r="BE131" s="858"/>
      <c r="BF131" s="858"/>
      <c r="BG131" s="858"/>
      <c r="BH131" s="858"/>
      <c r="BI131" s="858"/>
      <c r="BJ131" s="858"/>
      <c r="BK131" s="858"/>
      <c r="BL131" s="858"/>
      <c r="BM131" s="858"/>
      <c r="BN131" s="858"/>
      <c r="BO131" s="858"/>
      <c r="BP131" s="858"/>
      <c r="BQ131" s="858"/>
      <c r="BR131" s="858"/>
      <c r="BS131" s="858"/>
      <c r="BT131" s="858"/>
      <c r="BU131" s="858"/>
      <c r="BV131" s="858"/>
      <c r="BW131" s="858"/>
      <c r="BX131" s="858"/>
      <c r="BY131" s="858"/>
      <c r="BZ131" s="858"/>
      <c r="CA131" s="858"/>
      <c r="CB131" s="858"/>
      <c r="CC131" s="858"/>
      <c r="CD131" s="858"/>
      <c r="CE131" s="858"/>
      <c r="CF131" s="858"/>
      <c r="CG131" s="858"/>
      <c r="CH131" s="858"/>
      <c r="CI131" s="858"/>
      <c r="CJ131" s="858"/>
      <c r="CK131" s="858"/>
      <c r="CL131" s="858"/>
      <c r="CM131" s="858"/>
      <c r="CN131" s="858"/>
      <c r="CO131" s="858"/>
      <c r="CP131" s="858"/>
      <c r="CQ131" s="858"/>
      <c r="CR131" s="858"/>
      <c r="CS131" s="858"/>
      <c r="CT131" s="858"/>
      <c r="CU131" s="858"/>
      <c r="CV131" s="858"/>
      <c r="CW131" s="858"/>
      <c r="CX131" s="858"/>
      <c r="CY131" s="858"/>
      <c r="CZ131" s="858"/>
      <c r="DA131" s="858"/>
      <c r="DB131" s="858"/>
      <c r="DC131" s="858"/>
      <c r="DD131" s="858"/>
      <c r="DE131" s="858"/>
      <c r="DF131" s="858"/>
      <c r="DG131" s="858"/>
      <c r="DH131" s="858"/>
      <c r="DI131" s="858"/>
      <c r="DJ131" s="858"/>
      <c r="DK131" s="858"/>
      <c r="DL131" s="858"/>
      <c r="DM131" s="858"/>
      <c r="DN131" s="858"/>
      <c r="DO131" s="858"/>
      <c r="DP131" s="858"/>
      <c r="DQ131" s="858"/>
      <c r="DR131" s="858"/>
      <c r="DS131" s="858"/>
      <c r="DT131" s="858"/>
      <c r="DU131" s="858"/>
      <c r="DV131" s="858"/>
      <c r="DW131" s="858"/>
      <c r="DX131" s="858"/>
      <c r="DY131" s="858"/>
      <c r="DZ131" s="858"/>
      <c r="EA131" s="858"/>
      <c r="EB131" s="858"/>
      <c r="EC131" s="858"/>
      <c r="ED131" s="858"/>
      <c r="EE131" s="858"/>
      <c r="EF131" s="858"/>
      <c r="EG131" s="858"/>
      <c r="EH131" s="858"/>
      <c r="EI131" s="858"/>
      <c r="EJ131" s="858"/>
      <c r="EK131" s="858"/>
      <c r="EL131" s="858"/>
      <c r="EM131" s="858"/>
      <c r="EN131" s="858"/>
      <c r="EO131" s="858"/>
      <c r="EP131" s="858"/>
      <c r="EQ131" s="858"/>
      <c r="ER131" s="858"/>
      <c r="ES131" s="858"/>
      <c r="ET131" s="858"/>
      <c r="EU131" s="858"/>
      <c r="EV131" s="858"/>
      <c r="EW131" s="858"/>
      <c r="EX131" s="858"/>
      <c r="EY131" s="858"/>
      <c r="EZ131" s="858"/>
      <c r="FA131" s="858"/>
      <c r="FB131" s="858"/>
      <c r="FC131" s="858"/>
      <c r="FD131" s="858"/>
      <c r="FE131" s="858"/>
      <c r="FF131" s="858"/>
      <c r="FG131" s="858"/>
      <c r="FH131" s="858"/>
      <c r="FI131" s="858"/>
      <c r="FJ131" s="858"/>
      <c r="FK131" s="858"/>
      <c r="FL131" s="858"/>
      <c r="FM131" s="858"/>
      <c r="FN131" s="858"/>
      <c r="FO131" s="858"/>
      <c r="FP131" s="858"/>
      <c r="FQ131" s="858"/>
      <c r="FR131" s="858"/>
      <c r="FS131" s="858"/>
      <c r="FT131" s="858"/>
      <c r="FU131" s="858"/>
      <c r="FV131" s="858"/>
      <c r="FW131" s="858"/>
      <c r="FX131" s="858"/>
      <c r="FY131" s="858"/>
      <c r="FZ131" s="858"/>
      <c r="GA131" s="858"/>
      <c r="GB131" s="858"/>
      <c r="GC131" s="858"/>
      <c r="GD131" s="858"/>
      <c r="GE131" s="858"/>
      <c r="GF131" s="858"/>
      <c r="GG131" s="858"/>
      <c r="GH131" s="858"/>
      <c r="GI131" s="858"/>
      <c r="GJ131" s="858"/>
      <c r="GK131" s="858"/>
      <c r="GL131" s="858"/>
      <c r="GM131" s="858"/>
      <c r="GN131" s="858"/>
      <c r="GO131" s="858"/>
      <c r="GP131" s="858"/>
      <c r="GQ131" s="858"/>
      <c r="GR131" s="858"/>
      <c r="GS131" s="858"/>
      <c r="GT131" s="858"/>
      <c r="GU131" s="858"/>
      <c r="GV131" s="858"/>
      <c r="GW131" s="858"/>
      <c r="GX131" s="858"/>
      <c r="GY131" s="858"/>
      <c r="GZ131" s="858"/>
      <c r="HA131" s="858"/>
      <c r="HB131" s="858"/>
      <c r="HC131" s="858"/>
      <c r="HD131" s="858"/>
      <c r="HE131" s="858"/>
      <c r="HF131" s="858"/>
      <c r="HG131" s="858"/>
      <c r="HH131" s="858"/>
      <c r="HI131" s="858"/>
      <c r="HJ131" s="858"/>
      <c r="HK131" s="858"/>
      <c r="HL131" s="858"/>
      <c r="HM131" s="858"/>
      <c r="HN131" s="858"/>
      <c r="HO131" s="858"/>
      <c r="HP131" s="858"/>
      <c r="HQ131" s="858"/>
      <c r="HR131" s="858"/>
      <c r="HS131" s="858"/>
      <c r="HT131" s="858"/>
      <c r="HU131" s="858"/>
      <c r="HV131" s="858"/>
      <c r="HW131" s="858"/>
      <c r="HX131" s="858"/>
      <c r="HY131" s="858"/>
      <c r="HZ131" s="858"/>
      <c r="IA131" s="858"/>
      <c r="IB131" s="858"/>
      <c r="IC131" s="858"/>
      <c r="ID131" s="858"/>
      <c r="IE131" s="858"/>
      <c r="IF131" s="858"/>
      <c r="IG131" s="858"/>
      <c r="IH131" s="858"/>
      <c r="II131" s="858"/>
      <c r="IJ131" s="858"/>
      <c r="IK131" s="858"/>
      <c r="IL131" s="858"/>
      <c r="IM131" s="858"/>
    </row>
    <row r="132" spans="1:247" x14ac:dyDescent="0.3">
      <c r="A132" s="1154">
        <v>124</v>
      </c>
      <c r="B132" s="1146"/>
      <c r="C132" s="1161">
        <v>1</v>
      </c>
      <c r="D132" s="1156" t="s">
        <v>671</v>
      </c>
      <c r="E132" s="1149"/>
      <c r="F132" s="1157"/>
      <c r="G132" s="1158"/>
      <c r="H132" s="1159"/>
      <c r="I132" s="1571">
        <v>3000</v>
      </c>
      <c r="J132" s="1572"/>
      <c r="K132" s="1573">
        <f t="shared" si="1"/>
        <v>3000</v>
      </c>
    </row>
    <row r="133" spans="1:247" ht="30" x14ac:dyDescent="0.3">
      <c r="A133" s="1145">
        <v>125</v>
      </c>
      <c r="B133" s="1146"/>
      <c r="C133" s="1186">
        <v>2</v>
      </c>
      <c r="D133" s="1162" t="s">
        <v>996</v>
      </c>
      <c r="E133" s="1149"/>
      <c r="F133" s="1157"/>
      <c r="G133" s="1158"/>
      <c r="H133" s="1159"/>
      <c r="I133" s="1571"/>
      <c r="J133" s="1572">
        <v>3000</v>
      </c>
      <c r="K133" s="1573">
        <f t="shared" si="1"/>
        <v>3000</v>
      </c>
    </row>
    <row r="134" spans="1:247" x14ac:dyDescent="0.3">
      <c r="A134" s="1154">
        <v>126</v>
      </c>
      <c r="B134" s="1146">
        <v>16</v>
      </c>
      <c r="C134" s="1179" t="s">
        <v>259</v>
      </c>
      <c r="D134" s="1148"/>
      <c r="E134" s="1149" t="s">
        <v>23</v>
      </c>
      <c r="F134" s="1150">
        <v>9248</v>
      </c>
      <c r="G134" s="1151"/>
      <c r="H134" s="1152">
        <v>4398</v>
      </c>
      <c r="I134" s="1567"/>
      <c r="J134" s="1574"/>
      <c r="K134" s="1573"/>
    </row>
    <row r="135" spans="1:247" ht="30" x14ac:dyDescent="0.3">
      <c r="A135" s="1145">
        <v>127</v>
      </c>
      <c r="B135" s="1180"/>
      <c r="C135" s="1155">
        <v>1</v>
      </c>
      <c r="D135" s="1156" t="s">
        <v>997</v>
      </c>
      <c r="E135" s="1181"/>
      <c r="F135" s="1182"/>
      <c r="G135" s="1183"/>
      <c r="H135" s="1184"/>
      <c r="I135" s="1583">
        <f>70+50</f>
        <v>120</v>
      </c>
      <c r="J135" s="1572">
        <v>250</v>
      </c>
      <c r="K135" s="1573">
        <f t="shared" si="1"/>
        <v>370</v>
      </c>
    </row>
    <row r="136" spans="1:247" x14ac:dyDescent="0.3">
      <c r="A136" s="1154">
        <v>128</v>
      </c>
      <c r="B136" s="1180"/>
      <c r="C136" s="1161">
        <v>2</v>
      </c>
      <c r="D136" s="1156" t="s">
        <v>694</v>
      </c>
      <c r="E136" s="1181"/>
      <c r="F136" s="1182"/>
      <c r="G136" s="1183"/>
      <c r="H136" s="1184"/>
      <c r="I136" s="1583">
        <v>1500</v>
      </c>
      <c r="J136" s="1572"/>
      <c r="K136" s="1573">
        <f t="shared" si="1"/>
        <v>1500</v>
      </c>
    </row>
    <row r="137" spans="1:247" x14ac:dyDescent="0.3">
      <c r="A137" s="1145">
        <v>129</v>
      </c>
      <c r="B137" s="1180"/>
      <c r="C137" s="1161">
        <v>3</v>
      </c>
      <c r="D137" s="1156" t="s">
        <v>695</v>
      </c>
      <c r="E137" s="1181"/>
      <c r="F137" s="1182"/>
      <c r="G137" s="1183"/>
      <c r="H137" s="1184"/>
      <c r="I137" s="1583">
        <v>1200</v>
      </c>
      <c r="J137" s="1572"/>
      <c r="K137" s="1584">
        <f>SUM(I137:J137)</f>
        <v>1200</v>
      </c>
    </row>
    <row r="138" spans="1:247" ht="30" x14ac:dyDescent="0.3">
      <c r="A138" s="1154">
        <v>130</v>
      </c>
      <c r="B138" s="1585"/>
      <c r="C138" s="1586">
        <v>4</v>
      </c>
      <c r="D138" s="1587" t="s">
        <v>998</v>
      </c>
      <c r="E138" s="1588"/>
      <c r="F138" s="1589"/>
      <c r="G138" s="1590"/>
      <c r="H138" s="1591"/>
      <c r="I138" s="1592"/>
      <c r="J138" s="1572">
        <f>300+1080+50</f>
        <v>1430</v>
      </c>
      <c r="K138" s="1573">
        <f t="shared" si="1"/>
        <v>1430</v>
      </c>
    </row>
    <row r="139" spans="1:247" x14ac:dyDescent="0.3">
      <c r="A139" s="1145">
        <v>131</v>
      </c>
      <c r="B139" s="1593"/>
      <c r="C139" s="1594">
        <v>5</v>
      </c>
      <c r="D139" s="1595" t="s">
        <v>999</v>
      </c>
      <c r="E139" s="1596"/>
      <c r="F139" s="1597"/>
      <c r="G139" s="1598"/>
      <c r="H139" s="1599"/>
      <c r="I139" s="1600"/>
      <c r="J139" s="1572">
        <v>220</v>
      </c>
      <c r="K139" s="1573">
        <f t="shared" si="1"/>
        <v>220</v>
      </c>
    </row>
    <row r="140" spans="1:247" ht="15.75" thickBot="1" x14ac:dyDescent="0.35">
      <c r="A140" s="1154">
        <v>132</v>
      </c>
      <c r="B140" s="1593"/>
      <c r="C140" s="1594">
        <v>6</v>
      </c>
      <c r="D140" s="1595" t="s">
        <v>1000</v>
      </c>
      <c r="E140" s="1596"/>
      <c r="F140" s="1597"/>
      <c r="G140" s="1598"/>
      <c r="H140" s="1599"/>
      <c r="I140" s="1600"/>
      <c r="J140" s="1601">
        <v>120</v>
      </c>
      <c r="K140" s="1573">
        <f t="shared" si="1"/>
        <v>120</v>
      </c>
    </row>
    <row r="141" spans="1:247" ht="16.5" thickTop="1" thickBot="1" x14ac:dyDescent="0.35">
      <c r="A141" s="1145">
        <v>133</v>
      </c>
      <c r="B141" s="2025" t="s">
        <v>506</v>
      </c>
      <c r="C141" s="2026"/>
      <c r="D141" s="2027"/>
      <c r="E141" s="904"/>
      <c r="F141" s="905">
        <f t="shared" ref="F141:K141" si="2">SUM(F9:F140)</f>
        <v>253498</v>
      </c>
      <c r="G141" s="906">
        <f t="shared" si="2"/>
        <v>32671</v>
      </c>
      <c r="H141" s="907">
        <f t="shared" si="2"/>
        <v>154154</v>
      </c>
      <c r="I141" s="1602">
        <f t="shared" si="2"/>
        <v>112203</v>
      </c>
      <c r="J141" s="1603">
        <f t="shared" si="2"/>
        <v>96403</v>
      </c>
      <c r="K141" s="1604">
        <f t="shared" si="2"/>
        <v>208606</v>
      </c>
    </row>
    <row r="142" spans="1:247" x14ac:dyDescent="0.3">
      <c r="A142" s="1154">
        <v>134</v>
      </c>
      <c r="B142" s="1146">
        <v>17</v>
      </c>
      <c r="C142" s="1185" t="s">
        <v>26</v>
      </c>
      <c r="D142" s="1148"/>
      <c r="E142" s="1149" t="s">
        <v>23</v>
      </c>
      <c r="F142" s="1150">
        <f>23823-F151</f>
        <v>1718</v>
      </c>
      <c r="G142" s="1151">
        <f>34365-G151</f>
        <v>15985</v>
      </c>
      <c r="H142" s="1152"/>
      <c r="I142" s="1567"/>
      <c r="J142" s="1568"/>
      <c r="K142" s="1569"/>
    </row>
    <row r="143" spans="1:247" x14ac:dyDescent="0.3">
      <c r="A143" s="1145">
        <v>135</v>
      </c>
      <c r="B143" s="1146"/>
      <c r="C143" s="1166"/>
      <c r="D143" s="1148" t="s">
        <v>157</v>
      </c>
      <c r="E143" s="1149"/>
      <c r="F143" s="1150"/>
      <c r="G143" s="1151"/>
      <c r="H143" s="1152">
        <v>2257</v>
      </c>
      <c r="I143" s="1567"/>
      <c r="J143" s="1574"/>
      <c r="K143" s="1605"/>
    </row>
    <row r="144" spans="1:247" x14ac:dyDescent="0.3">
      <c r="A144" s="1154">
        <v>136</v>
      </c>
      <c r="B144" s="1146"/>
      <c r="C144" s="1186">
        <v>1</v>
      </c>
      <c r="D144" s="1156" t="s">
        <v>696</v>
      </c>
      <c r="E144" s="1149"/>
      <c r="F144" s="1157"/>
      <c r="G144" s="1158"/>
      <c r="H144" s="1159"/>
      <c r="I144" s="1571">
        <v>1524</v>
      </c>
      <c r="J144" s="1572"/>
      <c r="K144" s="1573">
        <f t="shared" ref="K144:K151" si="3">SUM(I144:J144)</f>
        <v>1524</v>
      </c>
    </row>
    <row r="145" spans="1:11" x14ac:dyDescent="0.3">
      <c r="A145" s="1145">
        <v>137</v>
      </c>
      <c r="B145" s="1146"/>
      <c r="C145" s="1186">
        <v>2</v>
      </c>
      <c r="D145" s="1156" t="s">
        <v>1001</v>
      </c>
      <c r="E145" s="1149"/>
      <c r="F145" s="1157"/>
      <c r="G145" s="1158"/>
      <c r="H145" s="1159"/>
      <c r="I145" s="1571">
        <v>8001</v>
      </c>
      <c r="J145" s="1572"/>
      <c r="K145" s="1573">
        <f t="shared" si="3"/>
        <v>8001</v>
      </c>
    </row>
    <row r="146" spans="1:11" x14ac:dyDescent="0.3">
      <c r="A146" s="1154">
        <v>138</v>
      </c>
      <c r="B146" s="1146"/>
      <c r="C146" s="1186">
        <v>3</v>
      </c>
      <c r="D146" s="1156" t="s">
        <v>377</v>
      </c>
      <c r="E146" s="1149"/>
      <c r="F146" s="1157"/>
      <c r="G146" s="1158"/>
      <c r="H146" s="1159"/>
      <c r="I146" s="1571">
        <v>381</v>
      </c>
      <c r="J146" s="1572"/>
      <c r="K146" s="1573">
        <f t="shared" si="3"/>
        <v>381</v>
      </c>
    </row>
    <row r="147" spans="1:11" x14ac:dyDescent="0.3">
      <c r="A147" s="1145">
        <v>139</v>
      </c>
      <c r="B147" s="1146"/>
      <c r="C147" s="1186">
        <v>4</v>
      </c>
      <c r="D147" s="1156" t="s">
        <v>697</v>
      </c>
      <c r="E147" s="1149"/>
      <c r="F147" s="1157"/>
      <c r="G147" s="1158"/>
      <c r="H147" s="1159"/>
      <c r="I147" s="1571">
        <v>2000</v>
      </c>
      <c r="J147" s="1572"/>
      <c r="K147" s="1573">
        <f t="shared" si="3"/>
        <v>2000</v>
      </c>
    </row>
    <row r="148" spans="1:11" ht="30" x14ac:dyDescent="0.3">
      <c r="A148" s="1154">
        <v>140</v>
      </c>
      <c r="B148" s="1146"/>
      <c r="C148" s="1606">
        <v>5</v>
      </c>
      <c r="D148" s="1156" t="s">
        <v>1002</v>
      </c>
      <c r="E148" s="1149"/>
      <c r="F148" s="1157"/>
      <c r="G148" s="1158"/>
      <c r="H148" s="1159"/>
      <c r="I148" s="1571">
        <v>1905</v>
      </c>
      <c r="J148" s="1572">
        <f>6461-200</f>
        <v>6261</v>
      </c>
      <c r="K148" s="1573">
        <f t="shared" si="3"/>
        <v>8166</v>
      </c>
    </row>
    <row r="149" spans="1:11" x14ac:dyDescent="0.3">
      <c r="A149" s="1145">
        <v>141</v>
      </c>
      <c r="B149" s="1146"/>
      <c r="C149" s="1149">
        <v>6</v>
      </c>
      <c r="D149" s="1156" t="s">
        <v>698</v>
      </c>
      <c r="E149" s="1149"/>
      <c r="F149" s="1157"/>
      <c r="G149" s="1158"/>
      <c r="H149" s="1159"/>
      <c r="I149" s="1571">
        <v>95</v>
      </c>
      <c r="J149" s="1572">
        <v>200</v>
      </c>
      <c r="K149" s="1573">
        <f t="shared" si="3"/>
        <v>295</v>
      </c>
    </row>
    <row r="150" spans="1:11" x14ac:dyDescent="0.3">
      <c r="A150" s="1154">
        <v>142</v>
      </c>
      <c r="B150" s="1146"/>
      <c r="C150" s="1186"/>
      <c r="D150" s="1148" t="s">
        <v>699</v>
      </c>
      <c r="E150" s="1149"/>
      <c r="F150" s="1157"/>
      <c r="G150" s="1158"/>
      <c r="H150" s="1159"/>
      <c r="I150" s="1571"/>
      <c r="J150" s="1572"/>
      <c r="K150" s="1573"/>
    </row>
    <row r="151" spans="1:11" ht="15.75" thickBot="1" x14ac:dyDescent="0.35">
      <c r="A151" s="1145">
        <v>143</v>
      </c>
      <c r="B151" s="1146"/>
      <c r="C151" s="1149">
        <v>7</v>
      </c>
      <c r="D151" s="1156" t="s">
        <v>33</v>
      </c>
      <c r="E151" s="1149"/>
      <c r="F151" s="1157">
        <v>22105</v>
      </c>
      <c r="G151" s="1158">
        <v>18380</v>
      </c>
      <c r="H151" s="1159">
        <v>14849</v>
      </c>
      <c r="I151" s="1571">
        <v>20100</v>
      </c>
      <c r="J151" s="1601">
        <v>9225</v>
      </c>
      <c r="K151" s="1584">
        <f t="shared" si="3"/>
        <v>29325</v>
      </c>
    </row>
    <row r="152" spans="1:11" ht="16.5" thickTop="1" thickBot="1" x14ac:dyDescent="0.35">
      <c r="A152" s="1154">
        <v>144</v>
      </c>
      <c r="B152" s="2025" t="s">
        <v>507</v>
      </c>
      <c r="C152" s="2026"/>
      <c r="D152" s="2027"/>
      <c r="E152" s="904"/>
      <c r="F152" s="905">
        <f>SUM(F142:F151)</f>
        <v>23823</v>
      </c>
      <c r="G152" s="906">
        <f>SUM(G142:G151)</f>
        <v>34365</v>
      </c>
      <c r="H152" s="907">
        <f>SUM(H142:H151)</f>
        <v>17106</v>
      </c>
      <c r="I152" s="1602">
        <f>SUM(I142:I151)</f>
        <v>34006</v>
      </c>
      <c r="J152" s="1603">
        <f t="shared" ref="J152:K152" si="4">SUM(J142:J151)</f>
        <v>15686</v>
      </c>
      <c r="K152" s="1604">
        <f t="shared" si="4"/>
        <v>49692</v>
      </c>
    </row>
    <row r="153" spans="1:11" ht="15.75" thickBot="1" x14ac:dyDescent="0.35">
      <c r="A153" s="1145">
        <v>145</v>
      </c>
      <c r="B153" s="2028" t="s">
        <v>508</v>
      </c>
      <c r="C153" s="2029"/>
      <c r="D153" s="2030"/>
      <c r="E153" s="908"/>
      <c r="F153" s="909">
        <f>SUM(F152,F141)</f>
        <v>277321</v>
      </c>
      <c r="G153" s="910">
        <f>SUM(G152,G141)</f>
        <v>67036</v>
      </c>
      <c r="H153" s="911">
        <f>SUM(H152,H141)</f>
        <v>171260</v>
      </c>
      <c r="I153" s="1607">
        <f>SUM(I152,I141)</f>
        <v>146209</v>
      </c>
      <c r="J153" s="1608">
        <f t="shared" ref="J153:K153" si="5">SUM(J152,J141)</f>
        <v>112089</v>
      </c>
      <c r="K153" s="1609">
        <f t="shared" si="5"/>
        <v>258298</v>
      </c>
    </row>
    <row r="154" spans="1:11" x14ac:dyDescent="0.3">
      <c r="B154" s="987"/>
      <c r="C154" s="988" t="s">
        <v>27</v>
      </c>
      <c r="D154" s="987"/>
      <c r="E154" s="989"/>
      <c r="F154" s="902"/>
      <c r="G154" s="903"/>
      <c r="H154" s="865"/>
      <c r="I154" s="865"/>
      <c r="J154" s="1610"/>
    </row>
    <row r="155" spans="1:11" x14ac:dyDescent="0.3">
      <c r="B155" s="987" t="s">
        <v>28</v>
      </c>
      <c r="C155" s="987"/>
      <c r="D155" s="987"/>
      <c r="E155" s="989"/>
      <c r="F155" s="990"/>
      <c r="G155" s="903"/>
      <c r="H155" s="865"/>
      <c r="I155" s="865"/>
      <c r="J155" s="1610"/>
    </row>
    <row r="156" spans="1:11" x14ac:dyDescent="0.3">
      <c r="B156" s="987" t="s">
        <v>29</v>
      </c>
      <c r="C156" s="987"/>
      <c r="D156" s="987"/>
      <c r="E156" s="989"/>
      <c r="F156" s="990"/>
      <c r="G156" s="903"/>
      <c r="H156" s="865"/>
      <c r="I156" s="865"/>
      <c r="J156" s="1610"/>
    </row>
  </sheetData>
  <mergeCells count="17">
    <mergeCell ref="J7:J8"/>
    <mergeCell ref="K7:K8"/>
    <mergeCell ref="B141:D141"/>
    <mergeCell ref="B152:D152"/>
    <mergeCell ref="B153:D153"/>
    <mergeCell ref="B1:D1"/>
    <mergeCell ref="B3:I3"/>
    <mergeCell ref="B4:I4"/>
    <mergeCell ref="B7:B8"/>
    <mergeCell ref="C7:C8"/>
    <mergeCell ref="D7:D8"/>
    <mergeCell ref="E7:E8"/>
    <mergeCell ref="F7:F8"/>
    <mergeCell ref="G7:G8"/>
    <mergeCell ref="H7:H8"/>
    <mergeCell ref="I7:I8"/>
    <mergeCell ref="B2:F2"/>
  </mergeCells>
  <printOptions horizontalCentered="1"/>
  <pageMargins left="0.19685039370078741" right="0.19685039370078741" top="0.59055118110236227" bottom="0.39370078740157483" header="0.51181102362204722" footer="0.31496062992125984"/>
  <pageSetup paperSize="9" scale="59" fitToHeight="0" orientation="portrait" r:id="rId1"/>
  <headerFooter alignWithMargins="0">
    <oddFooter>&amp;C-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0"/>
  <sheetViews>
    <sheetView view="pageBreakPreview" zoomScaleNormal="75" zoomScaleSheetLayoutView="100" workbookViewId="0">
      <selection activeCell="B2" sqref="B2:F2"/>
    </sheetView>
  </sheetViews>
  <sheetFormatPr defaultColWidth="9.140625" defaultRowHeight="17.25" x14ac:dyDescent="0.35"/>
  <cols>
    <col min="1" max="1" width="3.7109375" style="572" customWidth="1"/>
    <col min="2" max="2" width="5.7109375" style="3" customWidth="1"/>
    <col min="3" max="3" width="5.7109375" style="7" customWidth="1"/>
    <col min="4" max="4" width="87.7109375" style="12" customWidth="1"/>
    <col min="5" max="7" width="11.7109375" style="4" customWidth="1"/>
    <col min="8" max="8" width="6.7109375" style="3" customWidth="1"/>
    <col min="9" max="9" width="12.7109375" style="11" customWidth="1"/>
    <col min="10" max="14" width="12.7109375" style="361" customWidth="1"/>
    <col min="15" max="15" width="9.28515625" style="4" bestFit="1" customWidth="1"/>
    <col min="16" max="16384" width="9.140625" style="4"/>
  </cols>
  <sheetData>
    <row r="1" spans="1:16" ht="16.5" x14ac:dyDescent="0.3">
      <c r="A1" s="870"/>
      <c r="B1" s="2031" t="s">
        <v>908</v>
      </c>
      <c r="C1" s="2031"/>
      <c r="D1" s="2031"/>
      <c r="G1" s="2032"/>
      <c r="H1" s="2032"/>
      <c r="I1" s="2032"/>
      <c r="J1" s="871"/>
      <c r="K1" s="871"/>
      <c r="L1" s="871"/>
      <c r="M1" s="871"/>
      <c r="N1" s="871"/>
    </row>
    <row r="2" spans="1:16" s="141" customFormat="1" ht="16.5" x14ac:dyDescent="0.3">
      <c r="A2" s="126"/>
      <c r="B2" s="1896"/>
      <c r="C2" s="1896"/>
      <c r="D2" s="1896"/>
      <c r="E2" s="1896"/>
      <c r="F2" s="1896"/>
      <c r="G2" s="118"/>
      <c r="H2" s="118"/>
      <c r="I2" s="118"/>
      <c r="J2" s="282"/>
    </row>
    <row r="3" spans="1:16" ht="24.75" customHeight="1" x14ac:dyDescent="0.35">
      <c r="A3" s="870"/>
      <c r="B3" s="2033" t="s">
        <v>14</v>
      </c>
      <c r="C3" s="2033"/>
      <c r="D3" s="2033"/>
      <c r="E3" s="2033"/>
      <c r="F3" s="2033"/>
      <c r="G3" s="2033"/>
      <c r="H3" s="2033"/>
      <c r="I3" s="2033"/>
      <c r="J3" s="2033"/>
      <c r="K3" s="2033"/>
      <c r="L3" s="2033"/>
      <c r="M3" s="2033"/>
      <c r="N3" s="2033"/>
    </row>
    <row r="4" spans="1:16" s="6" customFormat="1" ht="24.75" customHeight="1" x14ac:dyDescent="0.2">
      <c r="A4" s="870"/>
      <c r="B4" s="2034" t="s">
        <v>756</v>
      </c>
      <c r="C4" s="2034"/>
      <c r="D4" s="2034"/>
      <c r="E4" s="2034"/>
      <c r="F4" s="2034"/>
      <c r="G4" s="2034"/>
      <c r="H4" s="2034"/>
      <c r="I4" s="2034"/>
      <c r="J4" s="2034"/>
      <c r="K4" s="2034"/>
      <c r="L4" s="2034"/>
      <c r="M4" s="2034"/>
      <c r="N4" s="2034"/>
    </row>
    <row r="5" spans="1:16" s="359" customFormat="1" ht="15" x14ac:dyDescent="0.3">
      <c r="A5" s="869"/>
      <c r="B5" s="872"/>
      <c r="C5" s="873"/>
      <c r="D5" s="874"/>
      <c r="G5" s="875"/>
      <c r="H5" s="876"/>
      <c r="I5" s="877"/>
      <c r="J5" s="846"/>
      <c r="K5" s="846"/>
      <c r="L5" s="846"/>
      <c r="M5" s="2035" t="s">
        <v>0</v>
      </c>
      <c r="N5" s="2035"/>
    </row>
    <row r="6" spans="1:16" s="110" customFormat="1" ht="15" thickBot="1" x14ac:dyDescent="0.35">
      <c r="A6" s="878"/>
      <c r="B6" s="110" t="s">
        <v>1</v>
      </c>
      <c r="C6" s="879" t="s">
        <v>3</v>
      </c>
      <c r="D6" s="880" t="s">
        <v>2</v>
      </c>
      <c r="E6" s="110" t="s">
        <v>4</v>
      </c>
      <c r="F6" s="110" t="s">
        <v>5</v>
      </c>
      <c r="G6" s="110" t="s">
        <v>15</v>
      </c>
      <c r="H6" s="881" t="s">
        <v>16</v>
      </c>
      <c r="I6" s="879" t="s">
        <v>17</v>
      </c>
      <c r="J6" s="879" t="s">
        <v>34</v>
      </c>
      <c r="K6" s="879" t="s">
        <v>30</v>
      </c>
      <c r="L6" s="879" t="s">
        <v>23</v>
      </c>
      <c r="M6" s="879" t="s">
        <v>35</v>
      </c>
      <c r="N6" s="879" t="s">
        <v>36</v>
      </c>
    </row>
    <row r="7" spans="1:16" s="563" customFormat="1" ht="34.5" customHeight="1" x14ac:dyDescent="0.2">
      <c r="A7" s="572"/>
      <c r="B7" s="2042" t="s">
        <v>18</v>
      </c>
      <c r="C7" s="2044" t="s">
        <v>19</v>
      </c>
      <c r="D7" s="2048" t="s">
        <v>6</v>
      </c>
      <c r="E7" s="2040" t="s">
        <v>610</v>
      </c>
      <c r="F7" s="2040" t="s">
        <v>636</v>
      </c>
      <c r="G7" s="2046" t="s">
        <v>727</v>
      </c>
      <c r="H7" s="2050" t="s">
        <v>20</v>
      </c>
      <c r="I7" s="2036" t="s">
        <v>638</v>
      </c>
      <c r="J7" s="2038" t="s">
        <v>37</v>
      </c>
      <c r="K7" s="2038"/>
      <c r="L7" s="2038"/>
      <c r="M7" s="2038"/>
      <c r="N7" s="2039"/>
    </row>
    <row r="8" spans="1:16" s="563" customFormat="1" ht="45.75" thickBot="1" x14ac:dyDescent="0.25">
      <c r="A8" s="572"/>
      <c r="B8" s="2043"/>
      <c r="C8" s="2045"/>
      <c r="D8" s="2049"/>
      <c r="E8" s="2041"/>
      <c r="F8" s="2041"/>
      <c r="G8" s="2047"/>
      <c r="H8" s="2051"/>
      <c r="I8" s="2037"/>
      <c r="J8" s="1372" t="s">
        <v>38</v>
      </c>
      <c r="K8" s="1372" t="s">
        <v>39</v>
      </c>
      <c r="L8" s="1372" t="s">
        <v>40</v>
      </c>
      <c r="M8" s="1372" t="s">
        <v>211</v>
      </c>
      <c r="N8" s="868" t="s">
        <v>41</v>
      </c>
    </row>
    <row r="9" spans="1:16" s="563" customFormat="1" x14ac:dyDescent="0.3">
      <c r="A9" s="572">
        <v>1</v>
      </c>
      <c r="B9" s="882">
        <v>18</v>
      </c>
      <c r="C9" s="883" t="s">
        <v>505</v>
      </c>
      <c r="D9" s="884"/>
      <c r="E9" s="885"/>
      <c r="F9" s="885"/>
      <c r="G9" s="890"/>
      <c r="H9" s="889"/>
      <c r="I9" s="886"/>
      <c r="J9" s="887"/>
      <c r="K9" s="887"/>
      <c r="L9" s="887"/>
      <c r="M9" s="887"/>
      <c r="N9" s="888"/>
    </row>
    <row r="10" spans="1:16" s="3" customFormat="1" ht="16.5" x14ac:dyDescent="0.3">
      <c r="A10" s="572">
        <v>2</v>
      </c>
      <c r="B10" s="179"/>
      <c r="C10" s="867">
        <v>1</v>
      </c>
      <c r="D10" s="566" t="s">
        <v>42</v>
      </c>
      <c r="E10" s="185">
        <v>1779</v>
      </c>
      <c r="F10" s="185">
        <v>0</v>
      </c>
      <c r="G10" s="186">
        <v>239</v>
      </c>
      <c r="H10" s="585" t="s">
        <v>23</v>
      </c>
      <c r="I10" s="559"/>
      <c r="J10" s="184"/>
      <c r="K10" s="184"/>
      <c r="L10" s="184"/>
      <c r="M10" s="184"/>
      <c r="N10" s="191"/>
    </row>
    <row r="11" spans="1:16" s="8" customFormat="1" ht="16.5" x14ac:dyDescent="0.3">
      <c r="A11" s="572">
        <v>3</v>
      </c>
      <c r="B11" s="160"/>
      <c r="C11" s="161"/>
      <c r="D11" s="1089" t="s">
        <v>292</v>
      </c>
      <c r="E11" s="158"/>
      <c r="F11" s="158"/>
      <c r="G11" s="159"/>
      <c r="H11" s="583"/>
      <c r="I11" s="1082">
        <f>SUM(J11:N11)</f>
        <v>500</v>
      </c>
      <c r="J11" s="1255"/>
      <c r="K11" s="1255"/>
      <c r="L11" s="1083">
        <v>500</v>
      </c>
      <c r="M11" s="1255"/>
      <c r="N11" s="1256"/>
    </row>
    <row r="12" spans="1:16" s="3" customFormat="1" ht="16.5" x14ac:dyDescent="0.3">
      <c r="A12" s="572">
        <v>4</v>
      </c>
      <c r="B12" s="160"/>
      <c r="C12" s="161"/>
      <c r="D12" s="1499" t="s">
        <v>926</v>
      </c>
      <c r="E12" s="158"/>
      <c r="F12" s="158"/>
      <c r="G12" s="159"/>
      <c r="H12" s="583"/>
      <c r="I12" s="1611">
        <f t="shared" ref="I12:I13" si="0">SUM(J12:N12)</f>
        <v>16</v>
      </c>
      <c r="J12" s="1612"/>
      <c r="K12" s="1612"/>
      <c r="L12" s="1613">
        <v>16</v>
      </c>
      <c r="M12" s="1612"/>
      <c r="N12" s="1614"/>
      <c r="P12" s="8"/>
    </row>
    <row r="13" spans="1:16" s="8" customFormat="1" ht="16.5" x14ac:dyDescent="0.3">
      <c r="A13" s="572">
        <v>5</v>
      </c>
      <c r="B13" s="160"/>
      <c r="C13" s="161"/>
      <c r="D13" s="641" t="s">
        <v>927</v>
      </c>
      <c r="E13" s="158"/>
      <c r="F13" s="158"/>
      <c r="G13" s="159"/>
      <c r="H13" s="583"/>
      <c r="I13" s="1615">
        <f t="shared" si="0"/>
        <v>516</v>
      </c>
      <c r="J13" s="184"/>
      <c r="K13" s="184"/>
      <c r="L13" s="1616">
        <f>SUM(L11:L12)</f>
        <v>516</v>
      </c>
      <c r="M13" s="184"/>
      <c r="N13" s="191"/>
    </row>
    <row r="14" spans="1:16" s="3" customFormat="1" ht="16.5" x14ac:dyDescent="0.3">
      <c r="A14" s="572">
        <v>6</v>
      </c>
      <c r="B14" s="155"/>
      <c r="C14" s="156">
        <v>2</v>
      </c>
      <c r="D14" s="567" t="s">
        <v>43</v>
      </c>
      <c r="E14" s="158">
        <v>3685</v>
      </c>
      <c r="F14" s="158">
        <v>0</v>
      </c>
      <c r="G14" s="159">
        <v>1719</v>
      </c>
      <c r="H14" s="583" t="s">
        <v>24</v>
      </c>
      <c r="I14" s="1257"/>
      <c r="J14" s="1258"/>
      <c r="K14" s="1258"/>
      <c r="L14" s="1258"/>
      <c r="M14" s="1258"/>
      <c r="N14" s="1259"/>
      <c r="P14" s="8"/>
    </row>
    <row r="15" spans="1:16" s="3" customFormat="1" ht="16.5" x14ac:dyDescent="0.3">
      <c r="A15" s="572">
        <v>7</v>
      </c>
      <c r="B15" s="160"/>
      <c r="C15" s="161"/>
      <c r="D15" s="162" t="s">
        <v>292</v>
      </c>
      <c r="E15" s="158"/>
      <c r="F15" s="158"/>
      <c r="G15" s="159"/>
      <c r="H15" s="583"/>
      <c r="I15" s="1082">
        <f>SUM(J15:N15)</f>
        <v>1700</v>
      </c>
      <c r="J15" s="1255"/>
      <c r="K15" s="1255"/>
      <c r="L15" s="1083">
        <v>1700</v>
      </c>
      <c r="M15" s="1255"/>
      <c r="N15" s="1256"/>
      <c r="P15" s="8"/>
    </row>
    <row r="16" spans="1:16" s="8" customFormat="1" ht="16.5" x14ac:dyDescent="0.3">
      <c r="A16" s="572">
        <v>8</v>
      </c>
      <c r="B16" s="160"/>
      <c r="C16" s="161"/>
      <c r="D16" s="1499" t="s">
        <v>926</v>
      </c>
      <c r="E16" s="158"/>
      <c r="F16" s="158"/>
      <c r="G16" s="159"/>
      <c r="H16" s="583"/>
      <c r="I16" s="1611">
        <f t="shared" ref="I16:I17" si="1">SUM(J16:N16)</f>
        <v>3193</v>
      </c>
      <c r="J16" s="1255"/>
      <c r="K16" s="1255"/>
      <c r="L16" s="1617">
        <v>3193</v>
      </c>
      <c r="M16" s="1255"/>
      <c r="N16" s="1256"/>
    </row>
    <row r="17" spans="1:16" s="3" customFormat="1" ht="16.5" x14ac:dyDescent="0.3">
      <c r="A17" s="572">
        <v>9</v>
      </c>
      <c r="B17" s="160"/>
      <c r="C17" s="161"/>
      <c r="D17" s="641" t="s">
        <v>927</v>
      </c>
      <c r="E17" s="158"/>
      <c r="F17" s="158"/>
      <c r="G17" s="159"/>
      <c r="H17" s="583"/>
      <c r="I17" s="1615">
        <f t="shared" si="1"/>
        <v>4893</v>
      </c>
      <c r="J17" s="1255"/>
      <c r="K17" s="1255"/>
      <c r="L17" s="1618">
        <f>SUM(L15:L16)</f>
        <v>4893</v>
      </c>
      <c r="M17" s="1255"/>
      <c r="N17" s="1256"/>
      <c r="O17" s="8"/>
      <c r="P17" s="8"/>
    </row>
    <row r="18" spans="1:16" s="1093" customFormat="1" x14ac:dyDescent="0.3">
      <c r="A18" s="572">
        <v>10</v>
      </c>
      <c r="B18" s="155"/>
      <c r="C18" s="156">
        <v>3</v>
      </c>
      <c r="D18" s="567" t="s">
        <v>44</v>
      </c>
      <c r="E18" s="158">
        <v>7056</v>
      </c>
      <c r="F18" s="158">
        <v>3000</v>
      </c>
      <c r="G18" s="159">
        <v>1449</v>
      </c>
      <c r="H18" s="583" t="s">
        <v>24</v>
      </c>
      <c r="I18" s="1260"/>
      <c r="J18" s="1261"/>
      <c r="K18" s="1261"/>
      <c r="L18" s="1261"/>
      <c r="M18" s="1261"/>
      <c r="N18" s="1262"/>
    </row>
    <row r="19" spans="1:16" s="3" customFormat="1" ht="16.5" x14ac:dyDescent="0.3">
      <c r="A19" s="572">
        <v>11</v>
      </c>
      <c r="B19" s="155"/>
      <c r="C19" s="156"/>
      <c r="D19" s="1499" t="s">
        <v>929</v>
      </c>
      <c r="E19" s="158"/>
      <c r="F19" s="158"/>
      <c r="G19" s="159"/>
      <c r="H19" s="583"/>
      <c r="I19" s="1611">
        <f t="shared" ref="I19:I20" si="2">SUM(J19:N19)</f>
        <v>0</v>
      </c>
      <c r="J19" s="1261"/>
      <c r="K19" s="1261"/>
      <c r="L19" s="1261"/>
      <c r="M19" s="1261"/>
      <c r="N19" s="1262"/>
      <c r="O19" s="8"/>
      <c r="P19" s="8"/>
    </row>
    <row r="20" spans="1:16" s="3" customFormat="1" ht="16.5" x14ac:dyDescent="0.3">
      <c r="A20" s="572">
        <v>12</v>
      </c>
      <c r="B20" s="155"/>
      <c r="C20" s="156"/>
      <c r="D20" s="641" t="s">
        <v>927</v>
      </c>
      <c r="E20" s="158"/>
      <c r="F20" s="158"/>
      <c r="G20" s="159"/>
      <c r="H20" s="583"/>
      <c r="I20" s="1615">
        <f t="shared" si="2"/>
        <v>0</v>
      </c>
      <c r="J20" s="1261"/>
      <c r="K20" s="1261"/>
      <c r="L20" s="1261"/>
      <c r="M20" s="1261"/>
      <c r="N20" s="1262"/>
      <c r="O20" s="8"/>
      <c r="P20" s="8"/>
    </row>
    <row r="21" spans="1:16" s="8" customFormat="1" ht="16.5" x14ac:dyDescent="0.3">
      <c r="A21" s="572">
        <v>13</v>
      </c>
      <c r="B21" s="155"/>
      <c r="C21" s="156">
        <v>4</v>
      </c>
      <c r="D21" s="567" t="s">
        <v>45</v>
      </c>
      <c r="E21" s="158">
        <v>13218</v>
      </c>
      <c r="F21" s="158">
        <v>0</v>
      </c>
      <c r="G21" s="159">
        <v>3555</v>
      </c>
      <c r="H21" s="583" t="s">
        <v>24</v>
      </c>
      <c r="I21" s="1082"/>
      <c r="J21" s="1255"/>
      <c r="K21" s="1255"/>
      <c r="L21" s="1255"/>
      <c r="M21" s="1255"/>
      <c r="N21" s="1256"/>
    </row>
    <row r="22" spans="1:16" s="9" customFormat="1" x14ac:dyDescent="0.3">
      <c r="A22" s="572">
        <v>14</v>
      </c>
      <c r="B22" s="160"/>
      <c r="C22" s="161"/>
      <c r="D22" s="1089" t="s">
        <v>292</v>
      </c>
      <c r="E22" s="1018"/>
      <c r="F22" s="1018"/>
      <c r="G22" s="1619"/>
      <c r="H22" s="583"/>
      <c r="I22" s="1082">
        <f>SUM(J22:N22)</f>
        <v>7500</v>
      </c>
      <c r="J22" s="1255"/>
      <c r="K22" s="1255"/>
      <c r="L22" s="1083">
        <f>6000+1500</f>
        <v>7500</v>
      </c>
      <c r="M22" s="1255"/>
      <c r="N22" s="1256"/>
      <c r="P22" s="8"/>
    </row>
    <row r="23" spans="1:16" s="9" customFormat="1" x14ac:dyDescent="0.3">
      <c r="A23" s="572">
        <v>15</v>
      </c>
      <c r="B23" s="160"/>
      <c r="C23" s="161"/>
      <c r="D23" s="1499" t="s">
        <v>926</v>
      </c>
      <c r="E23" s="1018"/>
      <c r="F23" s="1018"/>
      <c r="G23" s="1619"/>
      <c r="H23" s="583"/>
      <c r="I23" s="1611">
        <f t="shared" ref="I23:I24" si="3">SUM(J23:N23)</f>
        <v>523</v>
      </c>
      <c r="J23" s="1255"/>
      <c r="K23" s="1255"/>
      <c r="L23" s="1617">
        <v>523</v>
      </c>
      <c r="M23" s="1255"/>
      <c r="N23" s="1256"/>
      <c r="P23" s="8"/>
    </row>
    <row r="24" spans="1:16" s="9" customFormat="1" x14ac:dyDescent="0.3">
      <c r="A24" s="572">
        <v>16</v>
      </c>
      <c r="B24" s="160"/>
      <c r="C24" s="161"/>
      <c r="D24" s="641" t="s">
        <v>927</v>
      </c>
      <c r="E24" s="1018"/>
      <c r="F24" s="1018"/>
      <c r="G24" s="1619"/>
      <c r="H24" s="583"/>
      <c r="I24" s="1615">
        <f t="shared" si="3"/>
        <v>8023</v>
      </c>
      <c r="J24" s="1255"/>
      <c r="K24" s="1255"/>
      <c r="L24" s="1618">
        <f>SUM(L22:L23)</f>
        <v>8023</v>
      </c>
      <c r="M24" s="1255"/>
      <c r="N24" s="1256"/>
      <c r="P24" s="8"/>
    </row>
    <row r="25" spans="1:16" s="9" customFormat="1" x14ac:dyDescent="0.3">
      <c r="A25" s="572">
        <v>17</v>
      </c>
      <c r="B25" s="155"/>
      <c r="C25" s="156">
        <v>5</v>
      </c>
      <c r="D25" s="567" t="s">
        <v>12</v>
      </c>
      <c r="E25" s="158">
        <v>9366</v>
      </c>
      <c r="F25" s="158">
        <v>9601</v>
      </c>
      <c r="G25" s="159">
        <v>7724</v>
      </c>
      <c r="H25" s="583" t="s">
        <v>24</v>
      </c>
      <c r="I25" s="1260"/>
      <c r="J25" s="1261"/>
      <c r="K25" s="1261"/>
      <c r="L25" s="1261"/>
      <c r="M25" s="1261"/>
      <c r="N25" s="1262"/>
      <c r="P25" s="8"/>
    </row>
    <row r="26" spans="1:16" s="9" customFormat="1" x14ac:dyDescent="0.3">
      <c r="A26" s="572">
        <v>18</v>
      </c>
      <c r="B26" s="1087"/>
      <c r="C26" s="1088"/>
      <c r="D26" s="1089" t="s">
        <v>292</v>
      </c>
      <c r="E26" s="1090"/>
      <c r="F26" s="1090"/>
      <c r="G26" s="1091"/>
      <c r="H26" s="1092"/>
      <c r="I26" s="1082">
        <f>SUM(J26:N26)</f>
        <v>1000</v>
      </c>
      <c r="J26" s="1083">
        <v>500</v>
      </c>
      <c r="K26" s="1083">
        <v>100</v>
      </c>
      <c r="L26" s="1083">
        <v>400</v>
      </c>
      <c r="M26" s="1083"/>
      <c r="N26" s="1084"/>
      <c r="P26" s="8"/>
    </row>
    <row r="27" spans="1:16" s="9" customFormat="1" x14ac:dyDescent="0.3">
      <c r="A27" s="572">
        <v>19</v>
      </c>
      <c r="B27" s="1087"/>
      <c r="C27" s="1088"/>
      <c r="D27" s="1499" t="s">
        <v>926</v>
      </c>
      <c r="E27" s="1090"/>
      <c r="F27" s="1090"/>
      <c r="G27" s="1091"/>
      <c r="H27" s="1092"/>
      <c r="I27" s="1611">
        <f t="shared" ref="I27:I28" si="4">SUM(J27:N27)</f>
        <v>3913</v>
      </c>
      <c r="J27" s="1617">
        <v>1000</v>
      </c>
      <c r="K27" s="1617">
        <v>200</v>
      </c>
      <c r="L27" s="1617">
        <v>2713</v>
      </c>
      <c r="M27" s="1083"/>
      <c r="N27" s="1084"/>
      <c r="P27" s="8"/>
    </row>
    <row r="28" spans="1:16" s="9" customFormat="1" x14ac:dyDescent="0.3">
      <c r="A28" s="572">
        <v>20</v>
      </c>
      <c r="B28" s="1087"/>
      <c r="C28" s="1088"/>
      <c r="D28" s="641" t="s">
        <v>927</v>
      </c>
      <c r="E28" s="1090"/>
      <c r="F28" s="1090"/>
      <c r="G28" s="1091"/>
      <c r="H28" s="1092"/>
      <c r="I28" s="1615">
        <f t="shared" si="4"/>
        <v>4913</v>
      </c>
      <c r="J28" s="1618">
        <f>SUM(J26:J27)</f>
        <v>1500</v>
      </c>
      <c r="K28" s="1618">
        <f t="shared" ref="K28:L28" si="5">SUM(K26:K27)</f>
        <v>300</v>
      </c>
      <c r="L28" s="1618">
        <f t="shared" si="5"/>
        <v>3113</v>
      </c>
      <c r="M28" s="1083"/>
      <c r="N28" s="1084"/>
      <c r="P28" s="8"/>
    </row>
    <row r="29" spans="1:16" s="9" customFormat="1" x14ac:dyDescent="0.3">
      <c r="A29" s="572">
        <v>21</v>
      </c>
      <c r="B29" s="155"/>
      <c r="C29" s="156">
        <v>6</v>
      </c>
      <c r="D29" s="567" t="s">
        <v>378</v>
      </c>
      <c r="E29" s="158">
        <v>0</v>
      </c>
      <c r="F29" s="158">
        <v>1000</v>
      </c>
      <c r="G29" s="159">
        <v>0</v>
      </c>
      <c r="H29" s="583" t="s">
        <v>24</v>
      </c>
      <c r="I29" s="1260"/>
      <c r="J29" s="1261"/>
      <c r="K29" s="1261"/>
      <c r="L29" s="1261"/>
      <c r="M29" s="1261"/>
      <c r="N29" s="1262"/>
      <c r="P29" s="8"/>
    </row>
    <row r="30" spans="1:16" s="9" customFormat="1" x14ac:dyDescent="0.3">
      <c r="A30" s="572">
        <v>22</v>
      </c>
      <c r="B30" s="155"/>
      <c r="C30" s="156">
        <v>7</v>
      </c>
      <c r="D30" s="567" t="s">
        <v>10</v>
      </c>
      <c r="E30" s="158">
        <f>SUM(E34,E38,E42,E46,E54,E50)</f>
        <v>74000</v>
      </c>
      <c r="F30" s="158">
        <f>SUM(F34,F38,F42,F46,F54,F50)</f>
        <v>0</v>
      </c>
      <c r="G30" s="159">
        <f>SUM(G34,G38,G42,G46,G54,G50)</f>
        <v>0</v>
      </c>
      <c r="H30" s="583" t="s">
        <v>24</v>
      </c>
      <c r="I30" s="1260"/>
      <c r="J30" s="1261"/>
      <c r="K30" s="1261"/>
      <c r="L30" s="1261"/>
      <c r="M30" s="1261"/>
      <c r="N30" s="1262"/>
    </row>
    <row r="31" spans="1:16" s="9" customFormat="1" x14ac:dyDescent="0.3">
      <c r="A31" s="572">
        <v>23</v>
      </c>
      <c r="B31" s="160"/>
      <c r="C31" s="161"/>
      <c r="D31" s="1089" t="s">
        <v>292</v>
      </c>
      <c r="E31" s="158"/>
      <c r="F31" s="158"/>
      <c r="G31" s="159"/>
      <c r="H31" s="583"/>
      <c r="I31" s="1082">
        <f>SUM(J31:N31)</f>
        <v>36000</v>
      </c>
      <c r="J31" s="1083">
        <f>SUM(J35,J39,J43,J47,J51)</f>
        <v>0</v>
      </c>
      <c r="K31" s="1083">
        <f>SUM(K35,K39,K43,K47,K51)</f>
        <v>0</v>
      </c>
      <c r="L31" s="1083">
        <f>SUM(L35,L39,L43,L47,L51)</f>
        <v>7500</v>
      </c>
      <c r="M31" s="1083">
        <f>SUM(M35,M39,M43,M47,M51)</f>
        <v>0</v>
      </c>
      <c r="N31" s="1084">
        <f>SUM(N35,N39,N43,N47,N51)</f>
        <v>28500</v>
      </c>
    </row>
    <row r="32" spans="1:16" s="9" customFormat="1" x14ac:dyDescent="0.3">
      <c r="A32" s="572">
        <v>24</v>
      </c>
      <c r="B32" s="160"/>
      <c r="C32" s="161"/>
      <c r="D32" s="1499" t="s">
        <v>929</v>
      </c>
      <c r="E32" s="158"/>
      <c r="F32" s="158"/>
      <c r="G32" s="159"/>
      <c r="H32" s="583"/>
      <c r="I32" s="1611">
        <f t="shared" ref="I32:I33" si="6">SUM(J32:N32)</f>
        <v>0</v>
      </c>
      <c r="J32" s="1620">
        <f>J36+J40+J44+J48+J52</f>
        <v>0</v>
      </c>
      <c r="K32" s="1620">
        <f t="shared" ref="K32:N32" si="7">K36+K40+K44+K48+K52</f>
        <v>0</v>
      </c>
      <c r="L32" s="1620">
        <f t="shared" si="7"/>
        <v>0</v>
      </c>
      <c r="M32" s="1620">
        <f t="shared" si="7"/>
        <v>0</v>
      </c>
      <c r="N32" s="1621">
        <f t="shared" si="7"/>
        <v>0</v>
      </c>
      <c r="P32" s="8"/>
    </row>
    <row r="33" spans="1:16" s="3" customFormat="1" ht="16.5" x14ac:dyDescent="0.3">
      <c r="A33" s="572">
        <v>25</v>
      </c>
      <c r="B33" s="160"/>
      <c r="C33" s="161"/>
      <c r="D33" s="641" t="s">
        <v>927</v>
      </c>
      <c r="E33" s="158"/>
      <c r="F33" s="158"/>
      <c r="G33" s="159"/>
      <c r="H33" s="583"/>
      <c r="I33" s="1615">
        <f t="shared" si="6"/>
        <v>36000</v>
      </c>
      <c r="J33" s="1618">
        <f>SUM(J31:J32)</f>
        <v>0</v>
      </c>
      <c r="K33" s="1618">
        <f t="shared" ref="K33:N33" si="8">SUM(K31:K32)</f>
        <v>0</v>
      </c>
      <c r="L33" s="1618">
        <f t="shared" si="8"/>
        <v>7500</v>
      </c>
      <c r="M33" s="1618">
        <f t="shared" si="8"/>
        <v>0</v>
      </c>
      <c r="N33" s="1622">
        <f t="shared" si="8"/>
        <v>28500</v>
      </c>
      <c r="P33" s="8"/>
    </row>
    <row r="34" spans="1:16" s="8" customFormat="1" ht="16.5" x14ac:dyDescent="0.3">
      <c r="A34" s="572">
        <v>26</v>
      </c>
      <c r="B34" s="165"/>
      <c r="C34" s="549"/>
      <c r="D34" s="425" t="s">
        <v>46</v>
      </c>
      <c r="E34" s="166">
        <v>30000</v>
      </c>
      <c r="F34" s="166">
        <v>0</v>
      </c>
      <c r="G34" s="167">
        <v>0</v>
      </c>
      <c r="H34" s="584"/>
      <c r="I34" s="1085"/>
      <c r="J34" s="1263"/>
      <c r="K34" s="1263"/>
      <c r="L34" s="1263"/>
      <c r="M34" s="1263"/>
      <c r="N34" s="1264"/>
    </row>
    <row r="35" spans="1:16" s="3" customFormat="1" ht="16.5" x14ac:dyDescent="0.3">
      <c r="A35" s="572">
        <v>27</v>
      </c>
      <c r="B35" s="165"/>
      <c r="C35" s="161"/>
      <c r="D35" s="1313" t="s">
        <v>292</v>
      </c>
      <c r="E35" s="166"/>
      <c r="F35" s="166"/>
      <c r="G35" s="167"/>
      <c r="H35" s="584"/>
      <c r="I35" s="1085">
        <f>SUM(J35:N35)</f>
        <v>15000</v>
      </c>
      <c r="J35" s="1263"/>
      <c r="K35" s="1263"/>
      <c r="L35" s="1263"/>
      <c r="M35" s="1263"/>
      <c r="N35" s="1264">
        <v>15000</v>
      </c>
      <c r="P35" s="8"/>
    </row>
    <row r="36" spans="1:16" s="8" customFormat="1" ht="16.5" x14ac:dyDescent="0.3">
      <c r="A36" s="572">
        <v>28</v>
      </c>
      <c r="B36" s="165"/>
      <c r="C36" s="161"/>
      <c r="D36" s="1623" t="s">
        <v>929</v>
      </c>
      <c r="E36" s="166"/>
      <c r="F36" s="166"/>
      <c r="G36" s="167"/>
      <c r="H36" s="584"/>
      <c r="I36" s="1611">
        <f t="shared" ref="I36:I37" si="9">SUM(J36:N36)</f>
        <v>0</v>
      </c>
      <c r="J36" s="1263"/>
      <c r="K36" s="1263"/>
      <c r="L36" s="1263"/>
      <c r="M36" s="1263"/>
      <c r="N36" s="1264"/>
    </row>
    <row r="37" spans="1:16" s="3" customFormat="1" ht="16.5" x14ac:dyDescent="0.3">
      <c r="A37" s="572">
        <v>29</v>
      </c>
      <c r="B37" s="165"/>
      <c r="C37" s="161"/>
      <c r="D37" s="1623" t="s">
        <v>927</v>
      </c>
      <c r="E37" s="166"/>
      <c r="F37" s="166"/>
      <c r="G37" s="167"/>
      <c r="H37" s="584"/>
      <c r="I37" s="1624">
        <f t="shared" si="9"/>
        <v>15000</v>
      </c>
      <c r="J37" s="1263"/>
      <c r="K37" s="1263"/>
      <c r="L37" s="1263"/>
      <c r="M37" s="1263"/>
      <c r="N37" s="1625">
        <f>SUM(N35:N36)</f>
        <v>15000</v>
      </c>
      <c r="P37" s="8"/>
    </row>
    <row r="38" spans="1:16" s="3" customFormat="1" ht="16.5" x14ac:dyDescent="0.3">
      <c r="A38" s="572">
        <v>30</v>
      </c>
      <c r="B38" s="165"/>
      <c r="C38" s="549"/>
      <c r="D38" s="425" t="s">
        <v>47</v>
      </c>
      <c r="E38" s="166">
        <v>15000</v>
      </c>
      <c r="F38" s="166">
        <v>0</v>
      </c>
      <c r="G38" s="167">
        <v>0</v>
      </c>
      <c r="H38" s="584"/>
      <c r="I38" s="1265"/>
      <c r="J38" s="1266"/>
      <c r="K38" s="1266"/>
      <c r="L38" s="1266"/>
      <c r="M38" s="1266"/>
      <c r="N38" s="1267"/>
      <c r="P38" s="8"/>
    </row>
    <row r="39" spans="1:16" s="3" customFormat="1" ht="16.5" x14ac:dyDescent="0.3">
      <c r="A39" s="572">
        <v>31</v>
      </c>
      <c r="B39" s="165"/>
      <c r="C39" s="161"/>
      <c r="D39" s="1313" t="s">
        <v>292</v>
      </c>
      <c r="E39" s="166"/>
      <c r="F39" s="166"/>
      <c r="G39" s="167"/>
      <c r="H39" s="584"/>
      <c r="I39" s="1085">
        <f>SUM(J39:N39)</f>
        <v>7500</v>
      </c>
      <c r="J39" s="1263"/>
      <c r="K39" s="1263"/>
      <c r="L39" s="1263">
        <v>7500</v>
      </c>
      <c r="M39" s="1263"/>
      <c r="N39" s="1264"/>
      <c r="P39" s="8"/>
    </row>
    <row r="40" spans="1:16" s="9" customFormat="1" x14ac:dyDescent="0.3">
      <c r="A40" s="572">
        <v>32</v>
      </c>
      <c r="B40" s="165"/>
      <c r="C40" s="161"/>
      <c r="D40" s="1623" t="s">
        <v>929</v>
      </c>
      <c r="E40" s="166"/>
      <c r="F40" s="166"/>
      <c r="G40" s="167"/>
      <c r="H40" s="584"/>
      <c r="I40" s="1611">
        <f t="shared" ref="I40:I41" si="10">SUM(J40:N40)</f>
        <v>0</v>
      </c>
      <c r="J40" s="1263"/>
      <c r="K40" s="1263"/>
      <c r="L40" s="1263"/>
      <c r="M40" s="1263"/>
      <c r="N40" s="1264"/>
    </row>
    <row r="41" spans="1:16" s="9" customFormat="1" x14ac:dyDescent="0.3">
      <c r="A41" s="572">
        <v>33</v>
      </c>
      <c r="B41" s="165"/>
      <c r="C41" s="161"/>
      <c r="D41" s="1623" t="s">
        <v>927</v>
      </c>
      <c r="E41" s="166"/>
      <c r="F41" s="166"/>
      <c r="G41" s="167"/>
      <c r="H41" s="584"/>
      <c r="I41" s="1624">
        <f t="shared" si="10"/>
        <v>7500</v>
      </c>
      <c r="J41" s="1263"/>
      <c r="K41" s="1263"/>
      <c r="L41" s="1617">
        <f>SUM(L39:L40)</f>
        <v>7500</v>
      </c>
      <c r="M41" s="1263"/>
      <c r="N41" s="1264"/>
    </row>
    <row r="42" spans="1:16" s="9" customFormat="1" x14ac:dyDescent="0.3">
      <c r="A42" s="572">
        <v>34</v>
      </c>
      <c r="B42" s="165"/>
      <c r="C42" s="549"/>
      <c r="D42" s="425" t="s">
        <v>48</v>
      </c>
      <c r="E42" s="166">
        <v>2000</v>
      </c>
      <c r="F42" s="166">
        <v>0</v>
      </c>
      <c r="G42" s="167">
        <v>0</v>
      </c>
      <c r="H42" s="584"/>
      <c r="I42" s="1265"/>
      <c r="J42" s="1266"/>
      <c r="K42" s="1266"/>
      <c r="L42" s="1266"/>
      <c r="M42" s="1266"/>
      <c r="N42" s="1267"/>
    </row>
    <row r="43" spans="1:16" s="9" customFormat="1" x14ac:dyDescent="0.3">
      <c r="A43" s="572">
        <v>35</v>
      </c>
      <c r="B43" s="165"/>
      <c r="C43" s="161"/>
      <c r="D43" s="1313" t="s">
        <v>292</v>
      </c>
      <c r="E43" s="166"/>
      <c r="F43" s="166"/>
      <c r="G43" s="167"/>
      <c r="H43" s="584"/>
      <c r="I43" s="1085">
        <f>SUM(J43:N43)</f>
        <v>1000</v>
      </c>
      <c r="J43" s="1263"/>
      <c r="K43" s="1263"/>
      <c r="L43" s="1263"/>
      <c r="M43" s="1263"/>
      <c r="N43" s="1264">
        <v>1000</v>
      </c>
    </row>
    <row r="44" spans="1:16" s="9" customFormat="1" x14ac:dyDescent="0.3">
      <c r="A44" s="572">
        <v>36</v>
      </c>
      <c r="B44" s="165"/>
      <c r="C44" s="161"/>
      <c r="D44" s="1623" t="s">
        <v>929</v>
      </c>
      <c r="E44" s="166"/>
      <c r="F44" s="166"/>
      <c r="G44" s="167"/>
      <c r="H44" s="584"/>
      <c r="I44" s="1611">
        <f t="shared" ref="I44:I45" si="11">SUM(J44:N44)</f>
        <v>0</v>
      </c>
      <c r="J44" s="1263"/>
      <c r="K44" s="1263"/>
      <c r="L44" s="1263"/>
      <c r="M44" s="1263"/>
      <c r="N44" s="1264"/>
    </row>
    <row r="45" spans="1:16" s="9" customFormat="1" x14ac:dyDescent="0.3">
      <c r="A45" s="572">
        <v>37</v>
      </c>
      <c r="B45" s="165"/>
      <c r="C45" s="161"/>
      <c r="D45" s="1623" t="s">
        <v>927</v>
      </c>
      <c r="E45" s="166"/>
      <c r="F45" s="166"/>
      <c r="G45" s="167"/>
      <c r="H45" s="584"/>
      <c r="I45" s="1624">
        <f t="shared" si="11"/>
        <v>1000</v>
      </c>
      <c r="J45" s="1263"/>
      <c r="K45" s="1263"/>
      <c r="L45" s="1263"/>
      <c r="M45" s="1263"/>
      <c r="N45" s="1625">
        <f>SUM(N43:N44)</f>
        <v>1000</v>
      </c>
    </row>
    <row r="46" spans="1:16" s="1107" customFormat="1" ht="16.5" x14ac:dyDescent="0.3">
      <c r="A46" s="572">
        <v>38</v>
      </c>
      <c r="B46" s="165"/>
      <c r="C46" s="549"/>
      <c r="D46" s="425" t="s">
        <v>49</v>
      </c>
      <c r="E46" s="166">
        <v>15000</v>
      </c>
      <c r="F46" s="166">
        <v>0</v>
      </c>
      <c r="G46" s="167">
        <v>0</v>
      </c>
      <c r="H46" s="584"/>
      <c r="I46" s="1265"/>
      <c r="J46" s="1266"/>
      <c r="K46" s="1266"/>
      <c r="L46" s="1266"/>
      <c r="M46" s="1266"/>
      <c r="N46" s="1267"/>
    </row>
    <row r="47" spans="1:16" s="9" customFormat="1" x14ac:dyDescent="0.3">
      <c r="A47" s="572">
        <v>39</v>
      </c>
      <c r="B47" s="165"/>
      <c r="C47" s="161"/>
      <c r="D47" s="1313" t="s">
        <v>292</v>
      </c>
      <c r="E47" s="166"/>
      <c r="F47" s="166"/>
      <c r="G47" s="167"/>
      <c r="H47" s="584"/>
      <c r="I47" s="1085">
        <f>SUM(J47:N47)</f>
        <v>7500</v>
      </c>
      <c r="J47" s="1263"/>
      <c r="K47" s="1263"/>
      <c r="L47" s="1263"/>
      <c r="M47" s="1263"/>
      <c r="N47" s="1264">
        <v>7500</v>
      </c>
    </row>
    <row r="48" spans="1:16" s="1107" customFormat="1" ht="16.5" x14ac:dyDescent="0.3">
      <c r="A48" s="572">
        <v>40</v>
      </c>
      <c r="B48" s="165"/>
      <c r="C48" s="161"/>
      <c r="D48" s="1623" t="s">
        <v>929</v>
      </c>
      <c r="E48" s="166"/>
      <c r="F48" s="166"/>
      <c r="G48" s="167"/>
      <c r="H48" s="584"/>
      <c r="I48" s="1611">
        <f t="shared" ref="I48:I49" si="12">SUM(J48:N48)</f>
        <v>0</v>
      </c>
      <c r="J48" s="1263"/>
      <c r="K48" s="1263"/>
      <c r="L48" s="1263"/>
      <c r="M48" s="1263"/>
      <c r="N48" s="1264"/>
    </row>
    <row r="49" spans="1:16" s="9" customFormat="1" x14ac:dyDescent="0.3">
      <c r="A49" s="572">
        <v>41</v>
      </c>
      <c r="B49" s="165"/>
      <c r="C49" s="161"/>
      <c r="D49" s="1623" t="s">
        <v>927</v>
      </c>
      <c r="E49" s="166"/>
      <c r="F49" s="166"/>
      <c r="G49" s="167"/>
      <c r="H49" s="584"/>
      <c r="I49" s="1624">
        <f t="shared" si="12"/>
        <v>7500</v>
      </c>
      <c r="J49" s="1263"/>
      <c r="K49" s="1263"/>
      <c r="L49" s="1263"/>
      <c r="M49" s="1263"/>
      <c r="N49" s="1625">
        <f>SUM(N47:N48)</f>
        <v>7500</v>
      </c>
    </row>
    <row r="50" spans="1:16" s="1107" customFormat="1" ht="16.5" x14ac:dyDescent="0.3">
      <c r="A50" s="572">
        <v>42</v>
      </c>
      <c r="B50" s="165"/>
      <c r="C50" s="161"/>
      <c r="D50" s="425" t="s">
        <v>50</v>
      </c>
      <c r="E50" s="166">
        <v>10000</v>
      </c>
      <c r="F50" s="166">
        <v>0</v>
      </c>
      <c r="G50" s="167">
        <v>0</v>
      </c>
      <c r="H50" s="584"/>
      <c r="I50" s="1265"/>
      <c r="J50" s="1266"/>
      <c r="K50" s="1266"/>
      <c r="L50" s="1266"/>
      <c r="M50" s="1266"/>
      <c r="N50" s="1267"/>
    </row>
    <row r="51" spans="1:16" s="9" customFormat="1" x14ac:dyDescent="0.3">
      <c r="A51" s="572">
        <v>43</v>
      </c>
      <c r="B51" s="165"/>
      <c r="C51" s="161"/>
      <c r="D51" s="1313" t="s">
        <v>292</v>
      </c>
      <c r="E51" s="166"/>
      <c r="F51" s="166"/>
      <c r="G51" s="167"/>
      <c r="H51" s="584"/>
      <c r="I51" s="1085">
        <f>SUM(J51:N51)</f>
        <v>5000</v>
      </c>
      <c r="J51" s="1263"/>
      <c r="K51" s="1263"/>
      <c r="L51" s="1263"/>
      <c r="M51" s="1263"/>
      <c r="N51" s="1264">
        <v>5000</v>
      </c>
    </row>
    <row r="52" spans="1:16" s="1107" customFormat="1" ht="16.5" x14ac:dyDescent="0.3">
      <c r="A52" s="572">
        <v>44</v>
      </c>
      <c r="B52" s="165"/>
      <c r="C52" s="161"/>
      <c r="D52" s="1623" t="s">
        <v>929</v>
      </c>
      <c r="E52" s="166"/>
      <c r="F52" s="166"/>
      <c r="G52" s="167"/>
      <c r="H52" s="584"/>
      <c r="I52" s="1611">
        <f t="shared" ref="I52:I53" si="13">SUM(J52:N52)</f>
        <v>0</v>
      </c>
      <c r="J52" s="1263"/>
      <c r="K52" s="1263"/>
      <c r="L52" s="1263"/>
      <c r="M52" s="1263"/>
      <c r="N52" s="1264"/>
    </row>
    <row r="53" spans="1:16" s="3" customFormat="1" ht="16.5" x14ac:dyDescent="0.3">
      <c r="A53" s="572">
        <v>45</v>
      </c>
      <c r="B53" s="165"/>
      <c r="C53" s="161"/>
      <c r="D53" s="1623" t="s">
        <v>927</v>
      </c>
      <c r="E53" s="166"/>
      <c r="F53" s="166"/>
      <c r="G53" s="167"/>
      <c r="H53" s="584"/>
      <c r="I53" s="1624">
        <f t="shared" si="13"/>
        <v>5000</v>
      </c>
      <c r="J53" s="1263"/>
      <c r="K53" s="1263"/>
      <c r="L53" s="1263"/>
      <c r="M53" s="1263"/>
      <c r="N53" s="1625">
        <f>SUM(N51:N52)</f>
        <v>5000</v>
      </c>
      <c r="O53" s="8"/>
      <c r="P53" s="8"/>
    </row>
    <row r="54" spans="1:16" s="3" customFormat="1" ht="16.5" x14ac:dyDescent="0.3">
      <c r="A54" s="572">
        <v>46</v>
      </c>
      <c r="B54" s="165"/>
      <c r="C54" s="161">
        <v>8</v>
      </c>
      <c r="D54" s="567" t="s">
        <v>553</v>
      </c>
      <c r="E54" s="158">
        <v>2000</v>
      </c>
      <c r="F54" s="166">
        <v>0</v>
      </c>
      <c r="G54" s="167">
        <v>0</v>
      </c>
      <c r="H54" s="583" t="s">
        <v>24</v>
      </c>
      <c r="I54" s="1085"/>
      <c r="J54" s="1263"/>
      <c r="K54" s="1263"/>
      <c r="L54" s="1263"/>
      <c r="M54" s="1263"/>
      <c r="N54" s="1264"/>
      <c r="O54" s="8"/>
      <c r="P54" s="8"/>
    </row>
    <row r="55" spans="1:16" s="1093" customFormat="1" x14ac:dyDescent="0.3">
      <c r="A55" s="572">
        <v>47</v>
      </c>
      <c r="B55" s="155"/>
      <c r="C55" s="156">
        <v>9</v>
      </c>
      <c r="D55" s="567" t="s">
        <v>264</v>
      </c>
      <c r="E55" s="158">
        <v>16207</v>
      </c>
      <c r="F55" s="158">
        <v>0</v>
      </c>
      <c r="G55" s="159">
        <v>5175</v>
      </c>
      <c r="H55" s="583" t="s">
        <v>24</v>
      </c>
      <c r="I55" s="1082"/>
      <c r="J55" s="1255"/>
      <c r="K55" s="1255"/>
      <c r="L55" s="1255"/>
      <c r="M55" s="1255"/>
      <c r="N55" s="1256"/>
    </row>
    <row r="56" spans="1:16" s="9" customFormat="1" x14ac:dyDescent="0.3">
      <c r="A56" s="572">
        <v>48</v>
      </c>
      <c r="B56" s="160"/>
      <c r="C56" s="161"/>
      <c r="D56" s="1089" t="s">
        <v>292</v>
      </c>
      <c r="E56" s="1019"/>
      <c r="F56" s="1626"/>
      <c r="G56" s="1019"/>
      <c r="H56" s="583"/>
      <c r="I56" s="1082">
        <f>SUM(J56:N56)</f>
        <v>1000</v>
      </c>
      <c r="J56" s="1255"/>
      <c r="K56" s="1255"/>
      <c r="L56" s="1255">
        <v>1000</v>
      </c>
      <c r="M56" s="1255"/>
      <c r="N56" s="1256"/>
      <c r="P56" s="8"/>
    </row>
    <row r="57" spans="1:16" s="1107" customFormat="1" x14ac:dyDescent="0.3">
      <c r="A57" s="572">
        <v>49</v>
      </c>
      <c r="B57" s="160"/>
      <c r="C57" s="161"/>
      <c r="D57" s="1499" t="s">
        <v>926</v>
      </c>
      <c r="E57" s="1627"/>
      <c r="F57" s="1018"/>
      <c r="G57" s="1628"/>
      <c r="H57" s="583"/>
      <c r="I57" s="1611">
        <f t="shared" ref="I57:I58" si="14">SUM(J57:N57)</f>
        <v>1482</v>
      </c>
      <c r="J57" s="1255"/>
      <c r="K57" s="1255"/>
      <c r="L57" s="1617">
        <v>1482</v>
      </c>
      <c r="M57" s="1255"/>
      <c r="N57" s="1256"/>
      <c r="P57" s="1093"/>
    </row>
    <row r="58" spans="1:16" s="9" customFormat="1" x14ac:dyDescent="0.3">
      <c r="A58" s="572">
        <v>50</v>
      </c>
      <c r="B58" s="160"/>
      <c r="C58" s="161"/>
      <c r="D58" s="641" t="s">
        <v>927</v>
      </c>
      <c r="E58" s="1019"/>
      <c r="F58" s="1629"/>
      <c r="G58" s="1019"/>
      <c r="H58" s="583"/>
      <c r="I58" s="1615">
        <f t="shared" si="14"/>
        <v>2482</v>
      </c>
      <c r="J58" s="1255"/>
      <c r="K58" s="1255"/>
      <c r="L58" s="1618">
        <f>SUM(L56:L57)</f>
        <v>2482</v>
      </c>
      <c r="M58" s="1255"/>
      <c r="N58" s="1256"/>
      <c r="P58" s="8"/>
    </row>
    <row r="59" spans="1:16" s="9" customFormat="1" x14ac:dyDescent="0.3">
      <c r="A59" s="572">
        <v>51</v>
      </c>
      <c r="B59" s="155"/>
      <c r="C59" s="156">
        <v>10</v>
      </c>
      <c r="D59" s="567" t="s">
        <v>51</v>
      </c>
      <c r="E59" s="158">
        <v>22414</v>
      </c>
      <c r="F59" s="158">
        <v>0</v>
      </c>
      <c r="G59" s="159">
        <v>1313</v>
      </c>
      <c r="H59" s="583" t="s">
        <v>24</v>
      </c>
      <c r="I59" s="1082"/>
      <c r="J59" s="1255"/>
      <c r="K59" s="1255"/>
      <c r="L59" s="1255"/>
      <c r="M59" s="1255"/>
      <c r="N59" s="1256"/>
      <c r="P59" s="8"/>
    </row>
    <row r="60" spans="1:16" s="9" customFormat="1" x14ac:dyDescent="0.3">
      <c r="A60" s="572">
        <v>52</v>
      </c>
      <c r="B60" s="160"/>
      <c r="C60" s="161"/>
      <c r="D60" s="1089" t="s">
        <v>292</v>
      </c>
      <c r="E60" s="158"/>
      <c r="F60" s="158"/>
      <c r="G60" s="159"/>
      <c r="H60" s="583"/>
      <c r="I60" s="1082">
        <f>SUM(J60:N60)</f>
        <v>2000</v>
      </c>
      <c r="J60" s="1255"/>
      <c r="K60" s="1255"/>
      <c r="L60" s="1255">
        <v>2000</v>
      </c>
      <c r="M60" s="1255"/>
      <c r="N60" s="1256"/>
      <c r="P60" s="8"/>
    </row>
    <row r="61" spans="1:16" s="9" customFormat="1" x14ac:dyDescent="0.3">
      <c r="A61" s="572">
        <v>53</v>
      </c>
      <c r="B61" s="160"/>
      <c r="C61" s="161"/>
      <c r="D61" s="1499" t="s">
        <v>926</v>
      </c>
      <c r="E61" s="158"/>
      <c r="F61" s="158"/>
      <c r="G61" s="159"/>
      <c r="H61" s="585"/>
      <c r="I61" s="1611">
        <f t="shared" ref="I61:I62" si="15">SUM(J61:N61)</f>
        <v>4579</v>
      </c>
      <c r="J61" s="1255"/>
      <c r="K61" s="1255"/>
      <c r="L61" s="1617">
        <v>4579</v>
      </c>
      <c r="M61" s="1255"/>
      <c r="N61" s="1256"/>
      <c r="P61" s="8"/>
    </row>
    <row r="62" spans="1:16" s="9" customFormat="1" x14ac:dyDescent="0.3">
      <c r="A62" s="572">
        <v>54</v>
      </c>
      <c r="B62" s="160"/>
      <c r="C62" s="161"/>
      <c r="D62" s="641" t="s">
        <v>927</v>
      </c>
      <c r="E62" s="158"/>
      <c r="F62" s="158"/>
      <c r="G62" s="159"/>
      <c r="H62" s="585"/>
      <c r="I62" s="1615">
        <f t="shared" si="15"/>
        <v>6579</v>
      </c>
      <c r="J62" s="1255"/>
      <c r="K62" s="1255"/>
      <c r="L62" s="1618">
        <f>SUM(L60:L61)</f>
        <v>6579</v>
      </c>
      <c r="M62" s="1255"/>
      <c r="N62" s="1256"/>
      <c r="P62" s="8"/>
    </row>
    <row r="63" spans="1:16" s="1107" customFormat="1" x14ac:dyDescent="0.3">
      <c r="A63" s="572">
        <v>55</v>
      </c>
      <c r="B63" s="155"/>
      <c r="C63" s="156">
        <v>11</v>
      </c>
      <c r="D63" s="567" t="s">
        <v>52</v>
      </c>
      <c r="E63" s="158">
        <v>450</v>
      </c>
      <c r="F63" s="158">
        <v>1000</v>
      </c>
      <c r="G63" s="159">
        <v>186</v>
      </c>
      <c r="H63" s="585" t="s">
        <v>24</v>
      </c>
      <c r="I63" s="1082"/>
      <c r="J63" s="1255"/>
      <c r="K63" s="1255"/>
      <c r="L63" s="1255"/>
      <c r="M63" s="1255"/>
      <c r="N63" s="1256"/>
      <c r="P63" s="1093"/>
    </row>
    <row r="64" spans="1:16" s="9" customFormat="1" x14ac:dyDescent="0.3">
      <c r="A64" s="572">
        <v>56</v>
      </c>
      <c r="B64" s="155"/>
      <c r="C64" s="156"/>
      <c r="D64" s="1499" t="s">
        <v>926</v>
      </c>
      <c r="E64" s="158"/>
      <c r="F64" s="158"/>
      <c r="G64" s="159"/>
      <c r="H64" s="585"/>
      <c r="I64" s="1611">
        <f t="shared" ref="I64:I65" si="16">SUM(J64:N64)</f>
        <v>508</v>
      </c>
      <c r="J64" s="1255"/>
      <c r="K64" s="1255"/>
      <c r="L64" s="1617">
        <v>508</v>
      </c>
      <c r="M64" s="1255"/>
      <c r="N64" s="1256"/>
      <c r="P64" s="8"/>
    </row>
    <row r="65" spans="1:16" s="1107" customFormat="1" x14ac:dyDescent="0.3">
      <c r="A65" s="572">
        <v>57</v>
      </c>
      <c r="B65" s="155"/>
      <c r="C65" s="156"/>
      <c r="D65" s="641" t="s">
        <v>927</v>
      </c>
      <c r="E65" s="158"/>
      <c r="F65" s="158"/>
      <c r="G65" s="159"/>
      <c r="H65" s="585"/>
      <c r="I65" s="1624">
        <f t="shared" si="16"/>
        <v>508</v>
      </c>
      <c r="J65" s="1255"/>
      <c r="K65" s="1255"/>
      <c r="L65" s="1618">
        <f>SUM(L64)</f>
        <v>508</v>
      </c>
      <c r="M65" s="1255"/>
      <c r="N65" s="1622"/>
      <c r="P65" s="1093"/>
    </row>
    <row r="66" spans="1:16" s="9" customFormat="1" x14ac:dyDescent="0.3">
      <c r="A66" s="572">
        <v>58</v>
      </c>
      <c r="B66" s="155"/>
      <c r="C66" s="156">
        <v>12</v>
      </c>
      <c r="D66" s="567" t="s">
        <v>53</v>
      </c>
      <c r="E66" s="158">
        <v>1887</v>
      </c>
      <c r="F66" s="158">
        <v>2000</v>
      </c>
      <c r="G66" s="159">
        <v>0</v>
      </c>
      <c r="H66" s="583" t="s">
        <v>24</v>
      </c>
      <c r="I66" s="1082"/>
      <c r="J66" s="1255"/>
      <c r="K66" s="1255"/>
      <c r="L66" s="1255"/>
      <c r="M66" s="1255"/>
      <c r="N66" s="1256"/>
      <c r="P66" s="8"/>
    </row>
    <row r="67" spans="1:16" s="1107" customFormat="1" x14ac:dyDescent="0.3">
      <c r="A67" s="572">
        <v>59</v>
      </c>
      <c r="B67" s="155"/>
      <c r="C67" s="156"/>
      <c r="D67" s="1499" t="s">
        <v>929</v>
      </c>
      <c r="E67" s="158"/>
      <c r="F67" s="158"/>
      <c r="G67" s="159"/>
      <c r="H67" s="583"/>
      <c r="I67" s="1611">
        <f t="shared" ref="I67:I68" si="17">SUM(J67:N67)</f>
        <v>0</v>
      </c>
      <c r="J67" s="1255"/>
      <c r="K67" s="1255"/>
      <c r="L67" s="1255"/>
      <c r="M67" s="1255"/>
      <c r="N67" s="1256"/>
      <c r="P67" s="1093"/>
    </row>
    <row r="68" spans="1:16" s="9" customFormat="1" x14ac:dyDescent="0.3">
      <c r="A68" s="572">
        <v>60</v>
      </c>
      <c r="B68" s="155"/>
      <c r="C68" s="156"/>
      <c r="D68" s="641" t="s">
        <v>927</v>
      </c>
      <c r="E68" s="158"/>
      <c r="F68" s="158"/>
      <c r="G68" s="159"/>
      <c r="H68" s="583"/>
      <c r="I68" s="1624">
        <f t="shared" si="17"/>
        <v>0</v>
      </c>
      <c r="J68" s="1255"/>
      <c r="K68" s="1255"/>
      <c r="L68" s="1255"/>
      <c r="M68" s="1255"/>
      <c r="N68" s="1622"/>
      <c r="P68" s="8"/>
    </row>
    <row r="69" spans="1:16" s="1107" customFormat="1" x14ac:dyDescent="0.3">
      <c r="A69" s="572">
        <v>61</v>
      </c>
      <c r="B69" s="155"/>
      <c r="C69" s="156">
        <v>13</v>
      </c>
      <c r="D69" s="567" t="s">
        <v>54</v>
      </c>
      <c r="E69" s="158">
        <f>SUM(E70,E71,E72,E73)+E74</f>
        <v>7346</v>
      </c>
      <c r="F69" s="158">
        <f>SUM(F70,F71,F72,F73)</f>
        <v>2925</v>
      </c>
      <c r="G69" s="159">
        <f>SUM(G70,G71,G72,G73)</f>
        <v>6475</v>
      </c>
      <c r="H69" s="583" t="s">
        <v>24</v>
      </c>
      <c r="I69" s="1082"/>
      <c r="J69" s="1255"/>
      <c r="K69" s="1255"/>
      <c r="L69" s="1255"/>
      <c r="M69" s="1255"/>
      <c r="N69" s="1256"/>
      <c r="P69" s="1093"/>
    </row>
    <row r="70" spans="1:16" s="3" customFormat="1" ht="16.5" x14ac:dyDescent="0.3">
      <c r="A70" s="572">
        <v>62</v>
      </c>
      <c r="B70" s="165"/>
      <c r="C70" s="161"/>
      <c r="D70" s="168" t="s">
        <v>273</v>
      </c>
      <c r="E70" s="166"/>
      <c r="F70" s="166">
        <v>1000</v>
      </c>
      <c r="G70" s="167"/>
      <c r="H70" s="584"/>
      <c r="I70" s="1085"/>
      <c r="J70" s="1263"/>
      <c r="K70" s="1263"/>
      <c r="L70" s="1263"/>
      <c r="M70" s="1263"/>
      <c r="N70" s="1264"/>
      <c r="P70" s="8"/>
    </row>
    <row r="71" spans="1:16" s="3" customFormat="1" ht="16.5" x14ac:dyDescent="0.3">
      <c r="A71" s="572">
        <v>63</v>
      </c>
      <c r="B71" s="165"/>
      <c r="C71" s="161"/>
      <c r="D71" s="168" t="s">
        <v>274</v>
      </c>
      <c r="E71" s="166">
        <v>2846</v>
      </c>
      <c r="F71" s="166">
        <v>1500</v>
      </c>
      <c r="G71" s="167">
        <v>1500</v>
      </c>
      <c r="H71" s="584"/>
      <c r="I71" s="1265"/>
      <c r="J71" s="1266"/>
      <c r="K71" s="1266"/>
      <c r="L71" s="1266"/>
      <c r="M71" s="1266"/>
      <c r="N71" s="1267"/>
      <c r="P71" s="8"/>
    </row>
    <row r="72" spans="1:16" s="3" customFormat="1" ht="16.5" x14ac:dyDescent="0.3">
      <c r="A72" s="572">
        <v>64</v>
      </c>
      <c r="B72" s="165"/>
      <c r="C72" s="161"/>
      <c r="D72" s="168" t="s">
        <v>630</v>
      </c>
      <c r="E72" s="166">
        <v>500</v>
      </c>
      <c r="F72" s="166">
        <v>425</v>
      </c>
      <c r="G72" s="167">
        <v>600</v>
      </c>
      <c r="H72" s="584"/>
      <c r="I72" s="1085"/>
      <c r="J72" s="1263"/>
      <c r="K72" s="1263"/>
      <c r="L72" s="1263"/>
      <c r="M72" s="1263"/>
      <c r="N72" s="1264"/>
      <c r="P72" s="8"/>
    </row>
    <row r="73" spans="1:16" s="3" customFormat="1" ht="16.5" x14ac:dyDescent="0.3">
      <c r="A73" s="572">
        <v>65</v>
      </c>
      <c r="B73" s="165"/>
      <c r="C73" s="161"/>
      <c r="D73" s="168" t="s">
        <v>892</v>
      </c>
      <c r="E73" s="166">
        <v>2000</v>
      </c>
      <c r="F73" s="166"/>
      <c r="G73" s="167">
        <v>4375</v>
      </c>
      <c r="H73" s="584"/>
      <c r="I73" s="1085"/>
      <c r="J73" s="1263"/>
      <c r="K73" s="1263"/>
      <c r="L73" s="1263"/>
      <c r="M73" s="1263"/>
      <c r="N73" s="1264"/>
      <c r="P73" s="8"/>
    </row>
    <row r="74" spans="1:16" s="3" customFormat="1" ht="16.5" x14ac:dyDescent="0.3">
      <c r="A74" s="572">
        <v>66</v>
      </c>
      <c r="B74" s="165"/>
      <c r="C74" s="161"/>
      <c r="D74" s="168" t="s">
        <v>891</v>
      </c>
      <c r="E74" s="166">
        <v>2000</v>
      </c>
      <c r="F74" s="166"/>
      <c r="G74" s="167">
        <v>0</v>
      </c>
      <c r="H74" s="584"/>
      <c r="I74" s="1085"/>
      <c r="J74" s="1263"/>
      <c r="K74" s="1263"/>
      <c r="L74" s="1263"/>
      <c r="M74" s="1263"/>
      <c r="N74" s="1264"/>
      <c r="P74" s="8"/>
    </row>
    <row r="75" spans="1:16" s="1093" customFormat="1" x14ac:dyDescent="0.3">
      <c r="A75" s="572">
        <v>67</v>
      </c>
      <c r="B75" s="165"/>
      <c r="C75" s="161">
        <v>14</v>
      </c>
      <c r="D75" s="567" t="s">
        <v>569</v>
      </c>
      <c r="E75" s="166"/>
      <c r="F75" s="166">
        <v>2550</v>
      </c>
      <c r="G75" s="167">
        <v>1000</v>
      </c>
      <c r="H75" s="583" t="s">
        <v>24</v>
      </c>
      <c r="I75" s="1085"/>
      <c r="J75" s="1263"/>
      <c r="K75" s="1263"/>
      <c r="L75" s="1263"/>
      <c r="M75" s="1263"/>
      <c r="N75" s="1264"/>
    </row>
    <row r="76" spans="1:16" s="3" customFormat="1" ht="16.5" x14ac:dyDescent="0.3">
      <c r="A76" s="572">
        <v>68</v>
      </c>
      <c r="B76" s="1100"/>
      <c r="C76" s="1088"/>
      <c r="D76" s="1089" t="s">
        <v>292</v>
      </c>
      <c r="E76" s="1102"/>
      <c r="F76" s="1102"/>
      <c r="G76" s="1103"/>
      <c r="H76" s="1092"/>
      <c r="I76" s="1082">
        <f>SUM(J76:N76)</f>
        <v>1250</v>
      </c>
      <c r="J76" s="1105"/>
      <c r="K76" s="1105"/>
      <c r="L76" s="1105"/>
      <c r="M76" s="1105"/>
      <c r="N76" s="1084">
        <v>1250</v>
      </c>
      <c r="P76" s="8"/>
    </row>
    <row r="77" spans="1:16" s="1093" customFormat="1" x14ac:dyDescent="0.3">
      <c r="A77" s="572">
        <v>69</v>
      </c>
      <c r="B77" s="1100"/>
      <c r="C77" s="1088"/>
      <c r="D77" s="1499" t="s">
        <v>929</v>
      </c>
      <c r="E77" s="1102"/>
      <c r="F77" s="1102"/>
      <c r="G77" s="1103"/>
      <c r="H77" s="1092"/>
      <c r="I77" s="1611">
        <f t="shared" ref="I77:I78" si="18">SUM(J77:N77)</f>
        <v>0</v>
      </c>
      <c r="J77" s="1105"/>
      <c r="K77" s="1105"/>
      <c r="L77" s="1105"/>
      <c r="M77" s="1105"/>
      <c r="N77" s="1084"/>
    </row>
    <row r="78" spans="1:16" s="3" customFormat="1" ht="16.5" x14ac:dyDescent="0.3">
      <c r="A78" s="572">
        <v>70</v>
      </c>
      <c r="B78" s="1100"/>
      <c r="C78" s="1088"/>
      <c r="D78" s="641" t="s">
        <v>927</v>
      </c>
      <c r="E78" s="1102"/>
      <c r="F78" s="1102"/>
      <c r="G78" s="1103"/>
      <c r="H78" s="1092"/>
      <c r="I78" s="1615">
        <f t="shared" si="18"/>
        <v>1250</v>
      </c>
      <c r="J78" s="1105"/>
      <c r="K78" s="1105"/>
      <c r="L78" s="1105"/>
      <c r="M78" s="1105"/>
      <c r="N78" s="1622">
        <f>SUM(N76:N77)</f>
        <v>1250</v>
      </c>
      <c r="P78" s="8"/>
    </row>
    <row r="79" spans="1:16" s="1093" customFormat="1" x14ac:dyDescent="0.3">
      <c r="A79" s="572">
        <v>71</v>
      </c>
      <c r="B79" s="165"/>
      <c r="C79" s="161">
        <v>15</v>
      </c>
      <c r="D79" s="567" t="s">
        <v>570</v>
      </c>
      <c r="E79" s="166"/>
      <c r="F79" s="166">
        <v>2550</v>
      </c>
      <c r="G79" s="167">
        <v>1000</v>
      </c>
      <c r="H79" s="583" t="s">
        <v>24</v>
      </c>
      <c r="I79" s="1085"/>
      <c r="J79" s="1263"/>
      <c r="K79" s="1263"/>
      <c r="L79" s="1263"/>
      <c r="M79" s="1263"/>
      <c r="N79" s="1264"/>
    </row>
    <row r="80" spans="1:16" s="8" customFormat="1" ht="16.5" x14ac:dyDescent="0.3">
      <c r="A80" s="572">
        <v>72</v>
      </c>
      <c r="B80" s="1100"/>
      <c r="C80" s="1088"/>
      <c r="D80" s="1089" t="s">
        <v>292</v>
      </c>
      <c r="E80" s="1102"/>
      <c r="F80" s="1102"/>
      <c r="G80" s="1103"/>
      <c r="H80" s="1092"/>
      <c r="I80" s="1082">
        <f>SUM(J80:N80)</f>
        <v>1250</v>
      </c>
      <c r="J80" s="1105"/>
      <c r="K80" s="1105"/>
      <c r="L80" s="1105"/>
      <c r="M80" s="1105"/>
      <c r="N80" s="1084">
        <v>1250</v>
      </c>
    </row>
    <row r="81" spans="1:16" s="8" customFormat="1" ht="16.5" x14ac:dyDescent="0.3">
      <c r="A81" s="572">
        <v>73</v>
      </c>
      <c r="B81" s="1100"/>
      <c r="C81" s="1088"/>
      <c r="D81" s="1499" t="s">
        <v>929</v>
      </c>
      <c r="E81" s="1102"/>
      <c r="F81" s="1102"/>
      <c r="G81" s="1103"/>
      <c r="H81" s="1092"/>
      <c r="I81" s="1611">
        <f t="shared" ref="I81:I82" si="19">SUM(J81:N81)</f>
        <v>0</v>
      </c>
      <c r="J81" s="1105"/>
      <c r="K81" s="1105"/>
      <c r="L81" s="1105"/>
      <c r="M81" s="1105"/>
      <c r="N81" s="1084"/>
    </row>
    <row r="82" spans="1:16" s="8" customFormat="1" ht="16.5" x14ac:dyDescent="0.3">
      <c r="A82" s="572">
        <v>74</v>
      </c>
      <c r="B82" s="1100"/>
      <c r="C82" s="1088"/>
      <c r="D82" s="641" t="s">
        <v>927</v>
      </c>
      <c r="E82" s="1102"/>
      <c r="F82" s="1102"/>
      <c r="G82" s="1103"/>
      <c r="H82" s="1092"/>
      <c r="I82" s="1615">
        <f t="shared" si="19"/>
        <v>1250</v>
      </c>
      <c r="J82" s="1105"/>
      <c r="K82" s="1105"/>
      <c r="L82" s="1105"/>
      <c r="M82" s="1105"/>
      <c r="N82" s="1622">
        <f>SUM(N80:N81)</f>
        <v>1250</v>
      </c>
    </row>
    <row r="83" spans="1:16" s="1093" customFormat="1" x14ac:dyDescent="0.3">
      <c r="A83" s="572">
        <v>75</v>
      </c>
      <c r="B83" s="165"/>
      <c r="C83" s="161">
        <v>16</v>
      </c>
      <c r="D83" s="567" t="s">
        <v>571</v>
      </c>
      <c r="E83" s="166"/>
      <c r="F83" s="166">
        <v>850</v>
      </c>
      <c r="G83" s="167">
        <v>450</v>
      </c>
      <c r="H83" s="583" t="s">
        <v>24</v>
      </c>
      <c r="I83" s="1085"/>
      <c r="J83" s="1263"/>
      <c r="K83" s="1263"/>
      <c r="L83" s="1263"/>
      <c r="M83" s="1263"/>
      <c r="N83" s="1264"/>
    </row>
    <row r="84" spans="1:16" s="175" customFormat="1" ht="16.5" x14ac:dyDescent="0.3">
      <c r="A84" s="572">
        <v>76</v>
      </c>
      <c r="B84" s="1100"/>
      <c r="C84" s="1088"/>
      <c r="D84" s="1089" t="s">
        <v>292</v>
      </c>
      <c r="E84" s="1102"/>
      <c r="F84" s="1102"/>
      <c r="G84" s="1103"/>
      <c r="H84" s="1104"/>
      <c r="I84" s="1082">
        <f>SUM(J84:N84)</f>
        <v>800</v>
      </c>
      <c r="J84" s="1105"/>
      <c r="K84" s="1105"/>
      <c r="L84" s="1105"/>
      <c r="M84" s="1105"/>
      <c r="N84" s="1084">
        <v>800</v>
      </c>
      <c r="O84" s="151"/>
      <c r="P84" s="8"/>
    </row>
    <row r="85" spans="1:16" s="175" customFormat="1" ht="16.5" x14ac:dyDescent="0.3">
      <c r="A85" s="572">
        <v>77</v>
      </c>
      <c r="B85" s="1100"/>
      <c r="C85" s="1088"/>
      <c r="D85" s="1499" t="s">
        <v>929</v>
      </c>
      <c r="E85" s="1102"/>
      <c r="F85" s="1102"/>
      <c r="G85" s="1103"/>
      <c r="H85" s="1104"/>
      <c r="I85" s="1611">
        <f t="shared" ref="I85:I86" si="20">SUM(J85:N85)</f>
        <v>0</v>
      </c>
      <c r="J85" s="1105"/>
      <c r="K85" s="1105"/>
      <c r="L85" s="1105"/>
      <c r="M85" s="1105"/>
      <c r="N85" s="1106"/>
      <c r="O85" s="151"/>
      <c r="P85" s="8"/>
    </row>
    <row r="86" spans="1:16" s="3" customFormat="1" ht="16.5" x14ac:dyDescent="0.3">
      <c r="A86" s="572">
        <v>78</v>
      </c>
      <c r="B86" s="1100"/>
      <c r="C86" s="1088"/>
      <c r="D86" s="641" t="s">
        <v>927</v>
      </c>
      <c r="E86" s="1102"/>
      <c r="F86" s="1102"/>
      <c r="G86" s="1103"/>
      <c r="H86" s="1104"/>
      <c r="I86" s="1615">
        <f t="shared" si="20"/>
        <v>800</v>
      </c>
      <c r="J86" s="1105"/>
      <c r="K86" s="1105"/>
      <c r="L86" s="1105"/>
      <c r="M86" s="1105"/>
      <c r="N86" s="1622">
        <f>SUM(N84:N85)</f>
        <v>800</v>
      </c>
      <c r="P86" s="8"/>
    </row>
    <row r="87" spans="1:16" s="1093" customFormat="1" x14ac:dyDescent="0.3">
      <c r="A87" s="572">
        <v>79</v>
      </c>
      <c r="B87" s="165"/>
      <c r="C87" s="156">
        <v>17</v>
      </c>
      <c r="D87" s="567" t="s">
        <v>456</v>
      </c>
      <c r="E87" s="166">
        <v>650</v>
      </c>
      <c r="F87" s="166">
        <v>553</v>
      </c>
      <c r="G87" s="167">
        <v>500</v>
      </c>
      <c r="H87" s="583" t="s">
        <v>24</v>
      </c>
      <c r="I87" s="1085"/>
      <c r="J87" s="1263"/>
      <c r="K87" s="1263"/>
      <c r="L87" s="1263"/>
      <c r="M87" s="1263"/>
      <c r="N87" s="1264"/>
    </row>
    <row r="88" spans="1:16" s="1093" customFormat="1" x14ac:dyDescent="0.3">
      <c r="A88" s="572">
        <v>80</v>
      </c>
      <c r="B88" s="1100"/>
      <c r="C88" s="1088"/>
      <c r="D88" s="1089" t="s">
        <v>292</v>
      </c>
      <c r="E88" s="1630"/>
      <c r="F88" s="1109"/>
      <c r="G88" s="1631"/>
      <c r="H88" s="1104"/>
      <c r="I88" s="1082">
        <f>SUM(J88:N88)</f>
        <v>500</v>
      </c>
      <c r="J88" s="1105"/>
      <c r="K88" s="1105"/>
      <c r="L88" s="1105"/>
      <c r="M88" s="1105"/>
      <c r="N88" s="1106">
        <v>500</v>
      </c>
    </row>
    <row r="89" spans="1:16" s="1093" customFormat="1" x14ac:dyDescent="0.3">
      <c r="A89" s="572">
        <v>81</v>
      </c>
      <c r="B89" s="1100"/>
      <c r="C89" s="1088"/>
      <c r="D89" s="1499" t="s">
        <v>929</v>
      </c>
      <c r="E89" s="1630"/>
      <c r="F89" s="1109"/>
      <c r="G89" s="1631"/>
      <c r="H89" s="1104"/>
      <c r="I89" s="1611">
        <f t="shared" ref="I89:I90" si="21">SUM(J89:N89)</f>
        <v>0</v>
      </c>
      <c r="J89" s="1105"/>
      <c r="K89" s="1105"/>
      <c r="L89" s="1105"/>
      <c r="M89" s="1105"/>
      <c r="N89" s="1106"/>
    </row>
    <row r="90" spans="1:16" s="1093" customFormat="1" x14ac:dyDescent="0.3">
      <c r="A90" s="572">
        <v>82</v>
      </c>
      <c r="B90" s="1100"/>
      <c r="C90" s="1088"/>
      <c r="D90" s="641" t="s">
        <v>927</v>
      </c>
      <c r="E90" s="1108"/>
      <c r="F90" s="1632"/>
      <c r="G90" s="1108"/>
      <c r="H90" s="1104"/>
      <c r="I90" s="1615">
        <f t="shared" si="21"/>
        <v>500</v>
      </c>
      <c r="J90" s="1105"/>
      <c r="K90" s="1105"/>
      <c r="L90" s="1105"/>
      <c r="M90" s="1105"/>
      <c r="N90" s="1622">
        <f>SUM(N88:N89)</f>
        <v>500</v>
      </c>
    </row>
    <row r="91" spans="1:16" s="1093" customFormat="1" x14ac:dyDescent="0.3">
      <c r="A91" s="572">
        <v>83</v>
      </c>
      <c r="B91" s="155"/>
      <c r="C91" s="156">
        <v>18</v>
      </c>
      <c r="D91" s="567" t="s">
        <v>55</v>
      </c>
      <c r="E91" s="158">
        <v>5000</v>
      </c>
      <c r="F91" s="158">
        <v>840</v>
      </c>
      <c r="G91" s="159">
        <v>1250</v>
      </c>
      <c r="H91" s="583" t="s">
        <v>24</v>
      </c>
      <c r="I91" s="1260"/>
      <c r="J91" s="1261"/>
      <c r="K91" s="1261"/>
      <c r="L91" s="1261"/>
      <c r="M91" s="1261"/>
      <c r="N91" s="1262"/>
    </row>
    <row r="92" spans="1:16" s="3" customFormat="1" ht="16.5" x14ac:dyDescent="0.3">
      <c r="A92" s="572">
        <v>84</v>
      </c>
      <c r="B92" s="155"/>
      <c r="C92" s="156">
        <v>19</v>
      </c>
      <c r="D92" s="567" t="s">
        <v>245</v>
      </c>
      <c r="E92" s="158">
        <f>SUM(E96,E100,E101,E102,E103)</f>
        <v>97600</v>
      </c>
      <c r="F92" s="158">
        <f>SUM(F96,F100,F101,F102,F103)</f>
        <v>40935</v>
      </c>
      <c r="G92" s="159">
        <f>SUM(G96,G100,G101,G102,G103)</f>
        <v>75274</v>
      </c>
      <c r="H92" s="583" t="s">
        <v>24</v>
      </c>
      <c r="I92" s="1260"/>
      <c r="J92" s="1261"/>
      <c r="K92" s="1261"/>
      <c r="L92" s="1261"/>
      <c r="M92" s="1261"/>
      <c r="N92" s="1262"/>
      <c r="P92" s="8"/>
    </row>
    <row r="93" spans="1:16" s="1093" customFormat="1" x14ac:dyDescent="0.3">
      <c r="A93" s="572">
        <v>85</v>
      </c>
      <c r="B93" s="1087"/>
      <c r="C93" s="1088"/>
      <c r="D93" s="1089" t="s">
        <v>292</v>
      </c>
      <c r="E93" s="1090"/>
      <c r="F93" s="1090"/>
      <c r="G93" s="1091"/>
      <c r="H93" s="1092"/>
      <c r="I93" s="1082">
        <f>SUM(J93:N93)</f>
        <v>25000</v>
      </c>
      <c r="J93" s="1086">
        <f>SUM(J97,)</f>
        <v>0</v>
      </c>
      <c r="K93" s="1086">
        <f t="shared" ref="K93:N93" si="22">SUM(K97,)</f>
        <v>0</v>
      </c>
      <c r="L93" s="1086">
        <f t="shared" si="22"/>
        <v>0</v>
      </c>
      <c r="M93" s="1086">
        <f t="shared" si="22"/>
        <v>0</v>
      </c>
      <c r="N93" s="1348">
        <f t="shared" si="22"/>
        <v>25000</v>
      </c>
    </row>
    <row r="94" spans="1:16" s="3" customFormat="1" ht="16.5" x14ac:dyDescent="0.3">
      <c r="A94" s="572">
        <v>86</v>
      </c>
      <c r="B94" s="1087"/>
      <c r="C94" s="1088"/>
      <c r="D94" s="1499" t="s">
        <v>929</v>
      </c>
      <c r="E94" s="1090"/>
      <c r="F94" s="1090"/>
      <c r="G94" s="1091"/>
      <c r="H94" s="1092"/>
      <c r="I94" s="1611">
        <f t="shared" ref="I94:I95" si="23">SUM(J94:N94)</f>
        <v>0</v>
      </c>
      <c r="J94" s="1266">
        <f>J98</f>
        <v>0</v>
      </c>
      <c r="K94" s="1266">
        <f t="shared" ref="K94:N94" si="24">K98</f>
        <v>0</v>
      </c>
      <c r="L94" s="1266">
        <f t="shared" si="24"/>
        <v>0</v>
      </c>
      <c r="M94" s="1266">
        <f t="shared" si="24"/>
        <v>0</v>
      </c>
      <c r="N94" s="1267">
        <f t="shared" si="24"/>
        <v>0</v>
      </c>
      <c r="P94" s="8"/>
    </row>
    <row r="95" spans="1:16" s="1093" customFormat="1" x14ac:dyDescent="0.3">
      <c r="A95" s="572">
        <v>87</v>
      </c>
      <c r="B95" s="1087"/>
      <c r="C95" s="1088"/>
      <c r="D95" s="641" t="s">
        <v>927</v>
      </c>
      <c r="E95" s="1090"/>
      <c r="F95" s="1090"/>
      <c r="G95" s="1091"/>
      <c r="H95" s="1092"/>
      <c r="I95" s="1615">
        <f t="shared" si="23"/>
        <v>25000</v>
      </c>
      <c r="J95" s="1633">
        <f>SUM(J93:J94)</f>
        <v>0</v>
      </c>
      <c r="K95" s="1633">
        <f t="shared" ref="K95:N95" si="25">SUM(K93:K94)</f>
        <v>0</v>
      </c>
      <c r="L95" s="1633">
        <f t="shared" si="25"/>
        <v>0</v>
      </c>
      <c r="M95" s="1633">
        <f t="shared" si="25"/>
        <v>0</v>
      </c>
      <c r="N95" s="1634">
        <f t="shared" si="25"/>
        <v>25000</v>
      </c>
    </row>
    <row r="96" spans="1:16" s="3" customFormat="1" ht="16.5" x14ac:dyDescent="0.3">
      <c r="A96" s="572">
        <v>88</v>
      </c>
      <c r="B96" s="165"/>
      <c r="C96" s="549"/>
      <c r="D96" s="426" t="s">
        <v>56</v>
      </c>
      <c r="E96" s="166">
        <v>83500</v>
      </c>
      <c r="F96" s="166">
        <v>25975</v>
      </c>
      <c r="G96" s="167">
        <v>74100</v>
      </c>
      <c r="H96" s="584"/>
      <c r="I96" s="1085"/>
      <c r="J96" s="1263"/>
      <c r="K96" s="1263"/>
      <c r="L96" s="1263"/>
      <c r="M96" s="1263"/>
      <c r="N96" s="1264"/>
      <c r="P96" s="8"/>
    </row>
    <row r="97" spans="1:16" s="1093" customFormat="1" x14ac:dyDescent="0.3">
      <c r="A97" s="572">
        <v>89</v>
      </c>
      <c r="B97" s="1100"/>
      <c r="C97" s="1088"/>
      <c r="D97" s="1110" t="s">
        <v>292</v>
      </c>
      <c r="E97" s="1102"/>
      <c r="F97" s="1102"/>
      <c r="G97" s="1103"/>
      <c r="H97" s="1104"/>
      <c r="I97" s="1085">
        <f>SUM(J97:N97)</f>
        <v>25000</v>
      </c>
      <c r="J97" s="1105"/>
      <c r="K97" s="1105"/>
      <c r="L97" s="1105"/>
      <c r="M97" s="1105"/>
      <c r="N97" s="1106">
        <v>25000</v>
      </c>
    </row>
    <row r="98" spans="1:16" s="8" customFormat="1" ht="16.5" x14ac:dyDescent="0.3">
      <c r="A98" s="572">
        <v>90</v>
      </c>
      <c r="B98" s="1100"/>
      <c r="C98" s="1088"/>
      <c r="D98" s="1623" t="s">
        <v>929</v>
      </c>
      <c r="E98" s="1102"/>
      <c r="F98" s="1102"/>
      <c r="G98" s="1103"/>
      <c r="H98" s="1104"/>
      <c r="I98" s="1611">
        <f t="shared" ref="I98:I99" si="26">SUM(J98:N98)</f>
        <v>0</v>
      </c>
      <c r="J98" s="1105"/>
      <c r="K98" s="1105"/>
      <c r="L98" s="1105"/>
      <c r="M98" s="1105"/>
      <c r="N98" s="1106"/>
    </row>
    <row r="99" spans="1:16" s="1093" customFormat="1" x14ac:dyDescent="0.3">
      <c r="A99" s="572">
        <v>91</v>
      </c>
      <c r="B99" s="1100"/>
      <c r="C99" s="1088"/>
      <c r="D99" s="1623" t="s">
        <v>927</v>
      </c>
      <c r="E99" s="1102"/>
      <c r="F99" s="1102"/>
      <c r="G99" s="1103"/>
      <c r="H99" s="1104"/>
      <c r="I99" s="1624">
        <f t="shared" si="26"/>
        <v>25000</v>
      </c>
      <c r="J99" s="1105"/>
      <c r="K99" s="1105"/>
      <c r="L99" s="1105"/>
      <c r="M99" s="1105"/>
      <c r="N99" s="1621">
        <f>SUM(N97:N98)</f>
        <v>25000</v>
      </c>
    </row>
    <row r="100" spans="1:16" s="3" customFormat="1" ht="16.5" x14ac:dyDescent="0.3">
      <c r="A100" s="572">
        <v>92</v>
      </c>
      <c r="B100" s="165"/>
      <c r="C100" s="549"/>
      <c r="D100" s="427" t="s">
        <v>57</v>
      </c>
      <c r="E100" s="166">
        <v>5600</v>
      </c>
      <c r="F100" s="166">
        <v>6460</v>
      </c>
      <c r="G100" s="167">
        <v>466</v>
      </c>
      <c r="H100" s="584"/>
      <c r="I100" s="1265"/>
      <c r="J100" s="1266"/>
      <c r="K100" s="1266"/>
      <c r="L100" s="1266"/>
      <c r="M100" s="1266"/>
      <c r="N100" s="1267"/>
      <c r="O100" s="8"/>
      <c r="P100" s="8"/>
    </row>
    <row r="101" spans="1:16" s="1093" customFormat="1" x14ac:dyDescent="0.3">
      <c r="A101" s="572">
        <v>93</v>
      </c>
      <c r="B101" s="165"/>
      <c r="C101" s="161"/>
      <c r="D101" s="427" t="s">
        <v>58</v>
      </c>
      <c r="E101" s="166">
        <v>4500</v>
      </c>
      <c r="F101" s="166">
        <v>4500</v>
      </c>
      <c r="G101" s="167">
        <v>375</v>
      </c>
      <c r="H101" s="584"/>
      <c r="I101" s="1265"/>
      <c r="J101" s="1266"/>
      <c r="K101" s="1266"/>
      <c r="L101" s="1266"/>
      <c r="M101" s="1266"/>
      <c r="N101" s="1267"/>
    </row>
    <row r="102" spans="1:16" s="1093" customFormat="1" x14ac:dyDescent="0.3">
      <c r="A102" s="572">
        <v>94</v>
      </c>
      <c r="B102" s="165"/>
      <c r="C102" s="161"/>
      <c r="D102" s="427" t="s">
        <v>59</v>
      </c>
      <c r="E102" s="166">
        <v>3000</v>
      </c>
      <c r="F102" s="166">
        <v>3000</v>
      </c>
      <c r="G102" s="167">
        <v>250</v>
      </c>
      <c r="H102" s="584"/>
      <c r="I102" s="1265"/>
      <c r="J102" s="1266"/>
      <c r="K102" s="1266"/>
      <c r="L102" s="1266"/>
      <c r="M102" s="1266"/>
      <c r="N102" s="1267"/>
    </row>
    <row r="103" spans="1:16" s="1093" customFormat="1" x14ac:dyDescent="0.3">
      <c r="A103" s="572">
        <v>95</v>
      </c>
      <c r="B103" s="165"/>
      <c r="C103" s="161"/>
      <c r="D103" s="427" t="s">
        <v>344</v>
      </c>
      <c r="E103" s="166">
        <v>1000</v>
      </c>
      <c r="F103" s="166">
        <v>1000</v>
      </c>
      <c r="G103" s="167">
        <v>83</v>
      </c>
      <c r="H103" s="584"/>
      <c r="I103" s="1265"/>
      <c r="J103" s="1266"/>
      <c r="K103" s="1266"/>
      <c r="L103" s="1266"/>
      <c r="M103" s="1266"/>
      <c r="N103" s="1267"/>
    </row>
    <row r="104" spans="1:16" s="1093" customFormat="1" ht="22.5" hidden="1" customHeight="1" x14ac:dyDescent="0.3">
      <c r="A104" s="572">
        <v>96</v>
      </c>
      <c r="B104" s="165"/>
      <c r="C104" s="161">
        <v>20</v>
      </c>
      <c r="D104" s="1635" t="s">
        <v>583</v>
      </c>
      <c r="E104" s="166"/>
      <c r="F104" s="166">
        <v>425</v>
      </c>
      <c r="G104" s="167">
        <v>0</v>
      </c>
      <c r="H104" s="583" t="s">
        <v>24</v>
      </c>
      <c r="I104" s="1085"/>
      <c r="J104" s="1263"/>
      <c r="K104" s="1263"/>
      <c r="L104" s="1263"/>
      <c r="M104" s="1263"/>
      <c r="N104" s="1264"/>
    </row>
    <row r="105" spans="1:16" s="1093" customFormat="1" ht="18" hidden="1" customHeight="1" x14ac:dyDescent="0.3">
      <c r="A105" s="572">
        <v>97</v>
      </c>
      <c r="B105" s="1100"/>
      <c r="C105" s="1088"/>
      <c r="D105" s="1089" t="s">
        <v>292</v>
      </c>
      <c r="E105" s="1102"/>
      <c r="F105" s="1102"/>
      <c r="G105" s="1103"/>
      <c r="H105" s="1092"/>
      <c r="I105" s="1082">
        <f>SUM(J105:N105)</f>
        <v>0</v>
      </c>
      <c r="J105" s="1105"/>
      <c r="K105" s="1105"/>
      <c r="L105" s="1105"/>
      <c r="M105" s="1105"/>
      <c r="N105" s="1106"/>
    </row>
    <row r="106" spans="1:16" s="108" customFormat="1" ht="22.5" hidden="1" customHeight="1" x14ac:dyDescent="0.35">
      <c r="A106" s="572">
        <v>98</v>
      </c>
      <c r="B106" s="165"/>
      <c r="C106" s="161">
        <v>21</v>
      </c>
      <c r="D106" s="567" t="s">
        <v>572</v>
      </c>
      <c r="E106" s="166"/>
      <c r="F106" s="166">
        <v>425</v>
      </c>
      <c r="G106" s="167">
        <v>13</v>
      </c>
      <c r="H106" s="583" t="s">
        <v>24</v>
      </c>
      <c r="I106" s="1082"/>
      <c r="J106" s="1263"/>
      <c r="K106" s="1263"/>
      <c r="L106" s="1263"/>
      <c r="M106" s="1263"/>
      <c r="N106" s="1264"/>
      <c r="O106" s="563"/>
      <c r="P106" s="563"/>
    </row>
    <row r="107" spans="1:16" s="1093" customFormat="1" ht="18" hidden="1" customHeight="1" x14ac:dyDescent="0.3">
      <c r="A107" s="572">
        <v>99</v>
      </c>
      <c r="B107" s="1100"/>
      <c r="C107" s="1088"/>
      <c r="D107" s="1089" t="s">
        <v>292</v>
      </c>
      <c r="E107" s="1102"/>
      <c r="F107" s="1102"/>
      <c r="G107" s="1103"/>
      <c r="H107" s="1092"/>
      <c r="I107" s="1082">
        <f>SUM(J107:N107)</f>
        <v>0</v>
      </c>
      <c r="J107" s="1105"/>
      <c r="K107" s="1105"/>
      <c r="L107" s="1105"/>
      <c r="M107" s="1105"/>
      <c r="N107" s="1106"/>
    </row>
    <row r="108" spans="1:16" s="108" customFormat="1" ht="22.5" hidden="1" customHeight="1" x14ac:dyDescent="0.35">
      <c r="A108" s="572">
        <v>100</v>
      </c>
      <c r="B108" s="165"/>
      <c r="C108" s="161">
        <v>22</v>
      </c>
      <c r="D108" s="567" t="s">
        <v>582</v>
      </c>
      <c r="E108" s="166"/>
      <c r="F108" s="166">
        <v>850</v>
      </c>
      <c r="G108" s="167">
        <v>0</v>
      </c>
      <c r="H108" s="583" t="s">
        <v>24</v>
      </c>
      <c r="I108" s="1082"/>
      <c r="J108" s="1263"/>
      <c r="K108" s="1263"/>
      <c r="L108" s="1263"/>
      <c r="M108" s="1263"/>
      <c r="N108" s="1264"/>
      <c r="O108" s="563"/>
      <c r="P108" s="563"/>
    </row>
    <row r="109" spans="1:16" s="1093" customFormat="1" ht="18" hidden="1" customHeight="1" x14ac:dyDescent="0.3">
      <c r="A109" s="572">
        <v>101</v>
      </c>
      <c r="B109" s="1100"/>
      <c r="C109" s="1088"/>
      <c r="D109" s="1089" t="s">
        <v>292</v>
      </c>
      <c r="E109" s="1102"/>
      <c r="F109" s="1102"/>
      <c r="G109" s="1103"/>
      <c r="H109" s="1104"/>
      <c r="I109" s="1082">
        <f>SUM(J109:N109)</f>
        <v>0</v>
      </c>
      <c r="J109" s="1105"/>
      <c r="K109" s="1105"/>
      <c r="L109" s="1105"/>
      <c r="M109" s="1105"/>
      <c r="N109" s="1106"/>
    </row>
    <row r="110" spans="1:16" s="108" customFormat="1" ht="22.5" hidden="1" customHeight="1" x14ac:dyDescent="0.35">
      <c r="A110" s="572">
        <v>102</v>
      </c>
      <c r="B110" s="165"/>
      <c r="C110" s="161">
        <v>23</v>
      </c>
      <c r="D110" s="567" t="s">
        <v>573</v>
      </c>
      <c r="E110" s="166"/>
      <c r="F110" s="166">
        <v>2550</v>
      </c>
      <c r="G110" s="167">
        <v>0</v>
      </c>
      <c r="H110" s="583" t="s">
        <v>24</v>
      </c>
      <c r="I110" s="1082"/>
      <c r="J110" s="1263"/>
      <c r="K110" s="1263"/>
      <c r="L110" s="1263"/>
      <c r="M110" s="1263"/>
      <c r="N110" s="1264"/>
      <c r="O110" s="563"/>
      <c r="P110" s="563"/>
    </row>
    <row r="111" spans="1:16" s="1093" customFormat="1" ht="18" hidden="1" customHeight="1" x14ac:dyDescent="0.3">
      <c r="A111" s="572">
        <v>103</v>
      </c>
      <c r="B111" s="1100"/>
      <c r="C111" s="1088"/>
      <c r="D111" s="1089" t="s">
        <v>292</v>
      </c>
      <c r="E111" s="1102"/>
      <c r="F111" s="1102"/>
      <c r="G111" s="1103"/>
      <c r="H111" s="1104"/>
      <c r="I111" s="1082">
        <f>SUM(J111:N111)</f>
        <v>0</v>
      </c>
      <c r="J111" s="1105"/>
      <c r="K111" s="1105"/>
      <c r="L111" s="1105"/>
      <c r="M111" s="1105"/>
      <c r="N111" s="1106"/>
    </row>
    <row r="112" spans="1:16" s="599" customFormat="1" ht="18" hidden="1" customHeight="1" x14ac:dyDescent="0.3">
      <c r="A112" s="572">
        <v>104</v>
      </c>
      <c r="B112" s="155"/>
      <c r="C112" s="156">
        <v>24</v>
      </c>
      <c r="D112" s="567" t="s">
        <v>60</v>
      </c>
      <c r="E112" s="158">
        <v>2500</v>
      </c>
      <c r="F112" s="158">
        <v>0</v>
      </c>
      <c r="G112" s="167">
        <v>0</v>
      </c>
      <c r="H112" s="583" t="s">
        <v>24</v>
      </c>
      <c r="I112" s="1082"/>
      <c r="J112" s="1255"/>
      <c r="K112" s="1255"/>
      <c r="L112" s="1255"/>
      <c r="M112" s="1255"/>
      <c r="N112" s="1256"/>
      <c r="P112" s="600"/>
    </row>
    <row r="113" spans="1:16" s="1112" customFormat="1" ht="18" hidden="1" customHeight="1" x14ac:dyDescent="0.3">
      <c r="A113" s="572">
        <v>105</v>
      </c>
      <c r="B113" s="179"/>
      <c r="C113" s="161"/>
      <c r="D113" s="162" t="s">
        <v>292</v>
      </c>
      <c r="E113" s="185"/>
      <c r="F113" s="185"/>
      <c r="G113" s="186"/>
      <c r="H113" s="585"/>
      <c r="I113" s="1082">
        <f>SUM(J113:N113)</f>
        <v>0</v>
      </c>
      <c r="J113" s="1258"/>
      <c r="K113" s="1258"/>
      <c r="L113" s="1258"/>
      <c r="M113" s="1258"/>
      <c r="N113" s="1259"/>
      <c r="P113" s="1113"/>
    </row>
    <row r="114" spans="1:16" s="599" customFormat="1" ht="18" hidden="1" customHeight="1" x14ac:dyDescent="0.3">
      <c r="A114" s="572">
        <v>106</v>
      </c>
      <c r="B114" s="155"/>
      <c r="C114" s="156">
        <v>25</v>
      </c>
      <c r="D114" s="567" t="s">
        <v>303</v>
      </c>
      <c r="E114" s="158">
        <v>2500</v>
      </c>
      <c r="F114" s="158">
        <v>0</v>
      </c>
      <c r="G114" s="159">
        <v>0</v>
      </c>
      <c r="H114" s="583" t="s">
        <v>24</v>
      </c>
      <c r="I114" s="1082"/>
      <c r="J114" s="1255"/>
      <c r="K114" s="1255"/>
      <c r="L114" s="1255"/>
      <c r="M114" s="1255"/>
      <c r="N114" s="1256"/>
      <c r="P114" s="600"/>
    </row>
    <row r="115" spans="1:16" s="599" customFormat="1" ht="18" hidden="1" customHeight="1" x14ac:dyDescent="0.3">
      <c r="A115" s="572">
        <v>107</v>
      </c>
      <c r="B115" s="179"/>
      <c r="C115" s="161"/>
      <c r="D115" s="162" t="s">
        <v>292</v>
      </c>
      <c r="E115" s="185"/>
      <c r="F115" s="185"/>
      <c r="G115" s="186"/>
      <c r="H115" s="585"/>
      <c r="I115" s="1082">
        <f>SUM(J115:N115)</f>
        <v>0</v>
      </c>
      <c r="J115" s="1258"/>
      <c r="K115" s="1258"/>
      <c r="L115" s="1258"/>
      <c r="M115" s="1258"/>
      <c r="N115" s="1259"/>
      <c r="P115" s="600"/>
    </row>
    <row r="116" spans="1:16" s="599" customFormat="1" ht="18" hidden="1" customHeight="1" x14ac:dyDescent="0.3">
      <c r="A116" s="572">
        <v>108</v>
      </c>
      <c r="B116" s="155"/>
      <c r="C116" s="156">
        <v>26</v>
      </c>
      <c r="D116" s="567" t="s">
        <v>61</v>
      </c>
      <c r="E116" s="158">
        <v>1500</v>
      </c>
      <c r="F116" s="158">
        <v>1275</v>
      </c>
      <c r="G116" s="159">
        <v>0</v>
      </c>
      <c r="H116" s="583" t="s">
        <v>24</v>
      </c>
      <c r="I116" s="1082"/>
      <c r="J116" s="1255"/>
      <c r="K116" s="1255"/>
      <c r="L116" s="1255"/>
      <c r="M116" s="1255"/>
      <c r="N116" s="1256"/>
      <c r="P116" s="600"/>
    </row>
    <row r="117" spans="1:16" s="1112" customFormat="1" ht="18" hidden="1" customHeight="1" x14ac:dyDescent="0.3">
      <c r="A117" s="572">
        <v>109</v>
      </c>
      <c r="B117" s="1087"/>
      <c r="C117" s="1088"/>
      <c r="D117" s="1089" t="s">
        <v>292</v>
      </c>
      <c r="E117" s="1090"/>
      <c r="F117" s="1090"/>
      <c r="G117" s="1091"/>
      <c r="H117" s="1092"/>
      <c r="I117" s="1082">
        <f>SUM(J117:N117)</f>
        <v>0</v>
      </c>
      <c r="J117" s="1083"/>
      <c r="K117" s="1083"/>
      <c r="L117" s="1083"/>
      <c r="M117" s="1083"/>
      <c r="N117" s="1084"/>
      <c r="P117" s="1113"/>
    </row>
    <row r="118" spans="1:16" s="108" customFormat="1" ht="22.5" hidden="1" customHeight="1" x14ac:dyDescent="0.35">
      <c r="A118" s="572">
        <v>110</v>
      </c>
      <c r="B118" s="155"/>
      <c r="C118" s="156">
        <v>27</v>
      </c>
      <c r="D118" s="567" t="s">
        <v>62</v>
      </c>
      <c r="E118" s="158">
        <v>1000</v>
      </c>
      <c r="F118" s="158">
        <v>850</v>
      </c>
      <c r="G118" s="159">
        <v>0</v>
      </c>
      <c r="H118" s="583" t="s">
        <v>24</v>
      </c>
      <c r="I118" s="1082"/>
      <c r="J118" s="1255"/>
      <c r="K118" s="1255"/>
      <c r="L118" s="1255"/>
      <c r="M118" s="1255"/>
      <c r="N118" s="1256"/>
      <c r="O118" s="563"/>
      <c r="P118" s="563"/>
    </row>
    <row r="119" spans="1:16" s="1093" customFormat="1" ht="18" hidden="1" customHeight="1" x14ac:dyDescent="0.3">
      <c r="A119" s="572">
        <v>111</v>
      </c>
      <c r="B119" s="1087"/>
      <c r="C119" s="1088"/>
      <c r="D119" s="1089" t="s">
        <v>292</v>
      </c>
      <c r="E119" s="1090"/>
      <c r="F119" s="1090"/>
      <c r="G119" s="1091"/>
      <c r="H119" s="1092"/>
      <c r="I119" s="1082">
        <f>SUM(J119:N119)</f>
        <v>0</v>
      </c>
      <c r="J119" s="1083"/>
      <c r="K119" s="1083"/>
      <c r="L119" s="1083"/>
      <c r="M119" s="1083"/>
      <c r="N119" s="1084"/>
    </row>
    <row r="120" spans="1:16" s="599" customFormat="1" ht="18" hidden="1" customHeight="1" x14ac:dyDescent="0.3">
      <c r="A120" s="572">
        <v>112</v>
      </c>
      <c r="B120" s="155"/>
      <c r="C120" s="156">
        <v>28</v>
      </c>
      <c r="D120" s="567" t="s">
        <v>265</v>
      </c>
      <c r="E120" s="158">
        <v>5000</v>
      </c>
      <c r="F120" s="158">
        <v>4250</v>
      </c>
      <c r="G120" s="159">
        <v>4480</v>
      </c>
      <c r="H120" s="583" t="s">
        <v>24</v>
      </c>
      <c r="I120" s="1082"/>
      <c r="J120" s="1255"/>
      <c r="K120" s="1255"/>
      <c r="L120" s="1255"/>
      <c r="M120" s="1255"/>
      <c r="N120" s="1256"/>
      <c r="P120" s="600"/>
    </row>
    <row r="121" spans="1:16" s="599" customFormat="1" ht="18" hidden="1" customHeight="1" x14ac:dyDescent="0.3">
      <c r="A121" s="572">
        <v>113</v>
      </c>
      <c r="B121" s="1087"/>
      <c r="C121" s="1088"/>
      <c r="D121" s="1089" t="s">
        <v>292</v>
      </c>
      <c r="E121" s="1090"/>
      <c r="F121" s="1090"/>
      <c r="G121" s="1091"/>
      <c r="H121" s="1092"/>
      <c r="I121" s="1082">
        <f t="shared" ref="I121:I137" si="27">SUM(J121:N121)</f>
        <v>0</v>
      </c>
      <c r="J121" s="1083"/>
      <c r="K121" s="1083"/>
      <c r="L121" s="1083"/>
      <c r="M121" s="1083"/>
      <c r="N121" s="1084"/>
      <c r="P121" s="600"/>
    </row>
    <row r="122" spans="1:16" s="1112" customFormat="1" ht="18" hidden="1" customHeight="1" x14ac:dyDescent="0.3">
      <c r="A122" s="572">
        <v>114</v>
      </c>
      <c r="B122" s="160"/>
      <c r="C122" s="156">
        <v>29</v>
      </c>
      <c r="D122" s="566" t="s">
        <v>422</v>
      </c>
      <c r="E122" s="158">
        <v>3250</v>
      </c>
      <c r="F122" s="158">
        <v>0</v>
      </c>
      <c r="G122" s="159">
        <v>0</v>
      </c>
      <c r="H122" s="583" t="s">
        <v>24</v>
      </c>
      <c r="I122" s="1082"/>
      <c r="J122" s="1255"/>
      <c r="K122" s="1255"/>
      <c r="L122" s="1255"/>
      <c r="M122" s="1255"/>
      <c r="N122" s="1256"/>
      <c r="P122" s="1113"/>
    </row>
    <row r="123" spans="1:16" s="599" customFormat="1" ht="18" hidden="1" customHeight="1" x14ac:dyDescent="0.3">
      <c r="A123" s="572">
        <v>115</v>
      </c>
      <c r="B123" s="160"/>
      <c r="C123" s="161"/>
      <c r="D123" s="162" t="s">
        <v>292</v>
      </c>
      <c r="E123" s="158"/>
      <c r="F123" s="158"/>
      <c r="G123" s="159"/>
      <c r="H123" s="583"/>
      <c r="I123" s="1082">
        <f t="shared" si="27"/>
        <v>0</v>
      </c>
      <c r="J123" s="1255"/>
      <c r="K123" s="1255"/>
      <c r="L123" s="1255"/>
      <c r="M123" s="1255"/>
      <c r="N123" s="1256"/>
      <c r="P123" s="600"/>
    </row>
    <row r="124" spans="1:16" s="599" customFormat="1" ht="18" hidden="1" customHeight="1" x14ac:dyDescent="0.3">
      <c r="A124" s="572">
        <v>116</v>
      </c>
      <c r="B124" s="173"/>
      <c r="C124" s="156">
        <v>30</v>
      </c>
      <c r="D124" s="566" t="s">
        <v>445</v>
      </c>
      <c r="E124" s="185">
        <v>16160</v>
      </c>
      <c r="F124" s="185">
        <v>20000</v>
      </c>
      <c r="G124" s="186">
        <v>0</v>
      </c>
      <c r="H124" s="583" t="s">
        <v>24</v>
      </c>
      <c r="I124" s="1082"/>
      <c r="J124" s="1258"/>
      <c r="K124" s="1258"/>
      <c r="L124" s="1258"/>
      <c r="M124" s="1258"/>
      <c r="N124" s="1259"/>
      <c r="P124" s="600"/>
    </row>
    <row r="125" spans="1:16" s="1112" customFormat="1" ht="18" hidden="1" customHeight="1" x14ac:dyDescent="0.3">
      <c r="A125" s="572">
        <v>117</v>
      </c>
      <c r="B125" s="1111"/>
      <c r="C125" s="1088"/>
      <c r="D125" s="1089" t="s">
        <v>292</v>
      </c>
      <c r="E125" s="1094"/>
      <c r="F125" s="1094"/>
      <c r="G125" s="1095"/>
      <c r="H125" s="1092"/>
      <c r="I125" s="1082">
        <f t="shared" si="27"/>
        <v>0</v>
      </c>
      <c r="J125" s="1097"/>
      <c r="K125" s="1097"/>
      <c r="L125" s="1097"/>
      <c r="M125" s="1097"/>
      <c r="N125" s="1098"/>
      <c r="P125" s="1113"/>
    </row>
    <row r="126" spans="1:16" s="151" customFormat="1" ht="22.5" hidden="1" customHeight="1" x14ac:dyDescent="0.3">
      <c r="A126" s="572">
        <v>118</v>
      </c>
      <c r="B126" s="174"/>
      <c r="C126" s="156">
        <v>31</v>
      </c>
      <c r="D126" s="567" t="s">
        <v>261</v>
      </c>
      <c r="E126" s="185">
        <v>45000</v>
      </c>
      <c r="F126" s="185">
        <v>45000</v>
      </c>
      <c r="G126" s="186">
        <v>45000</v>
      </c>
      <c r="H126" s="583" t="s">
        <v>24</v>
      </c>
      <c r="I126" s="1082"/>
      <c r="J126" s="1258"/>
      <c r="K126" s="1258"/>
      <c r="L126" s="1258"/>
      <c r="M126" s="1258"/>
      <c r="N126" s="1259"/>
      <c r="P126" s="563"/>
    </row>
    <row r="127" spans="1:16" s="1107" customFormat="1" ht="18" hidden="1" customHeight="1" x14ac:dyDescent="0.3">
      <c r="A127" s="572">
        <v>119</v>
      </c>
      <c r="B127" s="174"/>
      <c r="C127" s="161"/>
      <c r="D127" s="162" t="s">
        <v>292</v>
      </c>
      <c r="E127" s="185"/>
      <c r="F127" s="163"/>
      <c r="G127" s="164"/>
      <c r="H127" s="583"/>
      <c r="I127" s="1082">
        <f>SUM(J127:N127)</f>
        <v>0</v>
      </c>
      <c r="J127" s="1258"/>
      <c r="K127" s="1258"/>
      <c r="L127" s="1258"/>
      <c r="M127" s="1258"/>
      <c r="N127" s="1259"/>
      <c r="P127" s="1093"/>
    </row>
    <row r="128" spans="1:16" s="108" customFormat="1" ht="22.5" hidden="1" customHeight="1" x14ac:dyDescent="0.35">
      <c r="A128" s="572">
        <v>120</v>
      </c>
      <c r="B128" s="155"/>
      <c r="C128" s="156">
        <v>32</v>
      </c>
      <c r="D128" s="567" t="s">
        <v>266</v>
      </c>
      <c r="E128" s="158"/>
      <c r="F128" s="158">
        <v>2500</v>
      </c>
      <c r="G128" s="159">
        <v>2500</v>
      </c>
      <c r="H128" s="583" t="s">
        <v>24</v>
      </c>
      <c r="I128" s="1082"/>
      <c r="J128" s="1255"/>
      <c r="K128" s="1255"/>
      <c r="L128" s="1255"/>
      <c r="M128" s="1255"/>
      <c r="N128" s="1256"/>
      <c r="O128" s="563"/>
      <c r="P128" s="563"/>
    </row>
    <row r="129" spans="1:16" s="1093" customFormat="1" ht="18" hidden="1" customHeight="1" x14ac:dyDescent="0.3">
      <c r="A129" s="572">
        <v>121</v>
      </c>
      <c r="B129" s="1087"/>
      <c r="C129" s="1088"/>
      <c r="D129" s="1636" t="s">
        <v>292</v>
      </c>
      <c r="E129" s="1090"/>
      <c r="F129" s="1090"/>
      <c r="G129" s="1091"/>
      <c r="H129" s="1092"/>
      <c r="I129" s="1082">
        <f t="shared" si="27"/>
        <v>0</v>
      </c>
      <c r="J129" s="1083"/>
      <c r="K129" s="1083"/>
      <c r="L129" s="1083"/>
      <c r="M129" s="1083"/>
      <c r="N129" s="1084"/>
    </row>
    <row r="130" spans="1:16" s="108" customFormat="1" x14ac:dyDescent="0.35">
      <c r="A130" s="572">
        <v>96</v>
      </c>
      <c r="B130" s="1087"/>
      <c r="C130" s="161">
        <v>33</v>
      </c>
      <c r="D130" s="567" t="s">
        <v>763</v>
      </c>
      <c r="E130" s="1090"/>
      <c r="F130" s="1090"/>
      <c r="G130" s="1091"/>
      <c r="H130" s="583" t="s">
        <v>24</v>
      </c>
      <c r="I130" s="1082"/>
      <c r="J130" s="1083"/>
      <c r="K130" s="1083"/>
      <c r="L130" s="1083"/>
      <c r="M130" s="1083"/>
      <c r="N130" s="1084"/>
      <c r="P130" s="563"/>
    </row>
    <row r="131" spans="1:16" s="1093" customFormat="1" x14ac:dyDescent="0.3">
      <c r="A131" s="572">
        <v>97</v>
      </c>
      <c r="B131" s="1087"/>
      <c r="C131" s="161"/>
      <c r="D131" s="1089" t="s">
        <v>292</v>
      </c>
      <c r="E131" s="1090"/>
      <c r="F131" s="1090"/>
      <c r="G131" s="1091"/>
      <c r="H131" s="1092"/>
      <c r="I131" s="1082">
        <f t="shared" si="27"/>
        <v>2500</v>
      </c>
      <c r="J131" s="1083"/>
      <c r="K131" s="1083"/>
      <c r="L131" s="1083">
        <v>2500</v>
      </c>
      <c r="M131" s="1083"/>
      <c r="N131" s="1084"/>
    </row>
    <row r="132" spans="1:16" s="563" customFormat="1" x14ac:dyDescent="0.3">
      <c r="A132" s="572">
        <v>98</v>
      </c>
      <c r="B132" s="1087"/>
      <c r="C132" s="161"/>
      <c r="D132" s="1499" t="s">
        <v>929</v>
      </c>
      <c r="E132" s="1090"/>
      <c r="F132" s="1090"/>
      <c r="G132" s="1091"/>
      <c r="H132" s="1092"/>
      <c r="I132" s="1611">
        <f t="shared" si="27"/>
        <v>0</v>
      </c>
      <c r="J132" s="1083"/>
      <c r="K132" s="1083"/>
      <c r="L132" s="1083"/>
      <c r="M132" s="1083"/>
      <c r="N132" s="1084"/>
    </row>
    <row r="133" spans="1:16" s="1093" customFormat="1" x14ac:dyDescent="0.3">
      <c r="A133" s="572">
        <v>99</v>
      </c>
      <c r="B133" s="1087"/>
      <c r="C133" s="161"/>
      <c r="D133" s="641" t="s">
        <v>927</v>
      </c>
      <c r="E133" s="1090"/>
      <c r="F133" s="1090"/>
      <c r="G133" s="1091"/>
      <c r="H133" s="1092"/>
      <c r="I133" s="1615">
        <f t="shared" si="27"/>
        <v>2500</v>
      </c>
      <c r="J133" s="1083"/>
      <c r="K133" s="1083"/>
      <c r="L133" s="1618">
        <f>SUM(L131:L132)</f>
        <v>2500</v>
      </c>
      <c r="M133" s="1083"/>
      <c r="N133" s="1084"/>
    </row>
    <row r="134" spans="1:16" s="1188" customFormat="1" x14ac:dyDescent="0.35">
      <c r="A134" s="572">
        <v>100</v>
      </c>
      <c r="B134" s="1087"/>
      <c r="C134" s="161">
        <v>34</v>
      </c>
      <c r="D134" s="567" t="s">
        <v>764</v>
      </c>
      <c r="E134" s="1090"/>
      <c r="F134" s="1090"/>
      <c r="G134" s="1091"/>
      <c r="H134" s="583" t="s">
        <v>24</v>
      </c>
      <c r="I134" s="1082"/>
      <c r="J134" s="1083"/>
      <c r="K134" s="1083"/>
      <c r="L134" s="1083"/>
      <c r="M134" s="1083"/>
      <c r="N134" s="1084"/>
      <c r="O134" s="1189"/>
      <c r="P134" s="1189"/>
    </row>
    <row r="135" spans="1:16" s="1093" customFormat="1" x14ac:dyDescent="0.3">
      <c r="A135" s="572">
        <v>101</v>
      </c>
      <c r="B135" s="1087"/>
      <c r="C135" s="1088"/>
      <c r="D135" s="1089" t="s">
        <v>292</v>
      </c>
      <c r="E135" s="1090"/>
      <c r="F135" s="1090"/>
      <c r="G135" s="1091"/>
      <c r="H135" s="1092"/>
      <c r="I135" s="1082">
        <f t="shared" si="27"/>
        <v>10000</v>
      </c>
      <c r="J135" s="1083"/>
      <c r="K135" s="1083"/>
      <c r="L135" s="1083">
        <v>10000</v>
      </c>
      <c r="M135" s="1083"/>
      <c r="N135" s="1084"/>
    </row>
    <row r="136" spans="1:16" s="599" customFormat="1" ht="15" x14ac:dyDescent="0.3">
      <c r="A136" s="572">
        <v>102</v>
      </c>
      <c r="B136" s="1087"/>
      <c r="C136" s="1088"/>
      <c r="D136" s="1499" t="s">
        <v>929</v>
      </c>
      <c r="E136" s="1090"/>
      <c r="F136" s="1090"/>
      <c r="G136" s="1091"/>
      <c r="H136" s="1092"/>
      <c r="I136" s="1611">
        <f t="shared" si="27"/>
        <v>0</v>
      </c>
      <c r="J136" s="1083"/>
      <c r="K136" s="1083"/>
      <c r="L136" s="1083"/>
      <c r="M136" s="1083"/>
      <c r="N136" s="1084"/>
      <c r="P136" s="600"/>
    </row>
    <row r="137" spans="1:16" s="1112" customFormat="1" ht="15" x14ac:dyDescent="0.3">
      <c r="A137" s="572">
        <v>103</v>
      </c>
      <c r="B137" s="1087"/>
      <c r="C137" s="1088"/>
      <c r="D137" s="641" t="s">
        <v>927</v>
      </c>
      <c r="E137" s="1090"/>
      <c r="F137" s="1090"/>
      <c r="G137" s="1091"/>
      <c r="H137" s="1092"/>
      <c r="I137" s="1615">
        <f t="shared" si="27"/>
        <v>10000</v>
      </c>
      <c r="J137" s="1083"/>
      <c r="K137" s="1083"/>
      <c r="L137" s="1618">
        <f>SUM(L135:L136)</f>
        <v>10000</v>
      </c>
      <c r="M137" s="1083"/>
      <c r="N137" s="1084"/>
      <c r="P137" s="1113"/>
    </row>
    <row r="138" spans="1:16" s="1112" customFormat="1" ht="15" x14ac:dyDescent="0.3">
      <c r="A138" s="572">
        <v>104</v>
      </c>
      <c r="B138" s="155"/>
      <c r="C138" s="156">
        <v>35</v>
      </c>
      <c r="D138" s="567" t="s">
        <v>64</v>
      </c>
      <c r="E138" s="158">
        <v>379297</v>
      </c>
      <c r="F138" s="158">
        <v>392700</v>
      </c>
      <c r="G138" s="159">
        <v>185225</v>
      </c>
      <c r="H138" s="583" t="s">
        <v>24</v>
      </c>
      <c r="I138" s="1082"/>
      <c r="J138" s="1255"/>
      <c r="K138" s="1255"/>
      <c r="L138" s="1255"/>
      <c r="M138" s="1255"/>
      <c r="N138" s="1256"/>
      <c r="P138" s="1113"/>
    </row>
    <row r="139" spans="1:16" s="1112" customFormat="1" ht="15" x14ac:dyDescent="0.3">
      <c r="A139" s="572">
        <v>105</v>
      </c>
      <c r="B139" s="1087"/>
      <c r="C139" s="1088"/>
      <c r="D139" s="1089" t="s">
        <v>292</v>
      </c>
      <c r="E139" s="1090"/>
      <c r="F139" s="1090"/>
      <c r="G139" s="1091"/>
      <c r="H139" s="1092"/>
      <c r="I139" s="1082">
        <f>SUM(J139:N139)</f>
        <v>250000</v>
      </c>
      <c r="J139" s="1083"/>
      <c r="K139" s="1083"/>
      <c r="L139" s="1083">
        <v>70000</v>
      </c>
      <c r="M139" s="1083"/>
      <c r="N139" s="1084">
        <v>180000</v>
      </c>
      <c r="P139" s="1113"/>
    </row>
    <row r="140" spans="1:16" s="599" customFormat="1" ht="15" x14ac:dyDescent="0.3">
      <c r="A140" s="572">
        <v>106</v>
      </c>
      <c r="B140" s="1087"/>
      <c r="C140" s="1088"/>
      <c r="D140" s="1499" t="s">
        <v>926</v>
      </c>
      <c r="E140" s="1090"/>
      <c r="F140" s="1090"/>
      <c r="G140" s="1091"/>
      <c r="H140" s="1092"/>
      <c r="I140" s="1611">
        <f t="shared" ref="I140:I141" si="28">SUM(J140:N140)</f>
        <v>51</v>
      </c>
      <c r="J140" s="1083"/>
      <c r="K140" s="1083"/>
      <c r="L140" s="1083"/>
      <c r="M140" s="1083"/>
      <c r="N140" s="1264">
        <v>51</v>
      </c>
      <c r="P140" s="600"/>
    </row>
    <row r="141" spans="1:16" s="1112" customFormat="1" ht="15" x14ac:dyDescent="0.3">
      <c r="A141" s="572">
        <v>107</v>
      </c>
      <c r="B141" s="1087"/>
      <c r="C141" s="1088"/>
      <c r="D141" s="641" t="s">
        <v>927</v>
      </c>
      <c r="E141" s="1090"/>
      <c r="F141" s="1090"/>
      <c r="G141" s="1091"/>
      <c r="H141" s="1092"/>
      <c r="I141" s="1615">
        <f t="shared" si="28"/>
        <v>250051</v>
      </c>
      <c r="J141" s="1083"/>
      <c r="K141" s="1083"/>
      <c r="L141" s="1618">
        <f>SUM(L139:L140)</f>
        <v>70000</v>
      </c>
      <c r="M141" s="1618"/>
      <c r="N141" s="1622">
        <f t="shared" ref="N141" si="29">SUM(N139:N140)</f>
        <v>180051</v>
      </c>
      <c r="P141" s="1113"/>
    </row>
    <row r="142" spans="1:16" s="599" customFormat="1" ht="15" x14ac:dyDescent="0.3">
      <c r="A142" s="572">
        <v>108</v>
      </c>
      <c r="B142" s="155"/>
      <c r="C142" s="156">
        <v>36</v>
      </c>
      <c r="D142" s="567" t="s">
        <v>65</v>
      </c>
      <c r="E142" s="158">
        <v>2600</v>
      </c>
      <c r="F142" s="158">
        <v>2210</v>
      </c>
      <c r="G142" s="159">
        <v>2210</v>
      </c>
      <c r="H142" s="583" t="s">
        <v>23</v>
      </c>
      <c r="I142" s="1082"/>
      <c r="J142" s="1255"/>
      <c r="K142" s="1255"/>
      <c r="L142" s="1255"/>
      <c r="M142" s="1255"/>
      <c r="N142" s="1256"/>
      <c r="P142" s="600"/>
    </row>
    <row r="143" spans="1:16" s="1112" customFormat="1" ht="15" x14ac:dyDescent="0.3">
      <c r="A143" s="572">
        <v>109</v>
      </c>
      <c r="B143" s="1087"/>
      <c r="C143" s="1088"/>
      <c r="D143" s="1089" t="s">
        <v>292</v>
      </c>
      <c r="E143" s="1090"/>
      <c r="F143" s="1090"/>
      <c r="G143" s="1091"/>
      <c r="H143" s="1092"/>
      <c r="I143" s="1082">
        <f>SUM(J143:N143)</f>
        <v>1250</v>
      </c>
      <c r="J143" s="1083"/>
      <c r="K143" s="1083"/>
      <c r="L143" s="1083">
        <v>1250</v>
      </c>
      <c r="M143" s="1083"/>
      <c r="N143" s="1084"/>
      <c r="P143" s="1113"/>
    </row>
    <row r="144" spans="1:16" s="599" customFormat="1" ht="15" x14ac:dyDescent="0.3">
      <c r="A144" s="572">
        <v>110</v>
      </c>
      <c r="B144" s="1087"/>
      <c r="C144" s="1088"/>
      <c r="D144" s="1499" t="s">
        <v>929</v>
      </c>
      <c r="E144" s="1090"/>
      <c r="F144" s="1090"/>
      <c r="G144" s="1091"/>
      <c r="H144" s="1092"/>
      <c r="I144" s="1611">
        <f t="shared" ref="I144:I145" si="30">SUM(J144:N144)</f>
        <v>0</v>
      </c>
      <c r="J144" s="1083"/>
      <c r="K144" s="1083"/>
      <c r="L144" s="1083"/>
      <c r="M144" s="1083"/>
      <c r="N144" s="1084"/>
      <c r="P144" s="600"/>
    </row>
    <row r="145" spans="1:16" s="1112" customFormat="1" ht="15" x14ac:dyDescent="0.3">
      <c r="A145" s="572">
        <v>111</v>
      </c>
      <c r="B145" s="1087"/>
      <c r="C145" s="1088"/>
      <c r="D145" s="641" t="s">
        <v>927</v>
      </c>
      <c r="E145" s="1090"/>
      <c r="F145" s="1090"/>
      <c r="G145" s="1091"/>
      <c r="H145" s="1092"/>
      <c r="I145" s="1615">
        <f t="shared" si="30"/>
        <v>1250</v>
      </c>
      <c r="J145" s="1083"/>
      <c r="K145" s="1083"/>
      <c r="L145" s="1618">
        <f>SUM(L143:L144)</f>
        <v>1250</v>
      </c>
      <c r="M145" s="1083"/>
      <c r="N145" s="1084"/>
      <c r="P145" s="1113"/>
    </row>
    <row r="146" spans="1:16" s="599" customFormat="1" ht="15" x14ac:dyDescent="0.3">
      <c r="A146" s="572">
        <v>112</v>
      </c>
      <c r="B146" s="155"/>
      <c r="C146" s="156">
        <v>37</v>
      </c>
      <c r="D146" s="567" t="s">
        <v>66</v>
      </c>
      <c r="E146" s="158">
        <v>7884</v>
      </c>
      <c r="F146" s="158">
        <v>7650</v>
      </c>
      <c r="G146" s="159">
        <v>5946</v>
      </c>
      <c r="H146" s="583" t="s">
        <v>23</v>
      </c>
      <c r="I146" s="1082"/>
      <c r="J146" s="1255"/>
      <c r="K146" s="1255"/>
      <c r="L146" s="1255"/>
      <c r="M146" s="1255"/>
      <c r="N146" s="1256"/>
      <c r="P146" s="600"/>
    </row>
    <row r="147" spans="1:16" s="1112" customFormat="1" ht="15" x14ac:dyDescent="0.3">
      <c r="A147" s="572">
        <v>113</v>
      </c>
      <c r="B147" s="1087"/>
      <c r="C147" s="1088"/>
      <c r="D147" s="1089" t="s">
        <v>292</v>
      </c>
      <c r="E147" s="1090"/>
      <c r="F147" s="1090"/>
      <c r="G147" s="1091"/>
      <c r="H147" s="1092"/>
      <c r="I147" s="1082">
        <f>SUM(J147:N147)</f>
        <v>4000</v>
      </c>
      <c r="J147" s="1083"/>
      <c r="K147" s="1083"/>
      <c r="L147" s="1083">
        <v>4000</v>
      </c>
      <c r="M147" s="1083"/>
      <c r="N147" s="1084"/>
      <c r="P147" s="1113"/>
    </row>
    <row r="148" spans="1:16" s="599" customFormat="1" ht="15" x14ac:dyDescent="0.3">
      <c r="A148" s="572">
        <v>114</v>
      </c>
      <c r="B148" s="1087"/>
      <c r="C148" s="1088"/>
      <c r="D148" s="1499" t="s">
        <v>926</v>
      </c>
      <c r="E148" s="1090"/>
      <c r="F148" s="1090"/>
      <c r="G148" s="1091"/>
      <c r="H148" s="1092"/>
      <c r="I148" s="1611">
        <f t="shared" ref="I148:I149" si="31">SUM(J148:N148)</f>
        <v>84</v>
      </c>
      <c r="J148" s="1083"/>
      <c r="K148" s="1083"/>
      <c r="L148" s="1617">
        <v>84</v>
      </c>
      <c r="M148" s="1083"/>
      <c r="N148" s="1084"/>
      <c r="P148" s="600"/>
    </row>
    <row r="149" spans="1:16" s="1112" customFormat="1" ht="15" x14ac:dyDescent="0.3">
      <c r="A149" s="572">
        <v>115</v>
      </c>
      <c r="B149" s="1087"/>
      <c r="C149" s="1088"/>
      <c r="D149" s="641" t="s">
        <v>927</v>
      </c>
      <c r="E149" s="1090"/>
      <c r="F149" s="1090"/>
      <c r="G149" s="1091"/>
      <c r="H149" s="1092"/>
      <c r="I149" s="1615">
        <f t="shared" si="31"/>
        <v>4084</v>
      </c>
      <c r="J149" s="1083"/>
      <c r="K149" s="1083"/>
      <c r="L149" s="1618">
        <f>SUM(L147:L148)</f>
        <v>4084</v>
      </c>
      <c r="M149" s="1083"/>
      <c r="N149" s="1084"/>
      <c r="P149" s="1113"/>
    </row>
    <row r="150" spans="1:16" s="599" customFormat="1" ht="15" x14ac:dyDescent="0.3">
      <c r="A150" s="572">
        <v>116</v>
      </c>
      <c r="B150" s="160"/>
      <c r="C150" s="156">
        <v>38</v>
      </c>
      <c r="D150" s="566" t="s">
        <v>379</v>
      </c>
      <c r="E150" s="158">
        <v>43834</v>
      </c>
      <c r="F150" s="158">
        <v>46997</v>
      </c>
      <c r="G150" s="159">
        <v>48445</v>
      </c>
      <c r="H150" s="583" t="s">
        <v>23</v>
      </c>
      <c r="I150" s="1082"/>
      <c r="J150" s="1255"/>
      <c r="K150" s="1255"/>
      <c r="L150" s="1255"/>
      <c r="M150" s="1255"/>
      <c r="N150" s="1256"/>
      <c r="P150" s="600"/>
    </row>
    <row r="151" spans="1:16" s="1112" customFormat="1" ht="15" x14ac:dyDescent="0.3">
      <c r="A151" s="572">
        <v>117</v>
      </c>
      <c r="B151" s="1087"/>
      <c r="C151" s="1088"/>
      <c r="D151" s="1089" t="s">
        <v>292</v>
      </c>
      <c r="E151" s="1090"/>
      <c r="F151" s="1090"/>
      <c r="G151" s="1091"/>
      <c r="H151" s="1092"/>
      <c r="I151" s="1082">
        <f>SUM(J151:N151)</f>
        <v>39750</v>
      </c>
      <c r="J151" s="1083"/>
      <c r="K151" s="1083"/>
      <c r="L151" s="1083">
        <v>39750</v>
      </c>
      <c r="M151" s="1083"/>
      <c r="N151" s="1084"/>
      <c r="P151" s="1113"/>
    </row>
    <row r="152" spans="1:16" s="599" customFormat="1" ht="15" x14ac:dyDescent="0.3">
      <c r="A152" s="572">
        <v>118</v>
      </c>
      <c r="B152" s="1087"/>
      <c r="C152" s="1088"/>
      <c r="D152" s="1499" t="s">
        <v>929</v>
      </c>
      <c r="E152" s="1090"/>
      <c r="F152" s="1090"/>
      <c r="G152" s="1091"/>
      <c r="H152" s="1092"/>
      <c r="I152" s="1611">
        <f t="shared" ref="I152:I153" si="32">SUM(J152:N152)</f>
        <v>0</v>
      </c>
      <c r="J152" s="1083"/>
      <c r="K152" s="1083"/>
      <c r="L152" s="1083"/>
      <c r="M152" s="1083"/>
      <c r="N152" s="1084"/>
      <c r="P152" s="600"/>
    </row>
    <row r="153" spans="1:16" s="1112" customFormat="1" ht="15" x14ac:dyDescent="0.3">
      <c r="A153" s="572">
        <v>119</v>
      </c>
      <c r="B153" s="1087"/>
      <c r="C153" s="1088"/>
      <c r="D153" s="641" t="s">
        <v>927</v>
      </c>
      <c r="E153" s="1090"/>
      <c r="F153" s="1090"/>
      <c r="G153" s="1091"/>
      <c r="H153" s="1092"/>
      <c r="I153" s="1615">
        <f t="shared" si="32"/>
        <v>39750</v>
      </c>
      <c r="J153" s="1083"/>
      <c r="K153" s="1083"/>
      <c r="L153" s="1618">
        <f>SUM(L151:L152)</f>
        <v>39750</v>
      </c>
      <c r="M153" s="1083"/>
      <c r="N153" s="1084"/>
      <c r="P153" s="1113"/>
    </row>
    <row r="154" spans="1:16" s="599" customFormat="1" ht="15" x14ac:dyDescent="0.3">
      <c r="A154" s="572">
        <v>120</v>
      </c>
      <c r="B154" s="155"/>
      <c r="C154" s="156">
        <v>39</v>
      </c>
      <c r="D154" s="567" t="s">
        <v>67</v>
      </c>
      <c r="E154" s="158">
        <v>2920</v>
      </c>
      <c r="F154" s="158">
        <v>2125</v>
      </c>
      <c r="G154" s="159">
        <v>1829</v>
      </c>
      <c r="H154" s="583" t="s">
        <v>23</v>
      </c>
      <c r="I154" s="1265"/>
      <c r="J154" s="1266"/>
      <c r="K154" s="1266"/>
      <c r="L154" s="1266"/>
      <c r="M154" s="1266"/>
      <c r="N154" s="1267"/>
      <c r="P154" s="600"/>
    </row>
    <row r="155" spans="1:16" s="1112" customFormat="1" ht="15" x14ac:dyDescent="0.3">
      <c r="A155" s="572">
        <v>121</v>
      </c>
      <c r="B155" s="1087"/>
      <c r="C155" s="1088"/>
      <c r="D155" s="1089" t="s">
        <v>292</v>
      </c>
      <c r="E155" s="1090"/>
      <c r="F155" s="1090"/>
      <c r="G155" s="1091"/>
      <c r="H155" s="1092"/>
      <c r="I155" s="1082">
        <f>SUM(J155:N155)</f>
        <v>1250</v>
      </c>
      <c r="J155" s="1083"/>
      <c r="K155" s="1083"/>
      <c r="L155" s="1083">
        <v>1250</v>
      </c>
      <c r="M155" s="1083"/>
      <c r="N155" s="1084"/>
      <c r="P155" s="1113"/>
    </row>
    <row r="156" spans="1:16" s="3" customFormat="1" ht="16.5" x14ac:dyDescent="0.3">
      <c r="A156" s="572">
        <v>122</v>
      </c>
      <c r="B156" s="1087"/>
      <c r="C156" s="1088"/>
      <c r="D156" s="1499" t="s">
        <v>926</v>
      </c>
      <c r="E156" s="1090"/>
      <c r="F156" s="1090"/>
      <c r="G156" s="1091"/>
      <c r="H156" s="1092"/>
      <c r="I156" s="1611">
        <f t="shared" ref="I156:I157" si="33">SUM(J156:N156)</f>
        <v>296</v>
      </c>
      <c r="J156" s="1083"/>
      <c r="K156" s="1083"/>
      <c r="L156" s="1617">
        <v>296</v>
      </c>
      <c r="M156" s="1083"/>
      <c r="N156" s="1084"/>
      <c r="P156" s="8"/>
    </row>
    <row r="157" spans="1:16" s="1093" customFormat="1" x14ac:dyDescent="0.3">
      <c r="A157" s="572">
        <v>123</v>
      </c>
      <c r="B157" s="1087"/>
      <c r="C157" s="1088"/>
      <c r="D157" s="641" t="s">
        <v>927</v>
      </c>
      <c r="E157" s="1090"/>
      <c r="F157" s="1090"/>
      <c r="G157" s="1091"/>
      <c r="H157" s="1092"/>
      <c r="I157" s="1615">
        <f t="shared" si="33"/>
        <v>1546</v>
      </c>
      <c r="J157" s="1083"/>
      <c r="K157" s="1083"/>
      <c r="L157" s="1618">
        <f>SUM(L155:L156)</f>
        <v>1546</v>
      </c>
      <c r="M157" s="1083"/>
      <c r="N157" s="1084"/>
    </row>
    <row r="158" spans="1:16" s="108" customFormat="1" x14ac:dyDescent="0.35">
      <c r="A158" s="572">
        <v>124</v>
      </c>
      <c r="B158" s="1087"/>
      <c r="C158" s="161">
        <v>40</v>
      </c>
      <c r="D158" s="567" t="s">
        <v>757</v>
      </c>
      <c r="E158" s="1090"/>
      <c r="F158" s="1090"/>
      <c r="G158" s="1091"/>
      <c r="H158" s="583" t="s">
        <v>24</v>
      </c>
      <c r="I158" s="1082"/>
      <c r="J158" s="1083"/>
      <c r="K158" s="1083"/>
      <c r="L158" s="1083"/>
      <c r="M158" s="1083"/>
      <c r="N158" s="1084"/>
      <c r="P158" s="563"/>
    </row>
    <row r="159" spans="1:16" s="1093" customFormat="1" x14ac:dyDescent="0.3">
      <c r="A159" s="572">
        <v>125</v>
      </c>
      <c r="B159" s="1087"/>
      <c r="C159" s="161"/>
      <c r="D159" s="1089" t="s">
        <v>292</v>
      </c>
      <c r="E159" s="1090"/>
      <c r="F159" s="1090"/>
      <c r="G159" s="1091"/>
      <c r="H159" s="583"/>
      <c r="I159" s="1082">
        <f>SUM(J159:N159)</f>
        <v>50000</v>
      </c>
      <c r="J159" s="1083"/>
      <c r="K159" s="1083"/>
      <c r="L159" s="1083">
        <v>50000</v>
      </c>
      <c r="M159" s="1083"/>
      <c r="N159" s="1084"/>
    </row>
    <row r="160" spans="1:16" s="108" customFormat="1" x14ac:dyDescent="0.35">
      <c r="A160" s="572">
        <v>126</v>
      </c>
      <c r="B160" s="1087"/>
      <c r="C160" s="161"/>
      <c r="D160" s="1499" t="s">
        <v>1003</v>
      </c>
      <c r="E160" s="1090"/>
      <c r="F160" s="1090"/>
      <c r="G160" s="1091"/>
      <c r="H160" s="583"/>
      <c r="I160" s="1611">
        <f t="shared" ref="I160:I161" si="34">SUM(J160:N160)</f>
        <v>0</v>
      </c>
      <c r="J160" s="1083"/>
      <c r="K160" s="1083"/>
      <c r="L160" s="1617"/>
      <c r="M160" s="1083"/>
      <c r="N160" s="1084"/>
      <c r="P160" s="563"/>
    </row>
    <row r="161" spans="1:16" s="1093" customFormat="1" x14ac:dyDescent="0.3">
      <c r="A161" s="572">
        <v>127</v>
      </c>
      <c r="B161" s="1087"/>
      <c r="C161" s="161"/>
      <c r="D161" s="641" t="s">
        <v>927</v>
      </c>
      <c r="E161" s="1090"/>
      <c r="F161" s="1090"/>
      <c r="G161" s="1091"/>
      <c r="H161" s="583"/>
      <c r="I161" s="1615">
        <f t="shared" si="34"/>
        <v>50000</v>
      </c>
      <c r="J161" s="1083"/>
      <c r="K161" s="1083"/>
      <c r="L161" s="1618">
        <f>SUM(L159:L160)</f>
        <v>50000</v>
      </c>
      <c r="M161" s="1083"/>
      <c r="N161" s="1084"/>
    </row>
    <row r="162" spans="1:16" s="108" customFormat="1" x14ac:dyDescent="0.35">
      <c r="A162" s="572">
        <v>128</v>
      </c>
      <c r="B162" s="1087"/>
      <c r="C162" s="161">
        <v>41</v>
      </c>
      <c r="D162" s="567" t="s">
        <v>758</v>
      </c>
      <c r="E162" s="1090"/>
      <c r="F162" s="1090"/>
      <c r="G162" s="1091"/>
      <c r="H162" s="583" t="s">
        <v>24</v>
      </c>
      <c r="I162" s="1082"/>
      <c r="J162" s="1083"/>
      <c r="K162" s="1083"/>
      <c r="L162" s="1083"/>
      <c r="M162" s="1083"/>
      <c r="N162" s="1084"/>
      <c r="P162" s="563"/>
    </row>
    <row r="163" spans="1:16" s="1093" customFormat="1" x14ac:dyDescent="0.3">
      <c r="A163" s="572">
        <v>129</v>
      </c>
      <c r="B163" s="1087"/>
      <c r="C163" s="1088"/>
      <c r="D163" s="1089" t="s">
        <v>292</v>
      </c>
      <c r="E163" s="1090"/>
      <c r="F163" s="1090"/>
      <c r="G163" s="1091"/>
      <c r="H163" s="1092"/>
      <c r="I163" s="1082">
        <f>SUM(J163:N163)</f>
        <v>3200</v>
      </c>
      <c r="J163" s="1083"/>
      <c r="K163" s="1083"/>
      <c r="L163" s="1083">
        <v>3200</v>
      </c>
      <c r="M163" s="1083"/>
      <c r="N163" s="1084"/>
    </row>
    <row r="164" spans="1:16" s="108" customFormat="1" x14ac:dyDescent="0.35">
      <c r="A164" s="572">
        <v>130</v>
      </c>
      <c r="B164" s="1087"/>
      <c r="C164" s="1088"/>
      <c r="D164" s="1499" t="s">
        <v>929</v>
      </c>
      <c r="E164" s="1090"/>
      <c r="F164" s="1090"/>
      <c r="G164" s="1091"/>
      <c r="H164" s="1092"/>
      <c r="I164" s="1611">
        <f t="shared" ref="I164:I165" si="35">SUM(J164:N164)</f>
        <v>0</v>
      </c>
      <c r="J164" s="1083"/>
      <c r="K164" s="1083"/>
      <c r="L164" s="1083"/>
      <c r="M164" s="1083"/>
      <c r="N164" s="1084"/>
      <c r="P164" s="563"/>
    </row>
    <row r="165" spans="1:16" s="1093" customFormat="1" x14ac:dyDescent="0.3">
      <c r="A165" s="572">
        <v>131</v>
      </c>
      <c r="B165" s="1087"/>
      <c r="C165" s="1088"/>
      <c r="D165" s="641" t="s">
        <v>927</v>
      </c>
      <c r="E165" s="1090"/>
      <c r="F165" s="1090"/>
      <c r="G165" s="1091"/>
      <c r="H165" s="1092"/>
      <c r="I165" s="1615">
        <f t="shared" si="35"/>
        <v>3200</v>
      </c>
      <c r="J165" s="1083"/>
      <c r="K165" s="1083"/>
      <c r="L165" s="1618">
        <f>SUM(L163:L164)</f>
        <v>3200</v>
      </c>
      <c r="M165" s="1083"/>
      <c r="N165" s="1084"/>
    </row>
    <row r="166" spans="1:16" s="108" customFormat="1" x14ac:dyDescent="0.35">
      <c r="A166" s="572">
        <v>132</v>
      </c>
      <c r="B166" s="568"/>
      <c r="C166" s="156">
        <v>42</v>
      </c>
      <c r="D166" s="567" t="s">
        <v>11</v>
      </c>
      <c r="E166" s="158">
        <v>38100</v>
      </c>
      <c r="F166" s="158">
        <v>38100</v>
      </c>
      <c r="G166" s="159">
        <v>38100</v>
      </c>
      <c r="H166" s="583" t="s">
        <v>24</v>
      </c>
      <c r="I166" s="1265"/>
      <c r="J166" s="1266"/>
      <c r="K166" s="1266"/>
      <c r="L166" s="1266"/>
      <c r="M166" s="1266"/>
      <c r="N166" s="1267"/>
      <c r="P166" s="563"/>
    </row>
    <row r="167" spans="1:16" s="1093" customFormat="1" x14ac:dyDescent="0.3">
      <c r="A167" s="572">
        <v>133</v>
      </c>
      <c r="B167" s="1087"/>
      <c r="C167" s="1088"/>
      <c r="D167" s="1089" t="s">
        <v>292</v>
      </c>
      <c r="E167" s="1090"/>
      <c r="F167" s="1090"/>
      <c r="G167" s="1091"/>
      <c r="H167" s="1092"/>
      <c r="I167" s="1082">
        <f>SUM(J167:N167)</f>
        <v>9525</v>
      </c>
      <c r="J167" s="1083"/>
      <c r="K167" s="1083"/>
      <c r="L167" s="1083">
        <f>100+9425</f>
        <v>9525</v>
      </c>
      <c r="M167" s="1083"/>
      <c r="N167" s="1084"/>
    </row>
    <row r="168" spans="1:16" s="108" customFormat="1" x14ac:dyDescent="0.35">
      <c r="A168" s="572">
        <v>134</v>
      </c>
      <c r="B168" s="1087"/>
      <c r="C168" s="1088"/>
      <c r="D168" s="1499" t="s">
        <v>929</v>
      </c>
      <c r="E168" s="1090"/>
      <c r="F168" s="1090"/>
      <c r="G168" s="1091"/>
      <c r="H168" s="1092"/>
      <c r="I168" s="1611">
        <f t="shared" ref="I168:I169" si="36">SUM(J168:N168)</f>
        <v>0</v>
      </c>
      <c r="J168" s="1083"/>
      <c r="K168" s="1083"/>
      <c r="L168" s="1083"/>
      <c r="M168" s="1083"/>
      <c r="N168" s="1084"/>
      <c r="P168" s="563"/>
    </row>
    <row r="169" spans="1:16" s="1093" customFormat="1" x14ac:dyDescent="0.3">
      <c r="A169" s="572">
        <v>135</v>
      </c>
      <c r="B169" s="1087"/>
      <c r="C169" s="1088"/>
      <c r="D169" s="641" t="s">
        <v>927</v>
      </c>
      <c r="E169" s="1090"/>
      <c r="F169" s="1090"/>
      <c r="G169" s="1091"/>
      <c r="H169" s="1092"/>
      <c r="I169" s="1615">
        <f t="shared" si="36"/>
        <v>9525</v>
      </c>
      <c r="J169" s="1083"/>
      <c r="K169" s="1083"/>
      <c r="L169" s="1618">
        <f>SUM(L167:L168)</f>
        <v>9525</v>
      </c>
      <c r="M169" s="1083"/>
      <c r="N169" s="1084"/>
    </row>
    <row r="170" spans="1:16" s="108" customFormat="1" x14ac:dyDescent="0.35">
      <c r="A170" s="572">
        <v>136</v>
      </c>
      <c r="B170" s="568"/>
      <c r="C170" s="156">
        <v>43</v>
      </c>
      <c r="D170" s="567" t="s">
        <v>68</v>
      </c>
      <c r="E170" s="158">
        <v>4366</v>
      </c>
      <c r="F170" s="158">
        <v>4250</v>
      </c>
      <c r="G170" s="159">
        <v>1624</v>
      </c>
      <c r="H170" s="583" t="s">
        <v>24</v>
      </c>
      <c r="I170" s="1265"/>
      <c r="J170" s="1266"/>
      <c r="K170" s="1266"/>
      <c r="L170" s="1266"/>
      <c r="M170" s="1266"/>
      <c r="N170" s="1267"/>
      <c r="P170" s="563"/>
    </row>
    <row r="171" spans="1:16" s="1093" customFormat="1" x14ac:dyDescent="0.3">
      <c r="A171" s="572">
        <v>137</v>
      </c>
      <c r="B171" s="1087"/>
      <c r="C171" s="1088"/>
      <c r="D171" s="1089" t="s">
        <v>292</v>
      </c>
      <c r="E171" s="1090"/>
      <c r="F171" s="1090"/>
      <c r="G171" s="1091"/>
      <c r="H171" s="1092"/>
      <c r="I171" s="1082">
        <f>SUM(J171:N171)</f>
        <v>5000</v>
      </c>
      <c r="J171" s="1083"/>
      <c r="K171" s="1083"/>
      <c r="L171" s="1083">
        <v>5000</v>
      </c>
      <c r="M171" s="1083"/>
      <c r="N171" s="1084"/>
    </row>
    <row r="172" spans="1:16" s="108" customFormat="1" x14ac:dyDescent="0.35">
      <c r="A172" s="572">
        <v>138</v>
      </c>
      <c r="B172" s="1087"/>
      <c r="C172" s="1088"/>
      <c r="D172" s="1499" t="s">
        <v>926</v>
      </c>
      <c r="E172" s="1090"/>
      <c r="F172" s="1090"/>
      <c r="G172" s="1091"/>
      <c r="H172" s="1092"/>
      <c r="I172" s="1611">
        <f t="shared" ref="I172:I173" si="37">SUM(J172:N172)</f>
        <v>2426</v>
      </c>
      <c r="J172" s="1083"/>
      <c r="K172" s="1083"/>
      <c r="L172" s="1617">
        <v>2426</v>
      </c>
      <c r="M172" s="1083"/>
      <c r="N172" s="1084"/>
      <c r="P172" s="563"/>
    </row>
    <row r="173" spans="1:16" s="1093" customFormat="1" x14ac:dyDescent="0.3">
      <c r="A173" s="572">
        <v>139</v>
      </c>
      <c r="B173" s="1087"/>
      <c r="C173" s="1088"/>
      <c r="D173" s="641" t="s">
        <v>927</v>
      </c>
      <c r="E173" s="1090"/>
      <c r="F173" s="1090"/>
      <c r="G173" s="1091"/>
      <c r="H173" s="1092"/>
      <c r="I173" s="1615">
        <f t="shared" si="37"/>
        <v>7426</v>
      </c>
      <c r="J173" s="1083"/>
      <c r="K173" s="1083"/>
      <c r="L173" s="1618">
        <f>SUM(L171:L172)</f>
        <v>7426</v>
      </c>
      <c r="M173" s="1083"/>
      <c r="N173" s="1084"/>
    </row>
    <row r="174" spans="1:16" s="8" customFormat="1" ht="16.5" x14ac:dyDescent="0.3">
      <c r="A174" s="572">
        <v>140</v>
      </c>
      <c r="B174" s="568"/>
      <c r="C174" s="156">
        <v>44</v>
      </c>
      <c r="D174" s="567" t="s">
        <v>69</v>
      </c>
      <c r="E174" s="158">
        <f>SUM(E178,E182,E183,E184)</f>
        <v>6240</v>
      </c>
      <c r="F174" s="158">
        <f>SUM(F178,F182,F183,F184)</f>
        <v>9435</v>
      </c>
      <c r="G174" s="159">
        <f>SUM(G178,G182,G183,G184)</f>
        <v>0</v>
      </c>
      <c r="H174" s="583" t="s">
        <v>24</v>
      </c>
      <c r="I174" s="1265"/>
      <c r="J174" s="1266"/>
      <c r="K174" s="1266"/>
      <c r="L174" s="1266"/>
      <c r="M174" s="1266"/>
      <c r="N174" s="1267"/>
    </row>
    <row r="175" spans="1:16" s="1093" customFormat="1" x14ac:dyDescent="0.3">
      <c r="A175" s="572">
        <v>141</v>
      </c>
      <c r="B175" s="1087"/>
      <c r="C175" s="1088"/>
      <c r="D175" s="1089" t="s">
        <v>292</v>
      </c>
      <c r="E175" s="1090"/>
      <c r="F175" s="1090"/>
      <c r="G175" s="1091"/>
      <c r="H175" s="1092"/>
      <c r="I175" s="1082">
        <f>SUM(J175:N175)</f>
        <v>3100</v>
      </c>
      <c r="J175" s="1086">
        <f>SUM(J179,J185)</f>
        <v>0</v>
      </c>
      <c r="K175" s="1086">
        <f t="shared" ref="K175:N175" si="38">SUM(K179,K185)</f>
        <v>0</v>
      </c>
      <c r="L175" s="1086">
        <f t="shared" si="38"/>
        <v>0</v>
      </c>
      <c r="M175" s="1086">
        <f t="shared" si="38"/>
        <v>0</v>
      </c>
      <c r="N175" s="1348">
        <f t="shared" si="38"/>
        <v>3100</v>
      </c>
    </row>
    <row r="176" spans="1:16" s="8" customFormat="1" ht="16.5" x14ac:dyDescent="0.3">
      <c r="A176" s="572">
        <v>142</v>
      </c>
      <c r="B176" s="1087"/>
      <c r="C176" s="1088"/>
      <c r="D176" s="1499" t="s">
        <v>929</v>
      </c>
      <c r="E176" s="1090"/>
      <c r="F176" s="1090"/>
      <c r="G176" s="1091"/>
      <c r="H176" s="1092"/>
      <c r="I176" s="1611">
        <f t="shared" ref="I176:I177" si="39">SUM(J176:N176)</f>
        <v>-2500</v>
      </c>
      <c r="J176" s="1637">
        <f>J180+J186</f>
        <v>0</v>
      </c>
      <c r="K176" s="1637">
        <f t="shared" ref="K176:N176" si="40">K180+K186</f>
        <v>0</v>
      </c>
      <c r="L176" s="1637">
        <f t="shared" si="40"/>
        <v>0</v>
      </c>
      <c r="M176" s="1637">
        <f t="shared" si="40"/>
        <v>0</v>
      </c>
      <c r="N176" s="1638">
        <f t="shared" si="40"/>
        <v>-2500</v>
      </c>
    </row>
    <row r="177" spans="1:16" s="3" customFormat="1" ht="16.5" x14ac:dyDescent="0.3">
      <c r="A177" s="572">
        <v>143</v>
      </c>
      <c r="B177" s="1087"/>
      <c r="C177" s="1088"/>
      <c r="D177" s="641" t="s">
        <v>927</v>
      </c>
      <c r="E177" s="1090"/>
      <c r="F177" s="1090"/>
      <c r="G177" s="1091"/>
      <c r="H177" s="1092"/>
      <c r="I177" s="1615">
        <f t="shared" si="39"/>
        <v>600</v>
      </c>
      <c r="J177" s="1633">
        <f>SUM(J175:J176)</f>
        <v>0</v>
      </c>
      <c r="K177" s="1633">
        <f t="shared" ref="K177:N177" si="41">SUM(K175:K176)</f>
        <v>0</v>
      </c>
      <c r="L177" s="1633">
        <f t="shared" si="41"/>
        <v>0</v>
      </c>
      <c r="M177" s="1633">
        <f t="shared" si="41"/>
        <v>0</v>
      </c>
      <c r="N177" s="1634">
        <f t="shared" si="41"/>
        <v>600</v>
      </c>
      <c r="P177" s="8"/>
    </row>
    <row r="178" spans="1:16" s="1093" customFormat="1" x14ac:dyDescent="0.3">
      <c r="A178" s="572">
        <v>144</v>
      </c>
      <c r="B178" s="165"/>
      <c r="C178" s="161"/>
      <c r="D178" s="425" t="s">
        <v>70</v>
      </c>
      <c r="E178" s="158"/>
      <c r="F178" s="166">
        <v>4250</v>
      </c>
      <c r="G178" s="167">
        <v>0</v>
      </c>
      <c r="H178" s="584"/>
      <c r="I178" s="1085"/>
      <c r="J178" s="1266"/>
      <c r="K178" s="1266"/>
      <c r="L178" s="1266"/>
      <c r="M178" s="1266"/>
      <c r="N178" s="1264"/>
    </row>
    <row r="179" spans="1:16" s="3" customFormat="1" ht="16.5" x14ac:dyDescent="0.3">
      <c r="A179" s="572">
        <v>145</v>
      </c>
      <c r="B179" s="1100"/>
      <c r="C179" s="1088"/>
      <c r="D179" s="1110" t="s">
        <v>292</v>
      </c>
      <c r="E179" s="1090"/>
      <c r="F179" s="1102"/>
      <c r="G179" s="1103"/>
      <c r="H179" s="1104"/>
      <c r="I179" s="1085">
        <f>SUM(J179:N179)</f>
        <v>2500</v>
      </c>
      <c r="J179" s="1105"/>
      <c r="K179" s="1105"/>
      <c r="L179" s="1105"/>
      <c r="M179" s="1105"/>
      <c r="N179" s="1106">
        <v>2500</v>
      </c>
      <c r="P179" s="8"/>
    </row>
    <row r="180" spans="1:16" s="1093" customFormat="1" x14ac:dyDescent="0.3">
      <c r="A180" s="572">
        <v>146</v>
      </c>
      <c r="B180" s="1100"/>
      <c r="C180" s="1088"/>
      <c r="D180" s="1623" t="s">
        <v>1004</v>
      </c>
      <c r="E180" s="1090"/>
      <c r="F180" s="1102"/>
      <c r="G180" s="1103"/>
      <c r="H180" s="1104"/>
      <c r="I180" s="1611">
        <f t="shared" ref="I180:I181" si="42">SUM(J180:N180)</f>
        <v>-2500</v>
      </c>
      <c r="J180" s="1105"/>
      <c r="K180" s="1105"/>
      <c r="L180" s="1105"/>
      <c r="M180" s="1105"/>
      <c r="N180" s="1625">
        <v>-2500</v>
      </c>
    </row>
    <row r="181" spans="1:16" s="3" customFormat="1" ht="16.5" x14ac:dyDescent="0.3">
      <c r="A181" s="572">
        <v>147</v>
      </c>
      <c r="B181" s="1100"/>
      <c r="C181" s="1088"/>
      <c r="D181" s="1623" t="s">
        <v>927</v>
      </c>
      <c r="E181" s="1090"/>
      <c r="F181" s="1102"/>
      <c r="G181" s="1103"/>
      <c r="H181" s="1104"/>
      <c r="I181" s="1624">
        <f t="shared" si="42"/>
        <v>0</v>
      </c>
      <c r="J181" s="1105"/>
      <c r="K181" s="1105"/>
      <c r="L181" s="1105"/>
      <c r="M181" s="1105"/>
      <c r="N181" s="1621">
        <f>SUM(N179:N180)</f>
        <v>0</v>
      </c>
      <c r="P181" s="8"/>
    </row>
    <row r="182" spans="1:16" s="1093" customFormat="1" x14ac:dyDescent="0.3">
      <c r="A182" s="572">
        <v>148</v>
      </c>
      <c r="B182" s="165"/>
      <c r="C182" s="161"/>
      <c r="D182" s="425" t="s">
        <v>71</v>
      </c>
      <c r="E182" s="166">
        <v>5140</v>
      </c>
      <c r="F182" s="166">
        <v>4250</v>
      </c>
      <c r="G182" s="167">
        <v>0</v>
      </c>
      <c r="H182" s="584"/>
      <c r="I182" s="1265"/>
      <c r="J182" s="1266"/>
      <c r="K182" s="1266"/>
      <c r="L182" s="1266"/>
      <c r="M182" s="1266"/>
      <c r="N182" s="1267"/>
    </row>
    <row r="183" spans="1:16" s="8" customFormat="1" ht="16.5" x14ac:dyDescent="0.3">
      <c r="A183" s="572">
        <v>149</v>
      </c>
      <c r="B183" s="165"/>
      <c r="C183" s="161"/>
      <c r="D183" s="425" t="s">
        <v>574</v>
      </c>
      <c r="E183" s="166">
        <v>500</v>
      </c>
      <c r="F183" s="166">
        <v>425</v>
      </c>
      <c r="G183" s="167">
        <v>0</v>
      </c>
      <c r="H183" s="584"/>
      <c r="I183" s="1265"/>
      <c r="J183" s="1266"/>
      <c r="K183" s="1266"/>
      <c r="L183" s="1266"/>
      <c r="M183" s="1266"/>
      <c r="N183" s="1267"/>
    </row>
    <row r="184" spans="1:16" s="3" customFormat="1" ht="16.5" x14ac:dyDescent="0.3">
      <c r="A184" s="572">
        <v>150</v>
      </c>
      <c r="B184" s="165"/>
      <c r="C184" s="161"/>
      <c r="D184" s="425" t="s">
        <v>575</v>
      </c>
      <c r="E184" s="166">
        <v>600</v>
      </c>
      <c r="F184" s="166">
        <v>510</v>
      </c>
      <c r="G184" s="167">
        <v>0</v>
      </c>
      <c r="H184" s="584"/>
      <c r="I184" s="1265"/>
      <c r="J184" s="1266"/>
      <c r="K184" s="1266"/>
      <c r="L184" s="1266"/>
      <c r="M184" s="1266"/>
      <c r="N184" s="1267"/>
      <c r="P184" s="8"/>
    </row>
    <row r="185" spans="1:16" s="1093" customFormat="1" x14ac:dyDescent="0.3">
      <c r="A185" s="572">
        <v>151</v>
      </c>
      <c r="B185" s="1100"/>
      <c r="C185" s="1088"/>
      <c r="D185" s="1110" t="s">
        <v>292</v>
      </c>
      <c r="E185" s="1090"/>
      <c r="F185" s="1102"/>
      <c r="G185" s="1103"/>
      <c r="H185" s="1104"/>
      <c r="I185" s="1085">
        <f>SUM(J185:N185)</f>
        <v>600</v>
      </c>
      <c r="J185" s="1105"/>
      <c r="K185" s="1105"/>
      <c r="L185" s="1105"/>
      <c r="M185" s="1105"/>
      <c r="N185" s="1106">
        <v>600</v>
      </c>
    </row>
    <row r="186" spans="1:16" s="3" customFormat="1" ht="16.5" x14ac:dyDescent="0.3">
      <c r="A186" s="572">
        <v>152</v>
      </c>
      <c r="B186" s="1100"/>
      <c r="C186" s="1088"/>
      <c r="D186" s="1623" t="s">
        <v>929</v>
      </c>
      <c r="E186" s="1090"/>
      <c r="F186" s="1102"/>
      <c r="G186" s="1103"/>
      <c r="H186" s="1104"/>
      <c r="I186" s="1611">
        <f t="shared" ref="I186:I187" si="43">SUM(J186:N186)</f>
        <v>0</v>
      </c>
      <c r="J186" s="1105"/>
      <c r="K186" s="1105"/>
      <c r="L186" s="1105"/>
      <c r="M186" s="1105"/>
      <c r="N186" s="1106"/>
      <c r="P186" s="8"/>
    </row>
    <row r="187" spans="1:16" s="1093" customFormat="1" x14ac:dyDescent="0.3">
      <c r="A187" s="572">
        <v>153</v>
      </c>
      <c r="B187" s="1100"/>
      <c r="C187" s="1088"/>
      <c r="D187" s="1623" t="s">
        <v>927</v>
      </c>
      <c r="E187" s="1090"/>
      <c r="F187" s="1102"/>
      <c r="G187" s="1103"/>
      <c r="H187" s="1104"/>
      <c r="I187" s="1624">
        <f t="shared" si="43"/>
        <v>600</v>
      </c>
      <c r="J187" s="1105"/>
      <c r="K187" s="1105"/>
      <c r="L187" s="1105"/>
      <c r="M187" s="1105"/>
      <c r="N187" s="1621">
        <f>SUM(N185:N186)</f>
        <v>600</v>
      </c>
    </row>
    <row r="188" spans="1:16" s="3" customFormat="1" ht="16.5" x14ac:dyDescent="0.3">
      <c r="A188" s="572">
        <v>154</v>
      </c>
      <c r="B188" s="568"/>
      <c r="C188" s="156">
        <v>45</v>
      </c>
      <c r="D188" s="567" t="s">
        <v>380</v>
      </c>
      <c r="E188" s="158">
        <f>SUM(E192,E193,E197,E198)</f>
        <v>13522</v>
      </c>
      <c r="F188" s="158">
        <f>SUM(F192,F193,F197,F198)</f>
        <v>20060</v>
      </c>
      <c r="G188" s="159">
        <f>SUM(G192,G193,G197,G198)</f>
        <v>5555</v>
      </c>
      <c r="H188" s="583" t="s">
        <v>24</v>
      </c>
      <c r="I188" s="1265"/>
      <c r="J188" s="1266"/>
      <c r="K188" s="1266"/>
      <c r="L188" s="1266"/>
      <c r="M188" s="1266"/>
      <c r="N188" s="1267"/>
      <c r="P188" s="8"/>
    </row>
    <row r="189" spans="1:16" s="1093" customFormat="1" x14ac:dyDescent="0.3">
      <c r="A189" s="572">
        <v>155</v>
      </c>
      <c r="B189" s="1087"/>
      <c r="C189" s="1088"/>
      <c r="D189" s="1089" t="s">
        <v>292</v>
      </c>
      <c r="E189" s="1090"/>
      <c r="F189" s="1090"/>
      <c r="G189" s="1091"/>
      <c r="H189" s="1092"/>
      <c r="I189" s="1082">
        <f>SUM(J189:N189)</f>
        <v>4200</v>
      </c>
      <c r="J189" s="1086">
        <f>SUM(J194,J199)</f>
        <v>0</v>
      </c>
      <c r="K189" s="1086">
        <f t="shared" ref="K189:N189" si="44">SUM(K194,K199)</f>
        <v>0</v>
      </c>
      <c r="L189" s="1086">
        <f t="shared" si="44"/>
        <v>100</v>
      </c>
      <c r="M189" s="1086">
        <f t="shared" si="44"/>
        <v>0</v>
      </c>
      <c r="N189" s="1348">
        <f t="shared" si="44"/>
        <v>4100</v>
      </c>
    </row>
    <row r="190" spans="1:16" s="3" customFormat="1" ht="16.5" x14ac:dyDescent="0.3">
      <c r="A190" s="572">
        <v>156</v>
      </c>
      <c r="B190" s="1087"/>
      <c r="C190" s="1088"/>
      <c r="D190" s="1499" t="s">
        <v>929</v>
      </c>
      <c r="E190" s="1090"/>
      <c r="F190" s="1090"/>
      <c r="G190" s="1091"/>
      <c r="H190" s="1092"/>
      <c r="I190" s="1611">
        <f t="shared" ref="I190:I191" si="45">SUM(J190:N190)</f>
        <v>0</v>
      </c>
      <c r="J190" s="1637">
        <f>J195+J200</f>
        <v>0</v>
      </c>
      <c r="K190" s="1637">
        <f t="shared" ref="K190:N190" si="46">K195+K200</f>
        <v>0</v>
      </c>
      <c r="L190" s="1637">
        <f t="shared" si="46"/>
        <v>0</v>
      </c>
      <c r="M190" s="1637">
        <f t="shared" si="46"/>
        <v>0</v>
      </c>
      <c r="N190" s="1638">
        <f t="shared" si="46"/>
        <v>0</v>
      </c>
      <c r="P190" s="8"/>
    </row>
    <row r="191" spans="1:16" s="1093" customFormat="1" x14ac:dyDescent="0.3">
      <c r="A191" s="572">
        <v>157</v>
      </c>
      <c r="B191" s="1087"/>
      <c r="C191" s="1088"/>
      <c r="D191" s="641" t="s">
        <v>927</v>
      </c>
      <c r="E191" s="1090"/>
      <c r="F191" s="1090"/>
      <c r="G191" s="1091"/>
      <c r="H191" s="1092"/>
      <c r="I191" s="1615">
        <f t="shared" si="45"/>
        <v>4200</v>
      </c>
      <c r="J191" s="1633">
        <f>SUM(J189:J190)</f>
        <v>0</v>
      </c>
      <c r="K191" s="1633">
        <f t="shared" ref="K191:N191" si="47">SUM(K189:K190)</f>
        <v>0</v>
      </c>
      <c r="L191" s="1633">
        <f t="shared" si="47"/>
        <v>100</v>
      </c>
      <c r="M191" s="1633">
        <f t="shared" si="47"/>
        <v>0</v>
      </c>
      <c r="N191" s="1634">
        <f t="shared" si="47"/>
        <v>4100</v>
      </c>
    </row>
    <row r="192" spans="1:16" s="8" customFormat="1" ht="16.5" x14ac:dyDescent="0.3">
      <c r="A192" s="572">
        <v>158</v>
      </c>
      <c r="B192" s="165"/>
      <c r="C192" s="161"/>
      <c r="D192" s="425" t="s">
        <v>267</v>
      </c>
      <c r="E192" s="166">
        <v>4000</v>
      </c>
      <c r="F192" s="166">
        <v>3400</v>
      </c>
      <c r="G192" s="167">
        <v>0</v>
      </c>
      <c r="H192" s="584"/>
      <c r="I192" s="1085"/>
      <c r="J192" s="1263"/>
      <c r="K192" s="1263"/>
      <c r="L192" s="1263"/>
      <c r="M192" s="1263"/>
      <c r="N192" s="1264"/>
    </row>
    <row r="193" spans="1:16" s="1093" customFormat="1" x14ac:dyDescent="0.3">
      <c r="A193" s="572">
        <v>159</v>
      </c>
      <c r="B193" s="165"/>
      <c r="C193" s="161"/>
      <c r="D193" s="425" t="s">
        <v>348</v>
      </c>
      <c r="E193" s="166">
        <v>5100</v>
      </c>
      <c r="F193" s="166">
        <v>11900</v>
      </c>
      <c r="G193" s="167">
        <v>5555</v>
      </c>
      <c r="H193" s="584"/>
      <c r="I193" s="1085"/>
      <c r="J193" s="1266"/>
      <c r="K193" s="1266"/>
      <c r="L193" s="1266"/>
      <c r="M193" s="1266"/>
      <c r="N193" s="1267"/>
    </row>
    <row r="194" spans="1:16" s="3" customFormat="1" ht="16.5" x14ac:dyDescent="0.3">
      <c r="A194" s="572">
        <v>160</v>
      </c>
      <c r="B194" s="1100"/>
      <c r="C194" s="1088"/>
      <c r="D194" s="1110" t="s">
        <v>292</v>
      </c>
      <c r="E194" s="1102"/>
      <c r="F194" s="1102"/>
      <c r="G194" s="1103"/>
      <c r="H194" s="1104"/>
      <c r="I194" s="1085">
        <f>SUM(J194:N194)</f>
        <v>2500</v>
      </c>
      <c r="J194" s="1105"/>
      <c r="K194" s="1105"/>
      <c r="L194" s="1105"/>
      <c r="M194" s="1105"/>
      <c r="N194" s="1106">
        <v>2500</v>
      </c>
      <c r="P194" s="8"/>
    </row>
    <row r="195" spans="1:16" s="1093" customFormat="1" x14ac:dyDescent="0.3">
      <c r="A195" s="572">
        <v>161</v>
      </c>
      <c r="B195" s="1100"/>
      <c r="C195" s="1088"/>
      <c r="D195" s="1623" t="s">
        <v>929</v>
      </c>
      <c r="E195" s="1102"/>
      <c r="F195" s="1102"/>
      <c r="G195" s="1103"/>
      <c r="H195" s="1104"/>
      <c r="I195" s="1611">
        <f t="shared" ref="I195:I196" si="48">SUM(J195:N195)</f>
        <v>0</v>
      </c>
      <c r="J195" s="1105"/>
      <c r="K195" s="1105"/>
      <c r="L195" s="1105"/>
      <c r="M195" s="1105"/>
      <c r="N195" s="1106"/>
    </row>
    <row r="196" spans="1:16" s="3" customFormat="1" ht="16.5" x14ac:dyDescent="0.3">
      <c r="A196" s="572">
        <v>162</v>
      </c>
      <c r="B196" s="1100"/>
      <c r="C196" s="1088"/>
      <c r="D196" s="1623" t="s">
        <v>927</v>
      </c>
      <c r="E196" s="1102"/>
      <c r="F196" s="1102"/>
      <c r="G196" s="1103"/>
      <c r="H196" s="1104"/>
      <c r="I196" s="1624">
        <f t="shared" si="48"/>
        <v>2500</v>
      </c>
      <c r="J196" s="1105"/>
      <c r="K196" s="1105"/>
      <c r="L196" s="1105"/>
      <c r="M196" s="1105"/>
      <c r="N196" s="1621">
        <f>SUM(N194:N195)</f>
        <v>2500</v>
      </c>
      <c r="P196" s="8"/>
    </row>
    <row r="197" spans="1:16" s="1093" customFormat="1" x14ac:dyDescent="0.3">
      <c r="A197" s="572">
        <v>163</v>
      </c>
      <c r="B197" s="165"/>
      <c r="C197" s="161"/>
      <c r="D197" s="425" t="s">
        <v>269</v>
      </c>
      <c r="E197" s="166">
        <v>2822</v>
      </c>
      <c r="F197" s="166">
        <v>3400</v>
      </c>
      <c r="G197" s="167">
        <v>0</v>
      </c>
      <c r="H197" s="584"/>
      <c r="I197" s="1085"/>
      <c r="J197" s="1266"/>
      <c r="K197" s="1266"/>
      <c r="L197" s="1266"/>
      <c r="M197" s="1266"/>
      <c r="N197" s="1267"/>
    </row>
    <row r="198" spans="1:16" s="3" customFormat="1" ht="16.5" x14ac:dyDescent="0.3">
      <c r="A198" s="572">
        <v>164</v>
      </c>
      <c r="B198" s="165"/>
      <c r="C198" s="161"/>
      <c r="D198" s="425" t="s">
        <v>268</v>
      </c>
      <c r="E198" s="166">
        <v>1600</v>
      </c>
      <c r="F198" s="166">
        <v>1360</v>
      </c>
      <c r="G198" s="167">
        <v>0</v>
      </c>
      <c r="H198" s="584"/>
      <c r="I198" s="1085"/>
      <c r="J198" s="1266"/>
      <c r="K198" s="1266"/>
      <c r="L198" s="1266"/>
      <c r="M198" s="1266"/>
      <c r="N198" s="1267"/>
      <c r="P198" s="8"/>
    </row>
    <row r="199" spans="1:16" s="1093" customFormat="1" x14ac:dyDescent="0.3">
      <c r="A199" s="572">
        <v>165</v>
      </c>
      <c r="B199" s="1100"/>
      <c r="C199" s="1088"/>
      <c r="D199" s="1110" t="s">
        <v>292</v>
      </c>
      <c r="E199" s="1090"/>
      <c r="F199" s="1102"/>
      <c r="G199" s="1103"/>
      <c r="H199" s="1104"/>
      <c r="I199" s="1085">
        <f>SUM(J199:N199)</f>
        <v>1700</v>
      </c>
      <c r="J199" s="1105"/>
      <c r="K199" s="1105"/>
      <c r="L199" s="1105">
        <v>100</v>
      </c>
      <c r="M199" s="1105"/>
      <c r="N199" s="1106">
        <v>1600</v>
      </c>
    </row>
    <row r="200" spans="1:16" s="8" customFormat="1" ht="16.5" x14ac:dyDescent="0.3">
      <c r="A200" s="572">
        <v>166</v>
      </c>
      <c r="B200" s="1100"/>
      <c r="C200" s="1088"/>
      <c r="D200" s="1623" t="s">
        <v>929</v>
      </c>
      <c r="E200" s="1090"/>
      <c r="F200" s="1102"/>
      <c r="G200" s="1103"/>
      <c r="H200" s="1104"/>
      <c r="I200" s="1611">
        <f t="shared" ref="I200:I201" si="49">SUM(J200:N200)</f>
        <v>0</v>
      </c>
      <c r="J200" s="1105"/>
      <c r="K200" s="1105"/>
      <c r="L200" s="1105"/>
      <c r="M200" s="1105"/>
      <c r="N200" s="1106"/>
    </row>
    <row r="201" spans="1:16" s="1093" customFormat="1" x14ac:dyDescent="0.3">
      <c r="A201" s="572">
        <v>167</v>
      </c>
      <c r="B201" s="1100"/>
      <c r="C201" s="1088"/>
      <c r="D201" s="1623" t="s">
        <v>927</v>
      </c>
      <c r="E201" s="1090"/>
      <c r="F201" s="1102"/>
      <c r="G201" s="1103"/>
      <c r="H201" s="1104"/>
      <c r="I201" s="1624">
        <f t="shared" si="49"/>
        <v>1700</v>
      </c>
      <c r="J201" s="1105"/>
      <c r="K201" s="1105"/>
      <c r="L201" s="1620">
        <f>SUM(L199:L200)</f>
        <v>100</v>
      </c>
      <c r="M201" s="1620"/>
      <c r="N201" s="1621">
        <f t="shared" ref="N201" si="50">SUM(N199:N200)</f>
        <v>1600</v>
      </c>
    </row>
    <row r="202" spans="1:16" s="3" customFormat="1" ht="16.5" x14ac:dyDescent="0.3">
      <c r="A202" s="572">
        <v>168</v>
      </c>
      <c r="B202" s="569"/>
      <c r="C202" s="156">
        <v>46</v>
      </c>
      <c r="D202" s="567" t="s">
        <v>412</v>
      </c>
      <c r="E202" s="158">
        <v>4667</v>
      </c>
      <c r="F202" s="166">
        <v>4250</v>
      </c>
      <c r="G202" s="167">
        <v>0</v>
      </c>
      <c r="H202" s="583" t="s">
        <v>24</v>
      </c>
      <c r="I202" s="1085"/>
      <c r="J202" s="1263"/>
      <c r="K202" s="1263"/>
      <c r="L202" s="1263"/>
      <c r="M202" s="1263"/>
      <c r="N202" s="1264"/>
      <c r="P202" s="8"/>
    </row>
    <row r="203" spans="1:16" s="1093" customFormat="1" x14ac:dyDescent="0.3">
      <c r="A203" s="572">
        <v>169</v>
      </c>
      <c r="B203" s="1100"/>
      <c r="C203" s="1088"/>
      <c r="D203" s="1089" t="s">
        <v>292</v>
      </c>
      <c r="E203" s="1090"/>
      <c r="F203" s="1102"/>
      <c r="G203" s="1103"/>
      <c r="H203" s="1104"/>
      <c r="I203" s="1082">
        <f>SUM(J203:N203)</f>
        <v>5000</v>
      </c>
      <c r="J203" s="1105"/>
      <c r="K203" s="1105"/>
      <c r="L203" s="1105"/>
      <c r="M203" s="1105"/>
      <c r="N203" s="1106">
        <v>5000</v>
      </c>
    </row>
    <row r="204" spans="1:16" s="3" customFormat="1" ht="16.5" x14ac:dyDescent="0.3">
      <c r="A204" s="572">
        <v>170</v>
      </c>
      <c r="B204" s="1100"/>
      <c r="C204" s="1088"/>
      <c r="D204" s="1499" t="s">
        <v>929</v>
      </c>
      <c r="E204" s="1090"/>
      <c r="F204" s="1102"/>
      <c r="G204" s="1103"/>
      <c r="H204" s="1104"/>
      <c r="I204" s="1611">
        <f t="shared" ref="I204:I205" si="51">SUM(J204:N204)</f>
        <v>0</v>
      </c>
      <c r="J204" s="1105"/>
      <c r="K204" s="1105"/>
      <c r="L204" s="1105"/>
      <c r="M204" s="1105"/>
      <c r="N204" s="1106"/>
      <c r="P204" s="8"/>
    </row>
    <row r="205" spans="1:16" s="1093" customFormat="1" x14ac:dyDescent="0.3">
      <c r="A205" s="572">
        <v>171</v>
      </c>
      <c r="B205" s="1100"/>
      <c r="C205" s="1088"/>
      <c r="D205" s="641" t="s">
        <v>927</v>
      </c>
      <c r="E205" s="1090"/>
      <c r="F205" s="1102"/>
      <c r="G205" s="1103"/>
      <c r="H205" s="1104"/>
      <c r="I205" s="1615">
        <f t="shared" si="51"/>
        <v>5000</v>
      </c>
      <c r="J205" s="1105"/>
      <c r="K205" s="1105"/>
      <c r="L205" s="1105"/>
      <c r="M205" s="1105"/>
      <c r="N205" s="1622">
        <f>SUM(N203:N204)</f>
        <v>5000</v>
      </c>
    </row>
    <row r="206" spans="1:16" s="3" customFormat="1" ht="16.5" x14ac:dyDescent="0.3">
      <c r="A206" s="572">
        <v>172</v>
      </c>
      <c r="B206" s="568"/>
      <c r="C206" s="156">
        <v>47</v>
      </c>
      <c r="D206" s="567" t="s">
        <v>381</v>
      </c>
      <c r="E206" s="158">
        <v>938</v>
      </c>
      <c r="F206" s="158">
        <v>1700</v>
      </c>
      <c r="G206" s="159">
        <v>829</v>
      </c>
      <c r="H206" s="583" t="s">
        <v>23</v>
      </c>
      <c r="I206" s="1085"/>
      <c r="J206" s="1266"/>
      <c r="K206" s="1266"/>
      <c r="L206" s="1266"/>
      <c r="M206" s="1266"/>
      <c r="N206" s="1267"/>
      <c r="P206" s="8"/>
    </row>
    <row r="207" spans="1:16" s="3" customFormat="1" ht="16.5" x14ac:dyDescent="0.3">
      <c r="A207" s="572">
        <v>173</v>
      </c>
      <c r="B207" s="1087"/>
      <c r="C207" s="1088"/>
      <c r="D207" s="1089" t="s">
        <v>292</v>
      </c>
      <c r="E207" s="1090"/>
      <c r="F207" s="1090"/>
      <c r="G207" s="1091"/>
      <c r="H207" s="1092"/>
      <c r="I207" s="1082">
        <f>SUM(J207:N207)</f>
        <v>1000</v>
      </c>
      <c r="J207" s="1083"/>
      <c r="K207" s="1083"/>
      <c r="L207" s="1083"/>
      <c r="M207" s="1083">
        <v>1000</v>
      </c>
      <c r="N207" s="1084"/>
      <c r="P207" s="8"/>
    </row>
    <row r="208" spans="1:16" s="3" customFormat="1" ht="16.5" x14ac:dyDescent="0.3">
      <c r="A208" s="572">
        <v>174</v>
      </c>
      <c r="B208" s="1087"/>
      <c r="C208" s="1088"/>
      <c r="D208" s="1499" t="s">
        <v>929</v>
      </c>
      <c r="E208" s="1090"/>
      <c r="F208" s="1090"/>
      <c r="G208" s="1091"/>
      <c r="H208" s="1092"/>
      <c r="I208" s="1611">
        <f t="shared" ref="I208:I209" si="52">SUM(J208:N208)</f>
        <v>0</v>
      </c>
      <c r="J208" s="1083"/>
      <c r="K208" s="1083"/>
      <c r="L208" s="1083"/>
      <c r="M208" s="1083"/>
      <c r="N208" s="1084"/>
      <c r="P208" s="8"/>
    </row>
    <row r="209" spans="1:16" s="1093" customFormat="1" x14ac:dyDescent="0.3">
      <c r="A209" s="572">
        <v>175</v>
      </c>
      <c r="B209" s="1087"/>
      <c r="C209" s="1088"/>
      <c r="D209" s="641" t="s">
        <v>927</v>
      </c>
      <c r="E209" s="1090"/>
      <c r="F209" s="1090"/>
      <c r="G209" s="1091"/>
      <c r="H209" s="1092"/>
      <c r="I209" s="1615">
        <f t="shared" si="52"/>
        <v>1000</v>
      </c>
      <c r="J209" s="1083"/>
      <c r="K209" s="1083"/>
      <c r="L209" s="1083"/>
      <c r="M209" s="1618">
        <f>SUM(M207:M208)</f>
        <v>1000</v>
      </c>
      <c r="N209" s="1084"/>
    </row>
    <row r="210" spans="1:16" s="3" customFormat="1" ht="16.5" x14ac:dyDescent="0.3">
      <c r="A210" s="572">
        <v>176</v>
      </c>
      <c r="B210" s="568"/>
      <c r="C210" s="156">
        <v>48</v>
      </c>
      <c r="D210" s="567" t="s">
        <v>270</v>
      </c>
      <c r="E210" s="158"/>
      <c r="F210" s="158">
        <v>85</v>
      </c>
      <c r="G210" s="159">
        <v>0</v>
      </c>
      <c r="H210" s="583" t="s">
        <v>23</v>
      </c>
      <c r="I210" s="1082"/>
      <c r="J210" s="1255"/>
      <c r="K210" s="1255"/>
      <c r="L210" s="1255"/>
      <c r="M210" s="1255"/>
      <c r="N210" s="1256"/>
      <c r="P210" s="8"/>
    </row>
    <row r="211" spans="1:16" s="1093" customFormat="1" x14ac:dyDescent="0.3">
      <c r="A211" s="572">
        <v>177</v>
      </c>
      <c r="B211" s="1087"/>
      <c r="C211" s="1088"/>
      <c r="D211" s="1089" t="s">
        <v>292</v>
      </c>
      <c r="E211" s="1090"/>
      <c r="F211" s="1090"/>
      <c r="G211" s="1091"/>
      <c r="H211" s="1092"/>
      <c r="I211" s="1082">
        <f>SUM(J211:N211)</f>
        <v>100</v>
      </c>
      <c r="J211" s="1083"/>
      <c r="K211" s="1083"/>
      <c r="L211" s="1083"/>
      <c r="M211" s="1083">
        <v>100</v>
      </c>
      <c r="N211" s="1084"/>
    </row>
    <row r="212" spans="1:16" s="3" customFormat="1" ht="16.5" x14ac:dyDescent="0.3">
      <c r="A212" s="572">
        <v>178</v>
      </c>
      <c r="B212" s="1087"/>
      <c r="C212" s="1088"/>
      <c r="D212" s="1499" t="s">
        <v>929</v>
      </c>
      <c r="E212" s="1090"/>
      <c r="F212" s="1090"/>
      <c r="G212" s="1091"/>
      <c r="H212" s="1096"/>
      <c r="I212" s="1611">
        <f t="shared" ref="I212:I213" si="53">SUM(J212:N212)</f>
        <v>0</v>
      </c>
      <c r="J212" s="1083"/>
      <c r="K212" s="1083"/>
      <c r="L212" s="1083"/>
      <c r="M212" s="1083"/>
      <c r="N212" s="1084"/>
      <c r="P212" s="8"/>
    </row>
    <row r="213" spans="1:16" s="3" customFormat="1" ht="16.5" x14ac:dyDescent="0.3">
      <c r="A213" s="572">
        <v>179</v>
      </c>
      <c r="B213" s="1087"/>
      <c r="C213" s="1088"/>
      <c r="D213" s="641" t="s">
        <v>927</v>
      </c>
      <c r="E213" s="1090"/>
      <c r="F213" s="1090"/>
      <c r="G213" s="1091"/>
      <c r="H213" s="1096"/>
      <c r="I213" s="1615">
        <f t="shared" si="53"/>
        <v>100</v>
      </c>
      <c r="J213" s="1083"/>
      <c r="K213" s="1083"/>
      <c r="L213" s="1083"/>
      <c r="M213" s="1618">
        <f>SUM(M211:M212)</f>
        <v>100</v>
      </c>
      <c r="N213" s="1084"/>
      <c r="P213" s="8"/>
    </row>
    <row r="214" spans="1:16" s="1093" customFormat="1" x14ac:dyDescent="0.3">
      <c r="A214" s="572">
        <v>180</v>
      </c>
      <c r="B214" s="565"/>
      <c r="C214" s="156">
        <v>49</v>
      </c>
      <c r="D214" s="566" t="s">
        <v>382</v>
      </c>
      <c r="E214" s="158"/>
      <c r="F214" s="158">
        <v>85</v>
      </c>
      <c r="G214" s="159">
        <v>0</v>
      </c>
      <c r="H214" s="585" t="s">
        <v>23</v>
      </c>
      <c r="I214" s="1082"/>
      <c r="J214" s="1255"/>
      <c r="K214" s="1255"/>
      <c r="L214" s="1255"/>
      <c r="M214" s="1255"/>
      <c r="N214" s="1256"/>
    </row>
    <row r="215" spans="1:16" s="3" customFormat="1" ht="16.5" x14ac:dyDescent="0.3">
      <c r="A215" s="572">
        <v>181</v>
      </c>
      <c r="B215" s="1087"/>
      <c r="C215" s="1088"/>
      <c r="D215" s="1089" t="s">
        <v>292</v>
      </c>
      <c r="E215" s="1090"/>
      <c r="F215" s="1090"/>
      <c r="G215" s="1091"/>
      <c r="H215" s="1096"/>
      <c r="I215" s="1082">
        <f>SUM(J215:N215)</f>
        <v>85</v>
      </c>
      <c r="J215" s="1083"/>
      <c r="K215" s="1083"/>
      <c r="L215" s="1083">
        <v>85</v>
      </c>
      <c r="M215" s="1083"/>
      <c r="N215" s="1084"/>
      <c r="P215" s="8"/>
    </row>
    <row r="216" spans="1:16" s="1093" customFormat="1" x14ac:dyDescent="0.3">
      <c r="A216" s="572">
        <v>182</v>
      </c>
      <c r="B216" s="1087"/>
      <c r="C216" s="1088"/>
      <c r="D216" s="1499" t="s">
        <v>929</v>
      </c>
      <c r="E216" s="1090"/>
      <c r="F216" s="1090"/>
      <c r="G216" s="1091"/>
      <c r="H216" s="1096"/>
      <c r="I216" s="1611">
        <f t="shared" ref="I216:I217" si="54">SUM(J216:N216)</f>
        <v>0</v>
      </c>
      <c r="J216" s="1083"/>
      <c r="K216" s="1083"/>
      <c r="L216" s="1083"/>
      <c r="M216" s="1083"/>
      <c r="N216" s="1084"/>
    </row>
    <row r="217" spans="1:16" s="8" customFormat="1" ht="16.5" x14ac:dyDescent="0.3">
      <c r="A217" s="572">
        <v>183</v>
      </c>
      <c r="B217" s="1087"/>
      <c r="C217" s="1088"/>
      <c r="D217" s="641" t="s">
        <v>927</v>
      </c>
      <c r="E217" s="1090"/>
      <c r="F217" s="1090"/>
      <c r="G217" s="1091"/>
      <c r="H217" s="1096"/>
      <c r="I217" s="1615">
        <f t="shared" si="54"/>
        <v>85</v>
      </c>
      <c r="J217" s="1083"/>
      <c r="K217" s="1083"/>
      <c r="L217" s="1618">
        <f>SUM(L215:L216)</f>
        <v>85</v>
      </c>
      <c r="M217" s="1083"/>
      <c r="N217" s="1084"/>
    </row>
    <row r="218" spans="1:16" s="8" customFormat="1" ht="16.5" x14ac:dyDescent="0.3">
      <c r="A218" s="572">
        <v>184</v>
      </c>
      <c r="B218" s="568"/>
      <c r="C218" s="156">
        <v>50</v>
      </c>
      <c r="D218" s="567" t="s">
        <v>271</v>
      </c>
      <c r="E218" s="158">
        <f>SUM(E222,E234,E238,E242,E246,E250,E254,E258)+E230+E226</f>
        <v>11293</v>
      </c>
      <c r="F218" s="158">
        <f>SUM(F222,F234,F238,F242,F246,F250,F254,F258)+F230+F226</f>
        <v>17553</v>
      </c>
      <c r="G218" s="158">
        <f>SUM(G222,G234,G238,G242,G246,G250,G254,G258)+G230+G226</f>
        <v>14479</v>
      </c>
      <c r="H218" s="583"/>
      <c r="I218" s="1260"/>
      <c r="J218" s="1261"/>
      <c r="K218" s="1261"/>
      <c r="L218" s="1261"/>
      <c r="M218" s="1261"/>
      <c r="N218" s="1262"/>
    </row>
    <row r="219" spans="1:16" s="1093" customFormat="1" x14ac:dyDescent="0.3">
      <c r="A219" s="572">
        <v>185</v>
      </c>
      <c r="B219" s="1087"/>
      <c r="C219" s="1088"/>
      <c r="D219" s="1089" t="s">
        <v>292</v>
      </c>
      <c r="E219" s="1090"/>
      <c r="F219" s="1090"/>
      <c r="G219" s="1091"/>
      <c r="H219" s="1092"/>
      <c r="I219" s="1082">
        <f>SUM(J219:N219)</f>
        <v>30260</v>
      </c>
      <c r="J219" s="1083">
        <f t="shared" ref="J219:L219" si="55">SUM(J223,J235,J239,J243,J247,J251,J255,J259)+J227+J231</f>
        <v>0</v>
      </c>
      <c r="K219" s="1083">
        <f t="shared" si="55"/>
        <v>0</v>
      </c>
      <c r="L219" s="1083">
        <f t="shared" si="55"/>
        <v>0</v>
      </c>
      <c r="M219" s="1083">
        <f>SUM(M223,M235,M239,M243,M247,M251,M255,M259)+M227+M231</f>
        <v>30260</v>
      </c>
      <c r="N219" s="1084">
        <f>SUM(N223,N235,N239,N243,N247,N251,N255,N259)+N227+N231</f>
        <v>0</v>
      </c>
    </row>
    <row r="220" spans="1:16" s="3" customFormat="1" ht="16.5" x14ac:dyDescent="0.3">
      <c r="A220" s="572">
        <v>186</v>
      </c>
      <c r="B220" s="1087"/>
      <c r="C220" s="1088"/>
      <c r="D220" s="1499" t="s">
        <v>929</v>
      </c>
      <c r="E220" s="1090"/>
      <c r="F220" s="1090"/>
      <c r="G220" s="1091"/>
      <c r="H220" s="1092"/>
      <c r="I220" s="1611">
        <f t="shared" ref="I220:I221" si="56">SUM(J220:N220)</f>
        <v>10958</v>
      </c>
      <c r="J220" s="1105">
        <f t="shared" ref="J220:L220" si="57">J224+J228+J232+J236+J240+J244+J248+J252+J256+J260</f>
        <v>0</v>
      </c>
      <c r="K220" s="1105">
        <f t="shared" si="57"/>
        <v>0</v>
      </c>
      <c r="L220" s="1105">
        <f t="shared" si="57"/>
        <v>0</v>
      </c>
      <c r="M220" s="1105">
        <f>M224+M228+M232+M236+M240+M244+M248+M252+M256+M260</f>
        <v>10958</v>
      </c>
      <c r="N220" s="1106">
        <f>N224+N228+N232+N236+N240+N244+N248+N252+N256+N260</f>
        <v>0</v>
      </c>
      <c r="P220" s="8"/>
    </row>
    <row r="221" spans="1:16" s="1093" customFormat="1" x14ac:dyDescent="0.3">
      <c r="A221" s="572">
        <v>187</v>
      </c>
      <c r="B221" s="1087"/>
      <c r="C221" s="1088"/>
      <c r="D221" s="641" t="s">
        <v>927</v>
      </c>
      <c r="E221" s="1090"/>
      <c r="F221" s="1090"/>
      <c r="G221" s="1091"/>
      <c r="H221" s="1092"/>
      <c r="I221" s="1615">
        <f t="shared" si="56"/>
        <v>41218</v>
      </c>
      <c r="J221" s="1618">
        <f>SUM(J219:J220)</f>
        <v>0</v>
      </c>
      <c r="K221" s="1618">
        <f t="shared" ref="K221:N221" si="58">SUM(K219:K220)</f>
        <v>0</v>
      </c>
      <c r="L221" s="1618">
        <f t="shared" si="58"/>
        <v>0</v>
      </c>
      <c r="M221" s="1618">
        <f t="shared" si="58"/>
        <v>41218</v>
      </c>
      <c r="N221" s="1622">
        <f t="shared" si="58"/>
        <v>0</v>
      </c>
    </row>
    <row r="222" spans="1:16" s="8" customFormat="1" ht="16.5" x14ac:dyDescent="0.3">
      <c r="A222" s="572">
        <v>188</v>
      </c>
      <c r="B222" s="165"/>
      <c r="C222" s="161"/>
      <c r="D222" s="425" t="s">
        <v>275</v>
      </c>
      <c r="E222" s="166">
        <v>2021</v>
      </c>
      <c r="F222" s="166">
        <v>2125</v>
      </c>
      <c r="G222" s="167">
        <v>2152</v>
      </c>
      <c r="H222" s="584" t="s">
        <v>23</v>
      </c>
      <c r="I222" s="1085"/>
      <c r="J222" s="1263"/>
      <c r="K222" s="1263"/>
      <c r="L222" s="1263"/>
      <c r="M222" s="1263"/>
      <c r="N222" s="1264"/>
    </row>
    <row r="223" spans="1:16" s="1093" customFormat="1" x14ac:dyDescent="0.3">
      <c r="A223" s="572">
        <v>189</v>
      </c>
      <c r="B223" s="1100"/>
      <c r="C223" s="1088"/>
      <c r="D223" s="1110" t="s">
        <v>292</v>
      </c>
      <c r="E223" s="1102"/>
      <c r="F223" s="1102"/>
      <c r="G223" s="1103"/>
      <c r="H223" s="1104"/>
      <c r="I223" s="1085">
        <f>SUM(J223:N223)</f>
        <v>2500</v>
      </c>
      <c r="J223" s="1105"/>
      <c r="K223" s="1105"/>
      <c r="L223" s="1105"/>
      <c r="M223" s="1105">
        <v>2500</v>
      </c>
      <c r="N223" s="1106"/>
    </row>
    <row r="224" spans="1:16" s="3" customFormat="1" ht="16.5" x14ac:dyDescent="0.3">
      <c r="A224" s="572">
        <v>190</v>
      </c>
      <c r="B224" s="1100"/>
      <c r="C224" s="1088"/>
      <c r="D224" s="1623" t="s">
        <v>926</v>
      </c>
      <c r="E224" s="1102"/>
      <c r="F224" s="1102"/>
      <c r="G224" s="1103"/>
      <c r="H224" s="1104"/>
      <c r="I224" s="1611">
        <f t="shared" ref="I224:I225" si="59">SUM(J224:N224)</f>
        <v>2008</v>
      </c>
      <c r="J224" s="1105"/>
      <c r="K224" s="1105"/>
      <c r="L224" s="1105"/>
      <c r="M224" s="1617">
        <v>2008</v>
      </c>
      <c r="N224" s="1106"/>
      <c r="P224" s="8"/>
    </row>
    <row r="225" spans="1:16" s="1093" customFormat="1" x14ac:dyDescent="0.3">
      <c r="A225" s="572">
        <v>191</v>
      </c>
      <c r="B225" s="1100"/>
      <c r="C225" s="1088"/>
      <c r="D225" s="1623" t="s">
        <v>927</v>
      </c>
      <c r="E225" s="1102"/>
      <c r="F225" s="1102"/>
      <c r="G225" s="1103"/>
      <c r="H225" s="1104"/>
      <c r="I225" s="1624">
        <f t="shared" si="59"/>
        <v>4508</v>
      </c>
      <c r="J225" s="1105"/>
      <c r="K225" s="1105"/>
      <c r="L225" s="1105"/>
      <c r="M225" s="1620">
        <f>SUM(M223:M224)</f>
        <v>4508</v>
      </c>
      <c r="N225" s="1106"/>
    </row>
    <row r="226" spans="1:16" s="3" customFormat="1" ht="16.5" x14ac:dyDescent="0.3">
      <c r="A226" s="572">
        <v>192</v>
      </c>
      <c r="B226" s="1100"/>
      <c r="C226" s="1088"/>
      <c r="D226" s="426" t="s">
        <v>759</v>
      </c>
      <c r="E226" s="1102"/>
      <c r="F226" s="166"/>
      <c r="G226" s="167">
        <v>3180</v>
      </c>
      <c r="H226" s="584" t="s">
        <v>24</v>
      </c>
      <c r="I226" s="1085"/>
      <c r="J226" s="1105"/>
      <c r="K226" s="1105"/>
      <c r="L226" s="1105"/>
      <c r="M226" s="1105"/>
      <c r="N226" s="1106"/>
      <c r="P226" s="8"/>
    </row>
    <row r="227" spans="1:16" s="1093" customFormat="1" x14ac:dyDescent="0.3">
      <c r="A227" s="572">
        <v>193</v>
      </c>
      <c r="B227" s="1100"/>
      <c r="C227" s="1088"/>
      <c r="D227" s="1110" t="s">
        <v>292</v>
      </c>
      <c r="E227" s="1102"/>
      <c r="F227" s="1102"/>
      <c r="G227" s="1103"/>
      <c r="H227" s="1104"/>
      <c r="I227" s="1085">
        <f>SUM(J227:N227)</f>
        <v>13500</v>
      </c>
      <c r="J227" s="1105"/>
      <c r="K227" s="1105"/>
      <c r="L227" s="1105"/>
      <c r="M227" s="1105">
        <v>13500</v>
      </c>
      <c r="N227" s="1106"/>
    </row>
    <row r="228" spans="1:16" s="3" customFormat="1" ht="16.5" x14ac:dyDescent="0.3">
      <c r="A228" s="572">
        <v>194</v>
      </c>
      <c r="B228" s="1100"/>
      <c r="C228" s="1088"/>
      <c r="D228" s="1623" t="s">
        <v>926</v>
      </c>
      <c r="E228" s="1102"/>
      <c r="F228" s="1102"/>
      <c r="G228" s="1103"/>
      <c r="H228" s="1104"/>
      <c r="I228" s="1611">
        <f t="shared" ref="I228:I229" si="60">SUM(J228:N228)</f>
        <v>5320</v>
      </c>
      <c r="J228" s="1105"/>
      <c r="K228" s="1105"/>
      <c r="L228" s="1105"/>
      <c r="M228" s="1617">
        <v>5320</v>
      </c>
      <c r="N228" s="1106"/>
      <c r="P228" s="8"/>
    </row>
    <row r="229" spans="1:16" s="1093" customFormat="1" x14ac:dyDescent="0.3">
      <c r="A229" s="572">
        <v>195</v>
      </c>
      <c r="B229" s="1100"/>
      <c r="C229" s="1088"/>
      <c r="D229" s="1623" t="s">
        <v>927</v>
      </c>
      <c r="E229" s="1102"/>
      <c r="F229" s="1102"/>
      <c r="G229" s="1103"/>
      <c r="H229" s="1104"/>
      <c r="I229" s="1624">
        <f t="shared" si="60"/>
        <v>18820</v>
      </c>
      <c r="J229" s="1105"/>
      <c r="K229" s="1105"/>
      <c r="L229" s="1105"/>
      <c r="M229" s="1620">
        <f>SUM(M227:M228)</f>
        <v>18820</v>
      </c>
      <c r="N229" s="1106"/>
    </row>
    <row r="230" spans="1:16" s="3" customFormat="1" ht="16.5" x14ac:dyDescent="0.3">
      <c r="A230" s="572">
        <v>196</v>
      </c>
      <c r="B230" s="165"/>
      <c r="C230" s="161"/>
      <c r="D230" s="426" t="s">
        <v>474</v>
      </c>
      <c r="E230" s="166">
        <v>302</v>
      </c>
      <c r="F230" s="166">
        <v>4675</v>
      </c>
      <c r="G230" s="167">
        <v>256</v>
      </c>
      <c r="H230" s="584" t="s">
        <v>24</v>
      </c>
      <c r="I230" s="1085"/>
      <c r="J230" s="1263"/>
      <c r="K230" s="1263"/>
      <c r="L230" s="1263"/>
      <c r="M230" s="1263"/>
      <c r="N230" s="1264"/>
    </row>
    <row r="231" spans="1:16" s="1093" customFormat="1" x14ac:dyDescent="0.3">
      <c r="A231" s="572">
        <v>197</v>
      </c>
      <c r="B231" s="1100"/>
      <c r="C231" s="1088"/>
      <c r="D231" s="1110" t="s">
        <v>292</v>
      </c>
      <c r="E231" s="1102"/>
      <c r="F231" s="1102"/>
      <c r="G231" s="1103"/>
      <c r="H231" s="1104"/>
      <c r="I231" s="1085">
        <f>SUM(J231:N231)</f>
        <v>1500</v>
      </c>
      <c r="J231" s="1105"/>
      <c r="K231" s="1105"/>
      <c r="L231" s="1105"/>
      <c r="M231" s="1105">
        <v>1500</v>
      </c>
      <c r="N231" s="1106"/>
    </row>
    <row r="232" spans="1:16" s="8" customFormat="1" ht="16.5" x14ac:dyDescent="0.3">
      <c r="A232" s="572">
        <v>198</v>
      </c>
      <c r="B232" s="1100"/>
      <c r="C232" s="1088"/>
      <c r="D232" s="1623" t="s">
        <v>926</v>
      </c>
      <c r="E232" s="1102"/>
      <c r="F232" s="1102"/>
      <c r="G232" s="1103"/>
      <c r="H232" s="1104"/>
      <c r="I232" s="1611">
        <f t="shared" ref="I232:I233" si="61">SUM(J232:N232)</f>
        <v>2519</v>
      </c>
      <c r="J232" s="1105"/>
      <c r="K232" s="1105"/>
      <c r="L232" s="1105"/>
      <c r="M232" s="1617">
        <v>2519</v>
      </c>
      <c r="N232" s="1106"/>
    </row>
    <row r="233" spans="1:16" s="3" customFormat="1" ht="16.5" x14ac:dyDescent="0.3">
      <c r="A233" s="572">
        <v>199</v>
      </c>
      <c r="B233" s="1100"/>
      <c r="C233" s="1088"/>
      <c r="D233" s="1623" t="s">
        <v>927</v>
      </c>
      <c r="E233" s="1102"/>
      <c r="F233" s="1102"/>
      <c r="G233" s="1103"/>
      <c r="H233" s="1104"/>
      <c r="I233" s="1624">
        <f t="shared" si="61"/>
        <v>4019</v>
      </c>
      <c r="J233" s="1105"/>
      <c r="K233" s="1105"/>
      <c r="L233" s="1105"/>
      <c r="M233" s="1620">
        <f>SUM(M231:M232)</f>
        <v>4019</v>
      </c>
      <c r="N233" s="1106"/>
    </row>
    <row r="234" spans="1:16" s="1093" customFormat="1" x14ac:dyDescent="0.3">
      <c r="A234" s="572">
        <v>200</v>
      </c>
      <c r="B234" s="165"/>
      <c r="C234" s="161"/>
      <c r="D234" s="426" t="s">
        <v>383</v>
      </c>
      <c r="E234" s="166">
        <v>6288</v>
      </c>
      <c r="F234" s="166">
        <v>6800</v>
      </c>
      <c r="G234" s="167">
        <v>6639</v>
      </c>
      <c r="H234" s="584" t="s">
        <v>24</v>
      </c>
      <c r="I234" s="1265"/>
      <c r="J234" s="1266"/>
      <c r="K234" s="1266"/>
      <c r="L234" s="1266"/>
      <c r="M234" s="1266"/>
      <c r="N234" s="1267"/>
    </row>
    <row r="235" spans="1:16" s="3" customFormat="1" ht="16.5" x14ac:dyDescent="0.3">
      <c r="A235" s="572">
        <v>201</v>
      </c>
      <c r="B235" s="1100"/>
      <c r="C235" s="1088"/>
      <c r="D235" s="1110" t="s">
        <v>292</v>
      </c>
      <c r="E235" s="1102"/>
      <c r="F235" s="1102"/>
      <c r="G235" s="1103"/>
      <c r="H235" s="1104"/>
      <c r="I235" s="1085">
        <f>SUM(J235:N235)</f>
        <v>8000</v>
      </c>
      <c r="J235" s="1105"/>
      <c r="K235" s="1105"/>
      <c r="L235" s="1105"/>
      <c r="M235" s="1105">
        <v>8000</v>
      </c>
      <c r="N235" s="1106"/>
      <c r="O235" s="8"/>
      <c r="P235" s="8"/>
    </row>
    <row r="236" spans="1:16" s="3" customFormat="1" ht="16.5" x14ac:dyDescent="0.3">
      <c r="A236" s="572">
        <v>202</v>
      </c>
      <c r="B236" s="1100"/>
      <c r="C236" s="1088"/>
      <c r="D236" s="1623" t="s">
        <v>926</v>
      </c>
      <c r="E236" s="1102"/>
      <c r="F236" s="1102"/>
      <c r="G236" s="1103"/>
      <c r="H236" s="1104"/>
      <c r="I236" s="1611">
        <f t="shared" ref="I236:I237" si="62">SUM(J236:N236)</f>
        <v>1111</v>
      </c>
      <c r="J236" s="1105"/>
      <c r="K236" s="1105"/>
      <c r="L236" s="1105"/>
      <c r="M236" s="1617">
        <v>1111</v>
      </c>
      <c r="N236" s="1106"/>
      <c r="P236" s="8"/>
    </row>
    <row r="237" spans="1:16" s="1093" customFormat="1" x14ac:dyDescent="0.3">
      <c r="A237" s="572">
        <v>203</v>
      </c>
      <c r="B237" s="1100"/>
      <c r="C237" s="1088"/>
      <c r="D237" s="1623" t="s">
        <v>927</v>
      </c>
      <c r="E237" s="1102"/>
      <c r="F237" s="1102"/>
      <c r="G237" s="1103"/>
      <c r="H237" s="1104"/>
      <c r="I237" s="1624">
        <f t="shared" si="62"/>
        <v>9111</v>
      </c>
      <c r="J237" s="1105"/>
      <c r="K237" s="1105"/>
      <c r="L237" s="1105"/>
      <c r="M237" s="1620">
        <f>SUM(M235:M236)</f>
        <v>9111</v>
      </c>
      <c r="N237" s="1106"/>
    </row>
    <row r="238" spans="1:16" s="3" customFormat="1" ht="16.5" x14ac:dyDescent="0.3">
      <c r="A238" s="572">
        <v>204</v>
      </c>
      <c r="B238" s="165"/>
      <c r="C238" s="161"/>
      <c r="D238" s="426" t="s">
        <v>384</v>
      </c>
      <c r="E238" s="166"/>
      <c r="F238" s="166">
        <v>85</v>
      </c>
      <c r="G238" s="167">
        <v>0</v>
      </c>
      <c r="H238" s="584" t="s">
        <v>24</v>
      </c>
      <c r="I238" s="1265"/>
      <c r="J238" s="1266"/>
      <c r="K238" s="1266"/>
      <c r="L238" s="1266"/>
      <c r="M238" s="1266"/>
      <c r="N238" s="1267"/>
      <c r="P238" s="8"/>
    </row>
    <row r="239" spans="1:16" s="1093" customFormat="1" x14ac:dyDescent="0.3">
      <c r="A239" s="572">
        <v>205</v>
      </c>
      <c r="B239" s="1100"/>
      <c r="C239" s="1088"/>
      <c r="D239" s="1110" t="s">
        <v>292</v>
      </c>
      <c r="E239" s="1102"/>
      <c r="F239" s="1102"/>
      <c r="G239" s="1103"/>
      <c r="H239" s="1104"/>
      <c r="I239" s="1085">
        <f>SUM(J239:N239)</f>
        <v>100</v>
      </c>
      <c r="J239" s="1105"/>
      <c r="K239" s="1105"/>
      <c r="L239" s="1105"/>
      <c r="M239" s="1105">
        <v>100</v>
      </c>
      <c r="N239" s="1106"/>
    </row>
    <row r="240" spans="1:16" s="3" customFormat="1" ht="16.5" x14ac:dyDescent="0.3">
      <c r="A240" s="572">
        <v>206</v>
      </c>
      <c r="B240" s="1100"/>
      <c r="C240" s="1088"/>
      <c r="D240" s="1623" t="s">
        <v>929</v>
      </c>
      <c r="E240" s="1102"/>
      <c r="F240" s="1102"/>
      <c r="G240" s="1103"/>
      <c r="H240" s="1104"/>
      <c r="I240" s="1611">
        <f t="shared" ref="I240:I241" si="63">SUM(J240:N240)</f>
        <v>0</v>
      </c>
      <c r="J240" s="1105"/>
      <c r="K240" s="1105"/>
      <c r="L240" s="1105"/>
      <c r="M240" s="1105"/>
      <c r="N240" s="1106"/>
      <c r="P240" s="8"/>
    </row>
    <row r="241" spans="1:16" s="1093" customFormat="1" x14ac:dyDescent="0.3">
      <c r="A241" s="572">
        <v>207</v>
      </c>
      <c r="B241" s="1100"/>
      <c r="C241" s="1088"/>
      <c r="D241" s="1623" t="s">
        <v>927</v>
      </c>
      <c r="E241" s="1102"/>
      <c r="F241" s="1102"/>
      <c r="G241" s="1103"/>
      <c r="H241" s="1104"/>
      <c r="I241" s="1624">
        <f t="shared" si="63"/>
        <v>100</v>
      </c>
      <c r="J241" s="1105"/>
      <c r="K241" s="1105"/>
      <c r="L241" s="1105"/>
      <c r="M241" s="1620">
        <f>SUM(M239:M240)</f>
        <v>100</v>
      </c>
      <c r="N241" s="1106"/>
    </row>
    <row r="242" spans="1:16" s="3" customFormat="1" ht="16.5" x14ac:dyDescent="0.3">
      <c r="A242" s="572">
        <v>208</v>
      </c>
      <c r="B242" s="165"/>
      <c r="C242" s="161"/>
      <c r="D242" s="426" t="s">
        <v>385</v>
      </c>
      <c r="E242" s="166">
        <v>1320</v>
      </c>
      <c r="F242" s="166">
        <v>1700</v>
      </c>
      <c r="G242" s="167">
        <v>855</v>
      </c>
      <c r="H242" s="584" t="s">
        <v>24</v>
      </c>
      <c r="I242" s="1265"/>
      <c r="J242" s="1266"/>
      <c r="K242" s="1266"/>
      <c r="L242" s="1266"/>
      <c r="M242" s="1266"/>
      <c r="N242" s="1267"/>
      <c r="P242" s="8"/>
    </row>
    <row r="243" spans="1:16" s="1093" customFormat="1" x14ac:dyDescent="0.3">
      <c r="A243" s="572">
        <v>209</v>
      </c>
      <c r="B243" s="1100"/>
      <c r="C243" s="1088"/>
      <c r="D243" s="1110" t="s">
        <v>292</v>
      </c>
      <c r="E243" s="1102"/>
      <c r="F243" s="1102"/>
      <c r="G243" s="1103"/>
      <c r="H243" s="1104"/>
      <c r="I243" s="1085">
        <f>SUM(J243:N243)</f>
        <v>2000</v>
      </c>
      <c r="J243" s="1105"/>
      <c r="K243" s="1105"/>
      <c r="L243" s="1105"/>
      <c r="M243" s="1105">
        <v>2000</v>
      </c>
      <c r="N243" s="1106"/>
    </row>
    <row r="244" spans="1:16" s="3" customFormat="1" ht="16.5" x14ac:dyDescent="0.3">
      <c r="A244" s="572">
        <v>210</v>
      </c>
      <c r="B244" s="1100"/>
      <c r="C244" s="1088"/>
      <c r="D244" s="1623" t="s">
        <v>929</v>
      </c>
      <c r="E244" s="1102"/>
      <c r="F244" s="1102"/>
      <c r="G244" s="1103"/>
      <c r="H244" s="1104"/>
      <c r="I244" s="1611">
        <f t="shared" ref="I244:I245" si="64">SUM(J244:N244)</f>
        <v>0</v>
      </c>
      <c r="J244" s="1105"/>
      <c r="K244" s="1105"/>
      <c r="L244" s="1105"/>
      <c r="M244" s="1105"/>
      <c r="N244" s="1106"/>
      <c r="O244" s="8"/>
      <c r="P244" s="8"/>
    </row>
    <row r="245" spans="1:16" s="3" customFormat="1" ht="16.5" x14ac:dyDescent="0.3">
      <c r="A245" s="572">
        <v>211</v>
      </c>
      <c r="B245" s="1100"/>
      <c r="C245" s="1088"/>
      <c r="D245" s="1623" t="s">
        <v>927</v>
      </c>
      <c r="E245" s="1102"/>
      <c r="F245" s="1102"/>
      <c r="G245" s="1103"/>
      <c r="H245" s="1104"/>
      <c r="I245" s="1624">
        <f t="shared" si="64"/>
        <v>2000</v>
      </c>
      <c r="J245" s="1105"/>
      <c r="K245" s="1105"/>
      <c r="L245" s="1105"/>
      <c r="M245" s="1620">
        <f>SUM(M243:M244)</f>
        <v>2000</v>
      </c>
      <c r="N245" s="1106"/>
      <c r="P245" s="8"/>
    </row>
    <row r="246" spans="1:16" s="3" customFormat="1" ht="16.5" x14ac:dyDescent="0.3">
      <c r="A246" s="572">
        <v>212</v>
      </c>
      <c r="B246" s="165"/>
      <c r="C246" s="161"/>
      <c r="D246" s="426" t="s">
        <v>386</v>
      </c>
      <c r="E246" s="166"/>
      <c r="F246" s="166">
        <v>43</v>
      </c>
      <c r="G246" s="167">
        <v>0</v>
      </c>
      <c r="H246" s="584" t="s">
        <v>24</v>
      </c>
      <c r="I246" s="1265"/>
      <c r="J246" s="1266"/>
      <c r="K246" s="1266"/>
      <c r="L246" s="1266"/>
      <c r="M246" s="1266"/>
      <c r="N246" s="1267"/>
      <c r="P246" s="8"/>
    </row>
    <row r="247" spans="1:16" s="8" customFormat="1" ht="16.5" x14ac:dyDescent="0.3">
      <c r="A247" s="572">
        <v>213</v>
      </c>
      <c r="B247" s="1100"/>
      <c r="C247" s="1088"/>
      <c r="D247" s="1110" t="s">
        <v>292</v>
      </c>
      <c r="E247" s="1102"/>
      <c r="F247" s="1102"/>
      <c r="G247" s="1103"/>
      <c r="H247" s="1104"/>
      <c r="I247" s="1085">
        <f>SUM(J247:N247)</f>
        <v>50</v>
      </c>
      <c r="J247" s="1105"/>
      <c r="K247" s="1105"/>
      <c r="L247" s="1105"/>
      <c r="M247" s="1105">
        <v>50</v>
      </c>
      <c r="N247" s="1106"/>
    </row>
    <row r="248" spans="1:16" s="1093" customFormat="1" x14ac:dyDescent="0.3">
      <c r="A248" s="572">
        <v>214</v>
      </c>
      <c r="B248" s="1100"/>
      <c r="C248" s="1088"/>
      <c r="D248" s="1623" t="s">
        <v>929</v>
      </c>
      <c r="E248" s="1102"/>
      <c r="F248" s="1102"/>
      <c r="G248" s="1103"/>
      <c r="H248" s="1104"/>
      <c r="I248" s="1611">
        <f t="shared" ref="I248:I249" si="65">SUM(J248:N248)</f>
        <v>0</v>
      </c>
      <c r="J248" s="1105"/>
      <c r="K248" s="1105"/>
      <c r="L248" s="1105"/>
      <c r="M248" s="1105"/>
      <c r="N248" s="1106"/>
    </row>
    <row r="249" spans="1:16" s="3" customFormat="1" ht="16.5" x14ac:dyDescent="0.3">
      <c r="A249" s="572">
        <v>215</v>
      </c>
      <c r="B249" s="1100"/>
      <c r="C249" s="1088"/>
      <c r="D249" s="1623" t="s">
        <v>927</v>
      </c>
      <c r="E249" s="1102"/>
      <c r="F249" s="1102"/>
      <c r="G249" s="1103"/>
      <c r="H249" s="1104"/>
      <c r="I249" s="1624">
        <f t="shared" si="65"/>
        <v>50</v>
      </c>
      <c r="J249" s="1105"/>
      <c r="K249" s="1105"/>
      <c r="L249" s="1105"/>
      <c r="M249" s="1620">
        <f>SUM(M247:M248)</f>
        <v>50</v>
      </c>
      <c r="N249" s="1106"/>
      <c r="P249" s="8"/>
    </row>
    <row r="250" spans="1:16" s="1093" customFormat="1" x14ac:dyDescent="0.3">
      <c r="A250" s="572">
        <v>216</v>
      </c>
      <c r="B250" s="165"/>
      <c r="C250" s="161"/>
      <c r="D250" s="426" t="s">
        <v>387</v>
      </c>
      <c r="E250" s="166">
        <v>1320</v>
      </c>
      <c r="F250" s="166">
        <v>1275</v>
      </c>
      <c r="G250" s="167">
        <v>1365</v>
      </c>
      <c r="H250" s="584" t="s">
        <v>24</v>
      </c>
      <c r="I250" s="1265"/>
      <c r="J250" s="1266"/>
      <c r="K250" s="1266"/>
      <c r="L250" s="1266"/>
      <c r="M250" s="1266"/>
      <c r="N250" s="1267"/>
    </row>
    <row r="251" spans="1:16" s="3" customFormat="1" ht="16.5" x14ac:dyDescent="0.3">
      <c r="A251" s="572">
        <v>217</v>
      </c>
      <c r="B251" s="1100"/>
      <c r="C251" s="1088"/>
      <c r="D251" s="1110" t="s">
        <v>292</v>
      </c>
      <c r="E251" s="1102"/>
      <c r="F251" s="1102"/>
      <c r="G251" s="1103"/>
      <c r="H251" s="1104"/>
      <c r="I251" s="1085">
        <f>SUM(J251:N251)</f>
        <v>1700</v>
      </c>
      <c r="J251" s="1105"/>
      <c r="K251" s="1105"/>
      <c r="L251" s="1105"/>
      <c r="M251" s="1105">
        <v>1700</v>
      </c>
      <c r="N251" s="1106"/>
      <c r="P251" s="8"/>
    </row>
    <row r="252" spans="1:16" s="1093" customFormat="1" x14ac:dyDescent="0.3">
      <c r="A252" s="572">
        <v>218</v>
      </c>
      <c r="B252" s="1100"/>
      <c r="C252" s="1088"/>
      <c r="D252" s="1623" t="s">
        <v>929</v>
      </c>
      <c r="E252" s="1102"/>
      <c r="F252" s="1102"/>
      <c r="G252" s="1103"/>
      <c r="H252" s="1104"/>
      <c r="I252" s="1611">
        <f t="shared" ref="I252:I253" si="66">SUM(J252:N252)</f>
        <v>0</v>
      </c>
      <c r="J252" s="1105"/>
      <c r="K252" s="1105"/>
      <c r="L252" s="1105"/>
      <c r="M252" s="1105"/>
      <c r="N252" s="1106"/>
    </row>
    <row r="253" spans="1:16" s="3" customFormat="1" ht="16.5" x14ac:dyDescent="0.3">
      <c r="A253" s="572">
        <v>219</v>
      </c>
      <c r="B253" s="1100"/>
      <c r="C253" s="1088"/>
      <c r="D253" s="1623" t="s">
        <v>927</v>
      </c>
      <c r="E253" s="1102"/>
      <c r="F253" s="1102"/>
      <c r="G253" s="1103"/>
      <c r="H253" s="1104"/>
      <c r="I253" s="1624">
        <f t="shared" si="66"/>
        <v>1700</v>
      </c>
      <c r="J253" s="1105"/>
      <c r="K253" s="1105"/>
      <c r="L253" s="1105"/>
      <c r="M253" s="1620">
        <f>SUM(M251:M252)</f>
        <v>1700</v>
      </c>
      <c r="N253" s="1106"/>
      <c r="P253" s="8"/>
    </row>
    <row r="254" spans="1:16" s="1093" customFormat="1" x14ac:dyDescent="0.3">
      <c r="A254" s="572">
        <v>220</v>
      </c>
      <c r="B254" s="165"/>
      <c r="C254" s="161"/>
      <c r="D254" s="426" t="s">
        <v>388</v>
      </c>
      <c r="E254" s="166"/>
      <c r="F254" s="166">
        <v>340</v>
      </c>
      <c r="G254" s="167">
        <v>0</v>
      </c>
      <c r="H254" s="584" t="s">
        <v>24</v>
      </c>
      <c r="I254" s="1265"/>
      <c r="J254" s="1266"/>
      <c r="K254" s="1266"/>
      <c r="L254" s="1266"/>
      <c r="M254" s="1266"/>
      <c r="N254" s="1267"/>
    </row>
    <row r="255" spans="1:16" s="3" customFormat="1" ht="16.5" x14ac:dyDescent="0.3">
      <c r="A255" s="572">
        <v>221</v>
      </c>
      <c r="B255" s="1100"/>
      <c r="C255" s="1088"/>
      <c r="D255" s="1110" t="s">
        <v>292</v>
      </c>
      <c r="E255" s="1090"/>
      <c r="F255" s="1102"/>
      <c r="G255" s="1103"/>
      <c r="H255" s="1104"/>
      <c r="I255" s="1085">
        <f>SUM(J255:N255)</f>
        <v>400</v>
      </c>
      <c r="J255" s="1105"/>
      <c r="K255" s="1105"/>
      <c r="L255" s="1105"/>
      <c r="M255" s="1105">
        <v>400</v>
      </c>
      <c r="N255" s="1106"/>
      <c r="P255" s="8"/>
    </row>
    <row r="256" spans="1:16" s="1093" customFormat="1" x14ac:dyDescent="0.3">
      <c r="A256" s="572">
        <v>222</v>
      </c>
      <c r="B256" s="1100"/>
      <c r="C256" s="1088"/>
      <c r="D256" s="1623" t="s">
        <v>929</v>
      </c>
      <c r="E256" s="1090"/>
      <c r="F256" s="1102"/>
      <c r="G256" s="1103"/>
      <c r="H256" s="1104"/>
      <c r="I256" s="1611">
        <f t="shared" ref="I256:I257" si="67">SUM(J256:N256)</f>
        <v>0</v>
      </c>
      <c r="J256" s="1105"/>
      <c r="K256" s="1105"/>
      <c r="L256" s="1105"/>
      <c r="M256" s="1105"/>
      <c r="N256" s="1106"/>
    </row>
    <row r="257" spans="1:16" s="3" customFormat="1" ht="16.5" x14ac:dyDescent="0.3">
      <c r="A257" s="572">
        <v>223</v>
      </c>
      <c r="B257" s="1100"/>
      <c r="C257" s="1088"/>
      <c r="D257" s="1623" t="s">
        <v>927</v>
      </c>
      <c r="E257" s="1090"/>
      <c r="F257" s="1102"/>
      <c r="G257" s="1103"/>
      <c r="H257" s="1104"/>
      <c r="I257" s="1624">
        <f t="shared" si="67"/>
        <v>400</v>
      </c>
      <c r="J257" s="1105"/>
      <c r="K257" s="1105"/>
      <c r="L257" s="1105"/>
      <c r="M257" s="1620">
        <f>SUM(M255:M256)</f>
        <v>400</v>
      </c>
      <c r="N257" s="1106"/>
      <c r="P257" s="8"/>
    </row>
    <row r="258" spans="1:16" s="1093" customFormat="1" x14ac:dyDescent="0.3">
      <c r="A258" s="572">
        <v>224</v>
      </c>
      <c r="B258" s="165"/>
      <c r="C258" s="161"/>
      <c r="D258" s="426" t="s">
        <v>389</v>
      </c>
      <c r="E258" s="158">
        <v>42</v>
      </c>
      <c r="F258" s="166">
        <v>510</v>
      </c>
      <c r="G258" s="167">
        <v>32</v>
      </c>
      <c r="H258" s="584" t="s">
        <v>24</v>
      </c>
      <c r="I258" s="1085"/>
      <c r="J258" s="1263"/>
      <c r="K258" s="1263"/>
      <c r="L258" s="1263"/>
      <c r="M258" s="1263"/>
      <c r="N258" s="1264"/>
    </row>
    <row r="259" spans="1:16" s="3" customFormat="1" ht="16.5" x14ac:dyDescent="0.3">
      <c r="A259" s="572">
        <v>225</v>
      </c>
      <c r="B259" s="1100"/>
      <c r="C259" s="1088"/>
      <c r="D259" s="1110" t="s">
        <v>292</v>
      </c>
      <c r="E259" s="1090"/>
      <c r="F259" s="1102"/>
      <c r="G259" s="1103"/>
      <c r="H259" s="1104"/>
      <c r="I259" s="1085">
        <f>SUM(J259:N259)</f>
        <v>510</v>
      </c>
      <c r="J259" s="1105"/>
      <c r="K259" s="1105"/>
      <c r="L259" s="1105"/>
      <c r="M259" s="1105">
        <v>510</v>
      </c>
      <c r="N259" s="1106"/>
      <c r="P259" s="8"/>
    </row>
    <row r="260" spans="1:16" s="1093" customFormat="1" x14ac:dyDescent="0.3">
      <c r="A260" s="572">
        <v>226</v>
      </c>
      <c r="B260" s="1100"/>
      <c r="C260" s="1088"/>
      <c r="D260" s="1623" t="s">
        <v>929</v>
      </c>
      <c r="E260" s="1090"/>
      <c r="F260" s="1102"/>
      <c r="G260" s="1103"/>
      <c r="H260" s="1104"/>
      <c r="I260" s="1611">
        <f t="shared" ref="I260:I261" si="68">SUM(J260:N260)</f>
        <v>0</v>
      </c>
      <c r="J260" s="1105"/>
      <c r="K260" s="1105"/>
      <c r="L260" s="1105"/>
      <c r="M260" s="1105"/>
      <c r="N260" s="1106"/>
    </row>
    <row r="261" spans="1:16" s="3" customFormat="1" ht="16.5" x14ac:dyDescent="0.3">
      <c r="A261" s="572">
        <v>227</v>
      </c>
      <c r="B261" s="1100"/>
      <c r="C261" s="1088"/>
      <c r="D261" s="1623" t="s">
        <v>927</v>
      </c>
      <c r="E261" s="1090"/>
      <c r="F261" s="1102"/>
      <c r="G261" s="1103"/>
      <c r="H261" s="1104"/>
      <c r="I261" s="1624">
        <f t="shared" si="68"/>
        <v>510</v>
      </c>
      <c r="J261" s="1105"/>
      <c r="K261" s="1105"/>
      <c r="L261" s="1105"/>
      <c r="M261" s="1620">
        <f>SUM(M259:M260)</f>
        <v>510</v>
      </c>
      <c r="N261" s="1106"/>
      <c r="P261" s="8"/>
    </row>
    <row r="262" spans="1:16" s="1093" customFormat="1" x14ac:dyDescent="0.3">
      <c r="A262" s="572">
        <v>228</v>
      </c>
      <c r="B262" s="155"/>
      <c r="C262" s="156">
        <v>51</v>
      </c>
      <c r="D262" s="567" t="s">
        <v>72</v>
      </c>
      <c r="E262" s="158">
        <v>2941</v>
      </c>
      <c r="F262" s="158">
        <v>3825</v>
      </c>
      <c r="G262" s="159">
        <v>4817</v>
      </c>
      <c r="H262" s="583" t="s">
        <v>23</v>
      </c>
      <c r="I262" s="1082"/>
      <c r="J262" s="1255"/>
      <c r="K262" s="1255"/>
      <c r="L262" s="1255"/>
      <c r="M262" s="1255"/>
      <c r="N262" s="1256"/>
    </row>
    <row r="263" spans="1:16" s="3" customFormat="1" ht="16.5" x14ac:dyDescent="0.3">
      <c r="A263" s="572">
        <v>229</v>
      </c>
      <c r="B263" s="1087"/>
      <c r="C263" s="1088"/>
      <c r="D263" s="1089" t="s">
        <v>292</v>
      </c>
      <c r="E263" s="1090"/>
      <c r="F263" s="1090"/>
      <c r="G263" s="1091"/>
      <c r="H263" s="1092"/>
      <c r="I263" s="1082">
        <f>SUM(J263:N263)</f>
        <v>5000</v>
      </c>
      <c r="J263" s="1083"/>
      <c r="K263" s="1083"/>
      <c r="L263" s="1083"/>
      <c r="M263" s="1083">
        <v>5000</v>
      </c>
      <c r="N263" s="1084"/>
      <c r="P263" s="8"/>
    </row>
    <row r="264" spans="1:16" s="1093" customFormat="1" x14ac:dyDescent="0.3">
      <c r="A264" s="572">
        <v>230</v>
      </c>
      <c r="B264" s="1087"/>
      <c r="C264" s="1088"/>
      <c r="D264" s="1499" t="s">
        <v>929</v>
      </c>
      <c r="E264" s="1090"/>
      <c r="F264" s="1090"/>
      <c r="G264" s="1091"/>
      <c r="H264" s="1092"/>
      <c r="I264" s="1611">
        <f t="shared" ref="I264:I265" si="69">SUM(J264:N264)</f>
        <v>0</v>
      </c>
      <c r="J264" s="1083"/>
      <c r="K264" s="1083"/>
      <c r="L264" s="1083"/>
      <c r="M264" s="1083"/>
      <c r="N264" s="1084"/>
    </row>
    <row r="265" spans="1:16" s="3" customFormat="1" ht="16.5" x14ac:dyDescent="0.3">
      <c r="A265" s="572">
        <v>231</v>
      </c>
      <c r="B265" s="1087"/>
      <c r="C265" s="1088"/>
      <c r="D265" s="641" t="s">
        <v>927</v>
      </c>
      <c r="E265" s="1090"/>
      <c r="F265" s="1090"/>
      <c r="G265" s="1091"/>
      <c r="H265" s="1092"/>
      <c r="I265" s="1615">
        <f t="shared" si="69"/>
        <v>5000</v>
      </c>
      <c r="J265" s="1083"/>
      <c r="K265" s="1083"/>
      <c r="L265" s="1083"/>
      <c r="M265" s="1618">
        <f>SUM(M263:M264)</f>
        <v>5000</v>
      </c>
      <c r="N265" s="1084"/>
      <c r="P265" s="8"/>
    </row>
    <row r="266" spans="1:16" s="1093" customFormat="1" x14ac:dyDescent="0.3">
      <c r="A266" s="572">
        <v>232</v>
      </c>
      <c r="B266" s="568"/>
      <c r="C266" s="156">
        <v>52</v>
      </c>
      <c r="D266" s="567" t="s">
        <v>73</v>
      </c>
      <c r="E266" s="158">
        <v>9164</v>
      </c>
      <c r="F266" s="158">
        <v>7650</v>
      </c>
      <c r="G266" s="159">
        <v>2001</v>
      </c>
      <c r="H266" s="583" t="s">
        <v>24</v>
      </c>
      <c r="I266" s="1082"/>
      <c r="J266" s="1255"/>
      <c r="K266" s="1255"/>
      <c r="L266" s="1255"/>
      <c r="M266" s="1255"/>
      <c r="N266" s="1256"/>
    </row>
    <row r="267" spans="1:16" s="3" customFormat="1" ht="16.5" x14ac:dyDescent="0.3">
      <c r="A267" s="572">
        <v>233</v>
      </c>
      <c r="B267" s="1087"/>
      <c r="C267" s="1088"/>
      <c r="D267" s="1089" t="s">
        <v>292</v>
      </c>
      <c r="E267" s="1090"/>
      <c r="F267" s="1090"/>
      <c r="G267" s="1091"/>
      <c r="H267" s="1092"/>
      <c r="I267" s="1082">
        <f>SUM(J267:N267)</f>
        <v>5515</v>
      </c>
      <c r="J267" s="1083">
        <v>5115</v>
      </c>
      <c r="K267" s="1083">
        <v>400</v>
      </c>
      <c r="L267" s="1083"/>
      <c r="M267" s="1083"/>
      <c r="N267" s="1084"/>
      <c r="P267" s="8"/>
    </row>
    <row r="268" spans="1:16" s="1093" customFormat="1" x14ac:dyDescent="0.3">
      <c r="A268" s="572">
        <v>234</v>
      </c>
      <c r="B268" s="1087"/>
      <c r="C268" s="1088"/>
      <c r="D268" s="1499" t="s">
        <v>929</v>
      </c>
      <c r="E268" s="1090"/>
      <c r="F268" s="1090"/>
      <c r="G268" s="1091"/>
      <c r="H268" s="1092"/>
      <c r="I268" s="1611">
        <f t="shared" ref="I268:I269" si="70">SUM(J268:N268)</f>
        <v>0</v>
      </c>
      <c r="J268" s="1083"/>
      <c r="K268" s="1083"/>
      <c r="L268" s="1083"/>
      <c r="M268" s="1083"/>
      <c r="N268" s="1084"/>
    </row>
    <row r="269" spans="1:16" s="3" customFormat="1" ht="16.5" x14ac:dyDescent="0.3">
      <c r="A269" s="572">
        <v>235</v>
      </c>
      <c r="B269" s="1087"/>
      <c r="C269" s="1088"/>
      <c r="D269" s="641" t="s">
        <v>927</v>
      </c>
      <c r="E269" s="1090"/>
      <c r="F269" s="1090"/>
      <c r="G269" s="1091"/>
      <c r="H269" s="1092"/>
      <c r="I269" s="1615">
        <f t="shared" si="70"/>
        <v>5515</v>
      </c>
      <c r="J269" s="1618">
        <f>SUM(J267:J268)</f>
        <v>5115</v>
      </c>
      <c r="K269" s="1618">
        <f>SUM(K267:K268)</f>
        <v>400</v>
      </c>
      <c r="L269" s="1083"/>
      <c r="M269" s="1083"/>
      <c r="N269" s="1084"/>
      <c r="P269" s="8"/>
    </row>
    <row r="270" spans="1:16" s="1093" customFormat="1" x14ac:dyDescent="0.3">
      <c r="A270" s="572">
        <v>236</v>
      </c>
      <c r="B270" s="568"/>
      <c r="C270" s="156">
        <v>53</v>
      </c>
      <c r="D270" s="567" t="s">
        <v>260</v>
      </c>
      <c r="E270" s="158">
        <v>753</v>
      </c>
      <c r="F270" s="158">
        <v>1560</v>
      </c>
      <c r="G270" s="159">
        <v>1117</v>
      </c>
      <c r="H270" s="583" t="s">
        <v>24</v>
      </c>
      <c r="I270" s="1082"/>
      <c r="J270" s="1255"/>
      <c r="K270" s="1255"/>
      <c r="L270" s="1255"/>
      <c r="M270" s="1255"/>
      <c r="N270" s="1256"/>
    </row>
    <row r="271" spans="1:16" s="3" customFormat="1" ht="16.5" x14ac:dyDescent="0.3">
      <c r="A271" s="572">
        <v>237</v>
      </c>
      <c r="B271" s="1087"/>
      <c r="C271" s="1088"/>
      <c r="D271" s="1089" t="s">
        <v>292</v>
      </c>
      <c r="E271" s="1090"/>
      <c r="F271" s="1090"/>
      <c r="G271" s="1091"/>
      <c r="H271" s="1092"/>
      <c r="I271" s="1082">
        <f>SUM(J271:N271)</f>
        <v>2080</v>
      </c>
      <c r="J271" s="1083">
        <v>1800</v>
      </c>
      <c r="K271" s="1083">
        <v>280</v>
      </c>
      <c r="L271" s="1083"/>
      <c r="M271" s="1083"/>
      <c r="N271" s="1084"/>
      <c r="P271" s="8"/>
    </row>
    <row r="272" spans="1:16" s="1093" customFormat="1" x14ac:dyDescent="0.3">
      <c r="A272" s="572">
        <v>238</v>
      </c>
      <c r="B272" s="1087"/>
      <c r="C272" s="1088"/>
      <c r="D272" s="1499" t="s">
        <v>929</v>
      </c>
      <c r="E272" s="1090"/>
      <c r="F272" s="1090"/>
      <c r="G272" s="1091"/>
      <c r="H272" s="1092"/>
      <c r="I272" s="1611">
        <f t="shared" ref="I272:I273" si="71">SUM(J272:N272)</f>
        <v>0</v>
      </c>
      <c r="J272" s="1083"/>
      <c r="K272" s="1083"/>
      <c r="L272" s="1083"/>
      <c r="M272" s="1083"/>
      <c r="N272" s="1084"/>
    </row>
    <row r="273" spans="1:16" s="3" customFormat="1" ht="16.5" x14ac:dyDescent="0.3">
      <c r="A273" s="572">
        <v>239</v>
      </c>
      <c r="B273" s="1087"/>
      <c r="C273" s="1088"/>
      <c r="D273" s="641" t="s">
        <v>927</v>
      </c>
      <c r="E273" s="1090"/>
      <c r="F273" s="1090"/>
      <c r="G273" s="1091"/>
      <c r="H273" s="1092"/>
      <c r="I273" s="1615">
        <f t="shared" si="71"/>
        <v>2080</v>
      </c>
      <c r="J273" s="1618">
        <f>SUM(J271:J272)</f>
        <v>1800</v>
      </c>
      <c r="K273" s="1618">
        <f>SUM(K271:K272)</f>
        <v>280</v>
      </c>
      <c r="L273" s="1083"/>
      <c r="M273" s="1083"/>
      <c r="N273" s="1084"/>
      <c r="P273" s="8"/>
    </row>
    <row r="274" spans="1:16" s="1093" customFormat="1" x14ac:dyDescent="0.3">
      <c r="A274" s="572">
        <v>240</v>
      </c>
      <c r="B274" s="568"/>
      <c r="C274" s="156">
        <v>54</v>
      </c>
      <c r="D274" s="567" t="s">
        <v>74</v>
      </c>
      <c r="E274" s="158">
        <v>0</v>
      </c>
      <c r="F274" s="158">
        <v>85</v>
      </c>
      <c r="G274" s="159">
        <v>0</v>
      </c>
      <c r="H274" s="583" t="s">
        <v>24</v>
      </c>
      <c r="I274" s="1082"/>
      <c r="J274" s="1255"/>
      <c r="K274" s="1255"/>
      <c r="L274" s="1255"/>
      <c r="M274" s="1255"/>
      <c r="N274" s="1256"/>
    </row>
    <row r="275" spans="1:16" s="3" customFormat="1" ht="16.5" x14ac:dyDescent="0.3">
      <c r="A275" s="572">
        <v>241</v>
      </c>
      <c r="B275" s="1087"/>
      <c r="C275" s="1088"/>
      <c r="D275" s="1089" t="s">
        <v>292</v>
      </c>
      <c r="E275" s="1090"/>
      <c r="F275" s="1090"/>
      <c r="G275" s="1091"/>
      <c r="H275" s="1092"/>
      <c r="I275" s="1082">
        <f>SUM(J275:N275)</f>
        <v>100</v>
      </c>
      <c r="J275" s="1083"/>
      <c r="K275" s="1083"/>
      <c r="L275" s="1083"/>
      <c r="M275" s="1083">
        <v>100</v>
      </c>
      <c r="N275" s="1084"/>
      <c r="P275" s="8"/>
    </row>
    <row r="276" spans="1:16" s="1093" customFormat="1" x14ac:dyDescent="0.3">
      <c r="A276" s="572">
        <v>242</v>
      </c>
      <c r="B276" s="1087"/>
      <c r="C276" s="1088"/>
      <c r="D276" s="1499" t="s">
        <v>929</v>
      </c>
      <c r="E276" s="1090"/>
      <c r="F276" s="1090"/>
      <c r="G276" s="1091"/>
      <c r="H276" s="1092"/>
      <c r="I276" s="1611">
        <f t="shared" ref="I276:I277" si="72">SUM(J276:N276)</f>
        <v>0</v>
      </c>
      <c r="J276" s="1083"/>
      <c r="K276" s="1083"/>
      <c r="L276" s="1083"/>
      <c r="M276" s="1083"/>
      <c r="N276" s="1084"/>
    </row>
    <row r="277" spans="1:16" s="1093" customFormat="1" x14ac:dyDescent="0.3">
      <c r="A277" s="572">
        <v>243</v>
      </c>
      <c r="B277" s="1087"/>
      <c r="C277" s="1088"/>
      <c r="D277" s="641" t="s">
        <v>927</v>
      </c>
      <c r="E277" s="1090"/>
      <c r="F277" s="1090"/>
      <c r="G277" s="1091"/>
      <c r="H277" s="1092"/>
      <c r="I277" s="1615">
        <f t="shared" si="72"/>
        <v>100</v>
      </c>
      <c r="J277" s="1083"/>
      <c r="K277" s="1083"/>
      <c r="L277" s="1083"/>
      <c r="M277" s="1618">
        <f>SUM(M275:M276)</f>
        <v>100</v>
      </c>
      <c r="N277" s="1084"/>
    </row>
    <row r="278" spans="1:16" s="1093" customFormat="1" x14ac:dyDescent="0.3">
      <c r="A278" s="572">
        <v>244</v>
      </c>
      <c r="B278" s="568"/>
      <c r="C278" s="156">
        <v>55</v>
      </c>
      <c r="D278" s="567" t="s">
        <v>277</v>
      </c>
      <c r="E278" s="158">
        <v>6000</v>
      </c>
      <c r="F278" s="158">
        <v>5100</v>
      </c>
      <c r="G278" s="159">
        <v>6000</v>
      </c>
      <c r="H278" s="583" t="s">
        <v>23</v>
      </c>
      <c r="I278" s="1082"/>
      <c r="J278" s="1255"/>
      <c r="K278" s="1255"/>
      <c r="L278" s="1255"/>
      <c r="M278" s="1255"/>
      <c r="N278" s="1256"/>
    </row>
    <row r="279" spans="1:16" s="8" customFormat="1" ht="16.5" x14ac:dyDescent="0.3">
      <c r="A279" s="572">
        <v>245</v>
      </c>
      <c r="B279" s="1087"/>
      <c r="C279" s="1088"/>
      <c r="D279" s="1089" t="s">
        <v>292</v>
      </c>
      <c r="E279" s="1090"/>
      <c r="F279" s="1090"/>
      <c r="G279" s="1091"/>
      <c r="H279" s="1092"/>
      <c r="I279" s="1082">
        <f>SUM(J279:N279)</f>
        <v>6000</v>
      </c>
      <c r="J279" s="1083"/>
      <c r="K279" s="1083"/>
      <c r="L279" s="1083">
        <v>6000</v>
      </c>
      <c r="M279" s="1083"/>
      <c r="N279" s="1084"/>
    </row>
    <row r="280" spans="1:16" s="1093" customFormat="1" x14ac:dyDescent="0.3">
      <c r="A280" s="572">
        <v>246</v>
      </c>
      <c r="B280" s="1087"/>
      <c r="C280" s="1088"/>
      <c r="D280" s="1499" t="s">
        <v>929</v>
      </c>
      <c r="E280" s="1090"/>
      <c r="F280" s="1090"/>
      <c r="G280" s="1091"/>
      <c r="H280" s="1092"/>
      <c r="I280" s="1611">
        <f t="shared" ref="I280:I281" si="73">SUM(J280:N280)</f>
        <v>0</v>
      </c>
      <c r="J280" s="1083"/>
      <c r="K280" s="1083"/>
      <c r="L280" s="1083"/>
      <c r="M280" s="1083"/>
      <c r="N280" s="1084"/>
    </row>
    <row r="281" spans="1:16" s="8" customFormat="1" ht="16.5" x14ac:dyDescent="0.3">
      <c r="A281" s="572">
        <v>247</v>
      </c>
      <c r="B281" s="1087"/>
      <c r="C281" s="1088"/>
      <c r="D281" s="641" t="s">
        <v>927</v>
      </c>
      <c r="E281" s="1090"/>
      <c r="F281" s="1090"/>
      <c r="G281" s="1091"/>
      <c r="H281" s="1092"/>
      <c r="I281" s="1615">
        <f t="shared" si="73"/>
        <v>6000</v>
      </c>
      <c r="J281" s="1083"/>
      <c r="K281" s="1083"/>
      <c r="L281" s="1618">
        <f>SUM(L279:L280)</f>
        <v>6000</v>
      </c>
      <c r="M281" s="1083"/>
      <c r="N281" s="1084"/>
    </row>
    <row r="282" spans="1:16" s="3" customFormat="1" ht="16.5" x14ac:dyDescent="0.3">
      <c r="A282" s="572">
        <v>248</v>
      </c>
      <c r="B282" s="568"/>
      <c r="C282" s="156">
        <v>56</v>
      </c>
      <c r="D282" s="567" t="s">
        <v>290</v>
      </c>
      <c r="E282" s="158">
        <v>12000</v>
      </c>
      <c r="F282" s="158">
        <v>10200</v>
      </c>
      <c r="G282" s="159">
        <v>10200</v>
      </c>
      <c r="H282" s="583" t="s">
        <v>23</v>
      </c>
      <c r="I282" s="1082"/>
      <c r="J282" s="1255"/>
      <c r="K282" s="1255"/>
      <c r="L282" s="1255"/>
      <c r="M282" s="1255"/>
      <c r="N282" s="1256"/>
      <c r="O282" s="8"/>
      <c r="P282" s="8"/>
    </row>
    <row r="283" spans="1:16" s="1093" customFormat="1" x14ac:dyDescent="0.3">
      <c r="A283" s="572">
        <v>249</v>
      </c>
      <c r="B283" s="1087"/>
      <c r="C283" s="1088"/>
      <c r="D283" s="1089" t="s">
        <v>292</v>
      </c>
      <c r="E283" s="1090"/>
      <c r="F283" s="1090"/>
      <c r="G283" s="1091"/>
      <c r="H283" s="1092"/>
      <c r="I283" s="1082">
        <f>SUM(J283:N283)</f>
        <v>12000</v>
      </c>
      <c r="J283" s="1083"/>
      <c r="K283" s="1083"/>
      <c r="L283" s="1083"/>
      <c r="M283" s="1083"/>
      <c r="N283" s="1084">
        <v>12000</v>
      </c>
    </row>
    <row r="284" spans="1:16" s="9" customFormat="1" x14ac:dyDescent="0.3">
      <c r="A284" s="572">
        <v>250</v>
      </c>
      <c r="B284" s="1087"/>
      <c r="C284" s="1088"/>
      <c r="D284" s="1499" t="s">
        <v>929</v>
      </c>
      <c r="E284" s="1090"/>
      <c r="F284" s="1090"/>
      <c r="G284" s="1091"/>
      <c r="H284" s="1092"/>
      <c r="I284" s="1611">
        <f t="shared" ref="I284:I285" si="74">SUM(J284:N284)</f>
        <v>0</v>
      </c>
      <c r="J284" s="1083"/>
      <c r="K284" s="1083"/>
      <c r="L284" s="1083"/>
      <c r="M284" s="1083"/>
      <c r="N284" s="1084"/>
      <c r="P284" s="8"/>
    </row>
    <row r="285" spans="1:16" s="1107" customFormat="1" x14ac:dyDescent="0.3">
      <c r="A285" s="572">
        <v>251</v>
      </c>
      <c r="B285" s="1087"/>
      <c r="C285" s="1088"/>
      <c r="D285" s="641" t="s">
        <v>927</v>
      </c>
      <c r="E285" s="1090"/>
      <c r="F285" s="1090"/>
      <c r="G285" s="1091"/>
      <c r="H285" s="1092"/>
      <c r="I285" s="1615">
        <f t="shared" si="74"/>
        <v>12000</v>
      </c>
      <c r="J285" s="1083"/>
      <c r="K285" s="1083"/>
      <c r="L285" s="1083"/>
      <c r="M285" s="1083"/>
      <c r="N285" s="1622">
        <f>SUM(N283:N284)</f>
        <v>12000</v>
      </c>
      <c r="P285" s="1093"/>
    </row>
    <row r="286" spans="1:16" s="9" customFormat="1" x14ac:dyDescent="0.3">
      <c r="A286" s="572">
        <v>252</v>
      </c>
      <c r="B286" s="568"/>
      <c r="C286" s="156">
        <v>57</v>
      </c>
      <c r="D286" s="567" t="s">
        <v>75</v>
      </c>
      <c r="E286" s="158">
        <v>60000</v>
      </c>
      <c r="F286" s="158">
        <v>60000</v>
      </c>
      <c r="G286" s="159">
        <v>60000</v>
      </c>
      <c r="H286" s="583" t="s">
        <v>23</v>
      </c>
      <c r="I286" s="1082"/>
      <c r="J286" s="1255"/>
      <c r="K286" s="1255"/>
      <c r="L286" s="1255"/>
      <c r="M286" s="1255"/>
      <c r="N286" s="1256"/>
      <c r="P286" s="8"/>
    </row>
    <row r="287" spans="1:16" s="1107" customFormat="1" x14ac:dyDescent="0.3">
      <c r="A287" s="572">
        <v>253</v>
      </c>
      <c r="B287" s="1087"/>
      <c r="C287" s="1088"/>
      <c r="D287" s="1089" t="s">
        <v>292</v>
      </c>
      <c r="E287" s="1090"/>
      <c r="F287" s="1090"/>
      <c r="G287" s="1091"/>
      <c r="H287" s="1092"/>
      <c r="I287" s="1082">
        <f>SUM(J287:N287)</f>
        <v>60000</v>
      </c>
      <c r="J287" s="1083"/>
      <c r="K287" s="1083"/>
      <c r="L287" s="1083"/>
      <c r="M287" s="1083"/>
      <c r="N287" s="1084">
        <v>60000</v>
      </c>
      <c r="P287" s="1093"/>
    </row>
    <row r="288" spans="1:16" s="9" customFormat="1" x14ac:dyDescent="0.3">
      <c r="A288" s="572">
        <v>254</v>
      </c>
      <c r="B288" s="1087"/>
      <c r="C288" s="1088"/>
      <c r="D288" s="1499" t="s">
        <v>929</v>
      </c>
      <c r="E288" s="1090"/>
      <c r="F288" s="1090"/>
      <c r="G288" s="1091"/>
      <c r="H288" s="1092"/>
      <c r="I288" s="1611">
        <f t="shared" ref="I288:I289" si="75">SUM(J288:N288)</f>
        <v>0</v>
      </c>
      <c r="J288" s="1083"/>
      <c r="K288" s="1083"/>
      <c r="L288" s="1083"/>
      <c r="M288" s="1083"/>
      <c r="N288" s="1084"/>
      <c r="P288" s="8"/>
    </row>
    <row r="289" spans="1:16" s="1107" customFormat="1" x14ac:dyDescent="0.3">
      <c r="A289" s="572">
        <v>255</v>
      </c>
      <c r="B289" s="1087"/>
      <c r="C289" s="1088"/>
      <c r="D289" s="641" t="s">
        <v>927</v>
      </c>
      <c r="E289" s="1090"/>
      <c r="F289" s="1090"/>
      <c r="G289" s="1091"/>
      <c r="H289" s="1092"/>
      <c r="I289" s="1615">
        <f t="shared" si="75"/>
        <v>60000</v>
      </c>
      <c r="J289" s="1083"/>
      <c r="K289" s="1083"/>
      <c r="L289" s="1083"/>
      <c r="M289" s="1083"/>
      <c r="N289" s="1622">
        <f>SUM(N287:N288)</f>
        <v>60000</v>
      </c>
      <c r="P289" s="1093"/>
    </row>
    <row r="290" spans="1:16" s="9" customFormat="1" x14ac:dyDescent="0.3">
      <c r="A290" s="572">
        <v>256</v>
      </c>
      <c r="B290" s="568"/>
      <c r="C290" s="156">
        <v>58</v>
      </c>
      <c r="D290" s="567" t="s">
        <v>425</v>
      </c>
      <c r="E290" s="158">
        <v>458587</v>
      </c>
      <c r="F290" s="158">
        <v>454892</v>
      </c>
      <c r="G290" s="159">
        <v>569174</v>
      </c>
      <c r="H290" s="583" t="s">
        <v>23</v>
      </c>
      <c r="I290" s="1082"/>
      <c r="J290" s="1255"/>
      <c r="K290" s="1255"/>
      <c r="L290" s="1255"/>
      <c r="M290" s="1255"/>
      <c r="N290" s="1256"/>
      <c r="P290" s="8"/>
    </row>
    <row r="291" spans="1:16" s="1107" customFormat="1" x14ac:dyDescent="0.3">
      <c r="A291" s="572">
        <v>257</v>
      </c>
      <c r="B291" s="1087"/>
      <c r="C291" s="1088"/>
      <c r="D291" s="1089" t="s">
        <v>292</v>
      </c>
      <c r="E291" s="1090"/>
      <c r="F291" s="1090"/>
      <c r="G291" s="1091"/>
      <c r="H291" s="1092"/>
      <c r="I291" s="1082">
        <f>SUM(J291:N291)</f>
        <v>504713</v>
      </c>
      <c r="J291" s="1083"/>
      <c r="K291" s="1083"/>
      <c r="L291" s="1083"/>
      <c r="M291" s="1083"/>
      <c r="N291" s="1084">
        <v>504713</v>
      </c>
      <c r="P291" s="1093"/>
    </row>
    <row r="292" spans="1:16" s="9" customFormat="1" x14ac:dyDescent="0.3">
      <c r="A292" s="572">
        <v>258</v>
      </c>
      <c r="B292" s="1087"/>
      <c r="C292" s="1088"/>
      <c r="D292" s="1499" t="s">
        <v>930</v>
      </c>
      <c r="E292" s="1090"/>
      <c r="F292" s="1090"/>
      <c r="G292" s="1091"/>
      <c r="H292" s="1092"/>
      <c r="I292" s="1611">
        <f t="shared" ref="I292:I298" si="76">SUM(J292:N292)</f>
        <v>20794</v>
      </c>
      <c r="J292" s="1083"/>
      <c r="K292" s="1083"/>
      <c r="L292" s="1083"/>
      <c r="M292" s="1083"/>
      <c r="N292" s="1625">
        <v>20794</v>
      </c>
      <c r="P292" s="8"/>
    </row>
    <row r="293" spans="1:16" s="1107" customFormat="1" x14ac:dyDescent="0.3">
      <c r="A293" s="572">
        <v>259</v>
      </c>
      <c r="B293" s="1087"/>
      <c r="C293" s="1088"/>
      <c r="D293" s="1499" t="s">
        <v>1005</v>
      </c>
      <c r="E293" s="1090"/>
      <c r="F293" s="1090"/>
      <c r="G293" s="1091"/>
      <c r="H293" s="1092"/>
      <c r="I293" s="1611">
        <f t="shared" si="76"/>
        <v>2204</v>
      </c>
      <c r="J293" s="1083"/>
      <c r="K293" s="1083"/>
      <c r="L293" s="1083"/>
      <c r="M293" s="1083"/>
      <c r="N293" s="1625">
        <v>2204</v>
      </c>
      <c r="P293" s="1093"/>
    </row>
    <row r="294" spans="1:16" s="9" customFormat="1" x14ac:dyDescent="0.3">
      <c r="A294" s="572">
        <v>260</v>
      </c>
      <c r="B294" s="1087"/>
      <c r="C294" s="1088"/>
      <c r="D294" s="1499" t="s">
        <v>1006</v>
      </c>
      <c r="E294" s="1090"/>
      <c r="F294" s="1090"/>
      <c r="G294" s="1091"/>
      <c r="H294" s="1092"/>
      <c r="I294" s="1611">
        <f t="shared" si="76"/>
        <v>3019</v>
      </c>
      <c r="J294" s="1083"/>
      <c r="K294" s="1083"/>
      <c r="L294" s="1083"/>
      <c r="M294" s="1083"/>
      <c r="N294" s="1625">
        <f>2786+233</f>
        <v>3019</v>
      </c>
      <c r="P294" s="8"/>
    </row>
    <row r="295" spans="1:16" s="631" customFormat="1" x14ac:dyDescent="0.35">
      <c r="A295" s="572">
        <v>261</v>
      </c>
      <c r="B295" s="1087"/>
      <c r="C295" s="1088"/>
      <c r="D295" s="1499" t="s">
        <v>1007</v>
      </c>
      <c r="E295" s="1090"/>
      <c r="F295" s="1090"/>
      <c r="G295" s="1091"/>
      <c r="H295" s="1092"/>
      <c r="I295" s="1611">
        <f t="shared" si="76"/>
        <v>-4234</v>
      </c>
      <c r="J295" s="1083"/>
      <c r="K295" s="1083"/>
      <c r="L295" s="1083"/>
      <c r="M295" s="1083"/>
      <c r="N295" s="1625">
        <v>-4234</v>
      </c>
      <c r="P295" s="3"/>
    </row>
    <row r="296" spans="1:16" s="631" customFormat="1" x14ac:dyDescent="0.35">
      <c r="A296" s="572">
        <v>262</v>
      </c>
      <c r="B296" s="1087"/>
      <c r="C296" s="1088"/>
      <c r="D296" s="1499" t="s">
        <v>1008</v>
      </c>
      <c r="E296" s="1090"/>
      <c r="F296" s="1090"/>
      <c r="G296" s="1091"/>
      <c r="H296" s="1092"/>
      <c r="I296" s="1611">
        <f t="shared" si="76"/>
        <v>1215</v>
      </c>
      <c r="J296" s="1083"/>
      <c r="K296" s="1083"/>
      <c r="L296" s="1083"/>
      <c r="M296" s="1083"/>
      <c r="N296" s="1625">
        <v>1215</v>
      </c>
      <c r="P296" s="3"/>
    </row>
    <row r="297" spans="1:16" s="1107" customFormat="1" x14ac:dyDescent="0.3">
      <c r="A297" s="572">
        <v>263</v>
      </c>
      <c r="B297" s="1087"/>
      <c r="C297" s="1088"/>
      <c r="D297" s="1499" t="s">
        <v>1009</v>
      </c>
      <c r="E297" s="1090"/>
      <c r="F297" s="1090"/>
      <c r="G297" s="1091"/>
      <c r="H297" s="1092"/>
      <c r="I297" s="1611">
        <f t="shared" si="76"/>
        <v>7069</v>
      </c>
      <c r="J297" s="1083"/>
      <c r="K297" s="1083"/>
      <c r="L297" s="1083"/>
      <c r="M297" s="1083"/>
      <c r="N297" s="1625">
        <f>6554+515</f>
        <v>7069</v>
      </c>
      <c r="P297" s="1093"/>
    </row>
    <row r="298" spans="1:16" s="631" customFormat="1" x14ac:dyDescent="0.35">
      <c r="A298" s="572">
        <v>264</v>
      </c>
      <c r="B298" s="1087"/>
      <c r="C298" s="1088"/>
      <c r="D298" s="641" t="s">
        <v>927</v>
      </c>
      <c r="E298" s="1090"/>
      <c r="F298" s="1090"/>
      <c r="G298" s="1091"/>
      <c r="H298" s="1092"/>
      <c r="I298" s="1615">
        <f t="shared" si="76"/>
        <v>534780</v>
      </c>
      <c r="J298" s="1083"/>
      <c r="K298" s="1083"/>
      <c r="L298" s="1083"/>
      <c r="M298" s="1083"/>
      <c r="N298" s="1622">
        <f>SUM(N291:N297)</f>
        <v>534780</v>
      </c>
      <c r="P298" s="3"/>
    </row>
    <row r="299" spans="1:16" s="631" customFormat="1" x14ac:dyDescent="0.35">
      <c r="A299" s="572">
        <v>265</v>
      </c>
      <c r="B299" s="568"/>
      <c r="C299" s="156">
        <v>59</v>
      </c>
      <c r="D299" s="567" t="s">
        <v>345</v>
      </c>
      <c r="E299" s="158">
        <v>68585</v>
      </c>
      <c r="F299" s="158">
        <v>98406</v>
      </c>
      <c r="G299" s="159">
        <v>90437</v>
      </c>
      <c r="H299" s="583" t="s">
        <v>23</v>
      </c>
      <c r="I299" s="1082"/>
      <c r="J299" s="1255"/>
      <c r="K299" s="1255"/>
      <c r="L299" s="1255"/>
      <c r="M299" s="1255"/>
      <c r="N299" s="1256"/>
      <c r="P299" s="3"/>
    </row>
    <row r="300" spans="1:16" s="1107" customFormat="1" x14ac:dyDescent="0.3">
      <c r="A300" s="572">
        <v>266</v>
      </c>
      <c r="B300" s="1087"/>
      <c r="C300" s="1088"/>
      <c r="D300" s="1089" t="s">
        <v>292</v>
      </c>
      <c r="E300" s="1090"/>
      <c r="F300" s="1090"/>
      <c r="G300" s="1091"/>
      <c r="H300" s="1092"/>
      <c r="I300" s="1082">
        <f>SUM(J300:N300)</f>
        <v>99619</v>
      </c>
      <c r="J300" s="1083"/>
      <c r="K300" s="1083"/>
      <c r="L300" s="1083">
        <v>99619</v>
      </c>
      <c r="M300" s="1083"/>
      <c r="N300" s="1084"/>
      <c r="P300" s="1093"/>
    </row>
    <row r="301" spans="1:16" s="8" customFormat="1" ht="16.5" x14ac:dyDescent="0.3">
      <c r="A301" s="572">
        <v>267</v>
      </c>
      <c r="B301" s="1087"/>
      <c r="C301" s="1088"/>
      <c r="D301" s="1499" t="s">
        <v>926</v>
      </c>
      <c r="E301" s="1090"/>
      <c r="F301" s="1090"/>
      <c r="G301" s="1091"/>
      <c r="H301" s="1092"/>
      <c r="I301" s="1611">
        <f t="shared" ref="I301:I302" si="77">SUM(J301:N301)</f>
        <v>7969</v>
      </c>
      <c r="J301" s="1083"/>
      <c r="K301" s="1083"/>
      <c r="L301" s="1617">
        <v>7969</v>
      </c>
      <c r="M301" s="1083"/>
      <c r="N301" s="1084"/>
    </row>
    <row r="302" spans="1:16" s="1093" customFormat="1" x14ac:dyDescent="0.3">
      <c r="A302" s="572">
        <v>268</v>
      </c>
      <c r="B302" s="1087"/>
      <c r="C302" s="1088"/>
      <c r="D302" s="641" t="s">
        <v>927</v>
      </c>
      <c r="E302" s="1090"/>
      <c r="F302" s="1090"/>
      <c r="G302" s="1091"/>
      <c r="H302" s="1092"/>
      <c r="I302" s="1615">
        <f t="shared" si="77"/>
        <v>107588</v>
      </c>
      <c r="J302" s="1083"/>
      <c r="K302" s="1083"/>
      <c r="L302" s="1618">
        <f>SUM(L300:L301)</f>
        <v>107588</v>
      </c>
      <c r="M302" s="1083"/>
      <c r="N302" s="1084"/>
    </row>
    <row r="303" spans="1:16" s="3" customFormat="1" ht="16.5" x14ac:dyDescent="0.3">
      <c r="A303" s="572">
        <v>269</v>
      </c>
      <c r="B303" s="160"/>
      <c r="C303" s="156">
        <v>60</v>
      </c>
      <c r="D303" s="566" t="s">
        <v>410</v>
      </c>
      <c r="E303" s="158">
        <v>2180</v>
      </c>
      <c r="F303" s="158">
        <v>3264</v>
      </c>
      <c r="G303" s="159">
        <v>2348</v>
      </c>
      <c r="H303" s="583" t="s">
        <v>24</v>
      </c>
      <c r="I303" s="1082"/>
      <c r="J303" s="1255"/>
      <c r="K303" s="1255"/>
      <c r="L303" s="1255"/>
      <c r="M303" s="1255"/>
      <c r="N303" s="1256"/>
      <c r="O303" s="8"/>
      <c r="P303" s="8"/>
    </row>
    <row r="304" spans="1:16" s="1099" customFormat="1" x14ac:dyDescent="0.35">
      <c r="A304" s="572">
        <v>270</v>
      </c>
      <c r="B304" s="1087"/>
      <c r="C304" s="1088"/>
      <c r="D304" s="1089" t="s">
        <v>292</v>
      </c>
      <c r="E304" s="1090"/>
      <c r="F304" s="1090"/>
      <c r="G304" s="1091"/>
      <c r="H304" s="1092"/>
      <c r="I304" s="1082">
        <f>SUM(J304:N304)</f>
        <v>3840</v>
      </c>
      <c r="J304" s="1083"/>
      <c r="K304" s="1083"/>
      <c r="L304" s="1083">
        <v>3840</v>
      </c>
      <c r="M304" s="1083"/>
      <c r="N304" s="1084"/>
      <c r="O304" s="1093"/>
      <c r="P304" s="1093"/>
    </row>
    <row r="305" spans="1:16" s="1099" customFormat="1" x14ac:dyDescent="0.35">
      <c r="A305" s="572">
        <v>271</v>
      </c>
      <c r="B305" s="1087"/>
      <c r="C305" s="1088"/>
      <c r="D305" s="1499" t="s">
        <v>929</v>
      </c>
      <c r="E305" s="1090"/>
      <c r="F305" s="1090"/>
      <c r="G305" s="1091"/>
      <c r="H305" s="1092"/>
      <c r="I305" s="1611">
        <f t="shared" ref="I305:I306" si="78">SUM(J305:N305)</f>
        <v>0</v>
      </c>
      <c r="J305" s="1083"/>
      <c r="K305" s="1083"/>
      <c r="L305" s="1083"/>
      <c r="M305" s="1083"/>
      <c r="N305" s="1084"/>
      <c r="O305" s="1093"/>
      <c r="P305" s="1093"/>
    </row>
    <row r="306" spans="1:16" s="1099" customFormat="1" x14ac:dyDescent="0.35">
      <c r="A306" s="572">
        <v>272</v>
      </c>
      <c r="B306" s="1087"/>
      <c r="C306" s="1088"/>
      <c r="D306" s="641" t="s">
        <v>927</v>
      </c>
      <c r="E306" s="1090"/>
      <c r="F306" s="1090"/>
      <c r="G306" s="1091"/>
      <c r="H306" s="1092"/>
      <c r="I306" s="1615">
        <f t="shared" si="78"/>
        <v>3840</v>
      </c>
      <c r="J306" s="1083"/>
      <c r="K306" s="1083"/>
      <c r="L306" s="1618">
        <f>SUM(L304:L305)</f>
        <v>3840</v>
      </c>
      <c r="M306" s="1083"/>
      <c r="N306" s="1084"/>
      <c r="O306" s="1093"/>
      <c r="P306" s="1093"/>
    </row>
    <row r="307" spans="1:16" s="3" customFormat="1" ht="16.5" x14ac:dyDescent="0.3">
      <c r="A307" s="572">
        <v>273</v>
      </c>
      <c r="B307" s="160"/>
      <c r="C307" s="156">
        <v>61</v>
      </c>
      <c r="D307" s="566" t="s">
        <v>411</v>
      </c>
      <c r="E307" s="158">
        <v>0</v>
      </c>
      <c r="F307" s="158">
        <v>3400</v>
      </c>
      <c r="G307" s="159">
        <v>0</v>
      </c>
      <c r="H307" s="583" t="s">
        <v>24</v>
      </c>
      <c r="I307" s="1082"/>
      <c r="J307" s="1255"/>
      <c r="K307" s="1255"/>
      <c r="L307" s="1255"/>
      <c r="M307" s="1255"/>
      <c r="N307" s="1256"/>
      <c r="O307" s="8"/>
      <c r="P307" s="8"/>
    </row>
    <row r="308" spans="1:16" s="3" customFormat="1" ht="16.5" x14ac:dyDescent="0.3">
      <c r="A308" s="572">
        <v>274</v>
      </c>
      <c r="B308" s="155"/>
      <c r="C308" s="156">
        <v>62</v>
      </c>
      <c r="D308" s="567" t="s">
        <v>76</v>
      </c>
      <c r="E308" s="158">
        <v>1700</v>
      </c>
      <c r="F308" s="158">
        <v>1445</v>
      </c>
      <c r="G308" s="159">
        <v>1445</v>
      </c>
      <c r="H308" s="583" t="s">
        <v>24</v>
      </c>
      <c r="I308" s="1082"/>
      <c r="J308" s="1255"/>
      <c r="K308" s="1255"/>
      <c r="L308" s="1255"/>
      <c r="M308" s="1255"/>
      <c r="N308" s="1256"/>
      <c r="O308" s="8"/>
      <c r="P308" s="8"/>
    </row>
    <row r="309" spans="1:16" s="3" customFormat="1" ht="16.5" x14ac:dyDescent="0.3">
      <c r="A309" s="572">
        <v>275</v>
      </c>
      <c r="B309" s="1087"/>
      <c r="C309" s="1088"/>
      <c r="D309" s="1089" t="s">
        <v>292</v>
      </c>
      <c r="E309" s="1090"/>
      <c r="F309" s="1090"/>
      <c r="G309" s="1091"/>
      <c r="H309" s="1092"/>
      <c r="I309" s="1082">
        <f>SUM(J309:N309)</f>
        <v>1700</v>
      </c>
      <c r="J309" s="1083"/>
      <c r="K309" s="1083"/>
      <c r="L309" s="1083">
        <v>1700</v>
      </c>
      <c r="M309" s="1083"/>
      <c r="N309" s="1084"/>
      <c r="O309" s="8"/>
      <c r="P309" s="8"/>
    </row>
    <row r="310" spans="1:16" s="3" customFormat="1" ht="16.5" x14ac:dyDescent="0.3">
      <c r="A310" s="572">
        <v>276</v>
      </c>
      <c r="B310" s="1087"/>
      <c r="C310" s="1088"/>
      <c r="D310" s="1499" t="s">
        <v>929</v>
      </c>
      <c r="E310" s="1090"/>
      <c r="F310" s="1090"/>
      <c r="G310" s="1091"/>
      <c r="H310" s="1092"/>
      <c r="I310" s="1611">
        <f t="shared" ref="I310:I311" si="79">SUM(J310:N310)</f>
        <v>0</v>
      </c>
      <c r="J310" s="1083"/>
      <c r="K310" s="1083"/>
      <c r="L310" s="1083"/>
      <c r="M310" s="1083"/>
      <c r="N310" s="1084"/>
      <c r="O310" s="8"/>
      <c r="P310" s="8"/>
    </row>
    <row r="311" spans="1:16" s="3" customFormat="1" ht="16.5" x14ac:dyDescent="0.3">
      <c r="A311" s="572">
        <v>277</v>
      </c>
      <c r="B311" s="1087"/>
      <c r="C311" s="1088"/>
      <c r="D311" s="641" t="s">
        <v>927</v>
      </c>
      <c r="E311" s="1090"/>
      <c r="F311" s="1090"/>
      <c r="G311" s="1091"/>
      <c r="H311" s="1092"/>
      <c r="I311" s="1615">
        <f t="shared" si="79"/>
        <v>1700</v>
      </c>
      <c r="J311" s="1083"/>
      <c r="K311" s="1083"/>
      <c r="L311" s="1618">
        <f>SUM(L309:L310)</f>
        <v>1700</v>
      </c>
      <c r="M311" s="1083"/>
      <c r="N311" s="1084"/>
      <c r="O311" s="8"/>
      <c r="P311" s="8"/>
    </row>
    <row r="312" spans="1:16" s="3" customFormat="1" ht="16.5" x14ac:dyDescent="0.3">
      <c r="A312" s="572">
        <v>278</v>
      </c>
      <c r="B312" s="155"/>
      <c r="C312" s="156">
        <v>63</v>
      </c>
      <c r="D312" s="567" t="s">
        <v>390</v>
      </c>
      <c r="E312" s="158"/>
      <c r="F312" s="158">
        <v>850</v>
      </c>
      <c r="G312" s="159">
        <v>0</v>
      </c>
      <c r="H312" s="583" t="s">
        <v>24</v>
      </c>
      <c r="I312" s="1082"/>
      <c r="J312" s="1255"/>
      <c r="K312" s="1255"/>
      <c r="L312" s="1255"/>
      <c r="M312" s="1255"/>
      <c r="N312" s="1256"/>
      <c r="O312" s="8"/>
      <c r="P312" s="8"/>
    </row>
    <row r="313" spans="1:16" s="3" customFormat="1" ht="16.5" x14ac:dyDescent="0.3">
      <c r="A313" s="572">
        <v>279</v>
      </c>
      <c r="B313" s="1087"/>
      <c r="C313" s="1088"/>
      <c r="D313" s="1089" t="s">
        <v>292</v>
      </c>
      <c r="E313" s="1090"/>
      <c r="F313" s="1090"/>
      <c r="G313" s="1091"/>
      <c r="H313" s="1092"/>
      <c r="I313" s="1082">
        <f>SUM(J313:N313)</f>
        <v>1000</v>
      </c>
      <c r="J313" s="1083"/>
      <c r="K313" s="1083"/>
      <c r="L313" s="1083"/>
      <c r="M313" s="1083"/>
      <c r="N313" s="1084">
        <v>1000</v>
      </c>
      <c r="O313" s="8"/>
      <c r="P313" s="8"/>
    </row>
    <row r="314" spans="1:16" s="3" customFormat="1" ht="16.5" x14ac:dyDescent="0.3">
      <c r="A314" s="572">
        <v>280</v>
      </c>
      <c r="B314" s="1087"/>
      <c r="C314" s="1088"/>
      <c r="D314" s="1499" t="s">
        <v>929</v>
      </c>
      <c r="E314" s="1090"/>
      <c r="F314" s="1090"/>
      <c r="G314" s="1091"/>
      <c r="H314" s="1092"/>
      <c r="I314" s="1611">
        <f t="shared" ref="I314:I315" si="80">SUM(J314:N314)</f>
        <v>0</v>
      </c>
      <c r="J314" s="1083"/>
      <c r="K314" s="1083"/>
      <c r="L314" s="1083"/>
      <c r="M314" s="1083"/>
      <c r="N314" s="1084"/>
      <c r="O314" s="8"/>
      <c r="P314" s="8"/>
    </row>
    <row r="315" spans="1:16" s="3" customFormat="1" ht="16.5" x14ac:dyDescent="0.3">
      <c r="A315" s="572">
        <v>281</v>
      </c>
      <c r="B315" s="1087"/>
      <c r="C315" s="1088"/>
      <c r="D315" s="641" t="s">
        <v>927</v>
      </c>
      <c r="E315" s="1090"/>
      <c r="F315" s="1090"/>
      <c r="G315" s="1091"/>
      <c r="H315" s="1092"/>
      <c r="I315" s="1615">
        <f t="shared" si="80"/>
        <v>1000</v>
      </c>
      <c r="J315" s="1083"/>
      <c r="K315" s="1083"/>
      <c r="L315" s="1083"/>
      <c r="M315" s="1083"/>
      <c r="N315" s="1622">
        <f>SUM(N313:N314)</f>
        <v>1000</v>
      </c>
      <c r="O315" s="8"/>
      <c r="P315" s="8"/>
    </row>
    <row r="316" spans="1:16" s="8" customFormat="1" ht="16.5" x14ac:dyDescent="0.3">
      <c r="A316" s="572">
        <v>282</v>
      </c>
      <c r="B316" s="155"/>
      <c r="C316" s="156">
        <v>64</v>
      </c>
      <c r="D316" s="567" t="s">
        <v>77</v>
      </c>
      <c r="E316" s="158">
        <v>1000</v>
      </c>
      <c r="F316" s="158">
        <v>850</v>
      </c>
      <c r="G316" s="159">
        <v>710</v>
      </c>
      <c r="H316" s="583" t="s">
        <v>24</v>
      </c>
      <c r="I316" s="1082"/>
      <c r="J316" s="1255"/>
      <c r="K316" s="1255"/>
      <c r="L316" s="1255"/>
      <c r="M316" s="1255"/>
      <c r="N316" s="1256"/>
    </row>
    <row r="317" spans="1:16" s="175" customFormat="1" ht="16.5" x14ac:dyDescent="0.3">
      <c r="A317" s="572">
        <v>283</v>
      </c>
      <c r="B317" s="1087"/>
      <c r="C317" s="1088"/>
      <c r="D317" s="1089" t="s">
        <v>292</v>
      </c>
      <c r="E317" s="1090"/>
      <c r="F317" s="1090"/>
      <c r="G317" s="1091"/>
      <c r="H317" s="1092"/>
      <c r="I317" s="1082">
        <f>SUM(J317:N317)</f>
        <v>1000</v>
      </c>
      <c r="J317" s="1083"/>
      <c r="K317" s="1083"/>
      <c r="L317" s="1083">
        <v>1000</v>
      </c>
      <c r="M317" s="1083"/>
      <c r="N317" s="1084"/>
      <c r="O317" s="151"/>
      <c r="P317" s="8"/>
    </row>
    <row r="318" spans="1:16" ht="16.5" x14ac:dyDescent="0.3">
      <c r="A318" s="572">
        <v>284</v>
      </c>
      <c r="B318" s="1087"/>
      <c r="C318" s="1088"/>
      <c r="D318" s="1499" t="s">
        <v>929</v>
      </c>
      <c r="E318" s="1090"/>
      <c r="F318" s="1090"/>
      <c r="G318" s="1091"/>
      <c r="H318" s="1092"/>
      <c r="I318" s="1611">
        <f t="shared" ref="I318:I319" si="81">SUM(J318:N318)</f>
        <v>0</v>
      </c>
      <c r="J318" s="1083"/>
      <c r="K318" s="1083"/>
      <c r="L318" s="1083"/>
      <c r="M318" s="1083"/>
      <c r="N318" s="1084"/>
    </row>
    <row r="319" spans="1:16" s="3" customFormat="1" ht="16.5" x14ac:dyDescent="0.3">
      <c r="A319" s="572">
        <v>285</v>
      </c>
      <c r="B319" s="1087"/>
      <c r="C319" s="1088"/>
      <c r="D319" s="641" t="s">
        <v>927</v>
      </c>
      <c r="E319" s="1090"/>
      <c r="F319" s="1090"/>
      <c r="G319" s="1091"/>
      <c r="H319" s="1092"/>
      <c r="I319" s="1615">
        <f t="shared" si="81"/>
        <v>1000</v>
      </c>
      <c r="J319" s="1083"/>
      <c r="K319" s="1083"/>
      <c r="L319" s="1618">
        <f>SUM(L317:L318)</f>
        <v>1000</v>
      </c>
      <c r="M319" s="1083"/>
      <c r="N319" s="1084"/>
      <c r="P319" s="8"/>
    </row>
    <row r="320" spans="1:16" s="1308" customFormat="1" ht="16.5" x14ac:dyDescent="0.3">
      <c r="A320" s="572">
        <v>286</v>
      </c>
      <c r="B320" s="160"/>
      <c r="C320" s="161">
        <v>65</v>
      </c>
      <c r="D320" s="567" t="s">
        <v>576</v>
      </c>
      <c r="E320" s="158"/>
      <c r="F320" s="158">
        <v>1275</v>
      </c>
      <c r="G320" s="159">
        <v>1275</v>
      </c>
      <c r="H320" s="583" t="s">
        <v>24</v>
      </c>
      <c r="I320" s="1082"/>
      <c r="J320" s="1255"/>
      <c r="K320" s="1255"/>
      <c r="L320" s="1255"/>
      <c r="M320" s="1255"/>
      <c r="N320" s="1256"/>
      <c r="O320" s="3"/>
      <c r="P320" s="1307"/>
    </row>
    <row r="321" spans="1:16" s="1307" customFormat="1" ht="16.5" x14ac:dyDescent="0.3">
      <c r="A321" s="572">
        <v>287</v>
      </c>
      <c r="B321" s="155"/>
      <c r="C321" s="156">
        <v>66</v>
      </c>
      <c r="D321" s="567" t="s">
        <v>78</v>
      </c>
      <c r="E321" s="158">
        <v>5500</v>
      </c>
      <c r="F321" s="158">
        <v>5500</v>
      </c>
      <c r="G321" s="159">
        <v>5500</v>
      </c>
      <c r="H321" s="583" t="s">
        <v>23</v>
      </c>
      <c r="I321" s="1082"/>
      <c r="J321" s="1255"/>
      <c r="K321" s="1255"/>
      <c r="L321" s="1255"/>
      <c r="M321" s="1255"/>
      <c r="N321" s="1256"/>
    </row>
    <row r="322" spans="1:16" s="1307" customFormat="1" ht="16.5" x14ac:dyDescent="0.3">
      <c r="A322" s="572">
        <v>288</v>
      </c>
      <c r="B322" s="1087"/>
      <c r="C322" s="1088"/>
      <c r="D322" s="1089" t="s">
        <v>292</v>
      </c>
      <c r="E322" s="1090"/>
      <c r="F322" s="1090"/>
      <c r="G322" s="1091"/>
      <c r="H322" s="1092"/>
      <c r="I322" s="1082">
        <f>SUM(J322:N322)</f>
        <v>5500</v>
      </c>
      <c r="J322" s="1083"/>
      <c r="K322" s="1083"/>
      <c r="L322" s="1083">
        <v>5500</v>
      </c>
      <c r="M322" s="1083"/>
      <c r="N322" s="1084"/>
    </row>
    <row r="323" spans="1:16" s="1308" customFormat="1" ht="16.5" x14ac:dyDescent="0.3">
      <c r="A323" s="572">
        <v>289</v>
      </c>
      <c r="B323" s="1087"/>
      <c r="C323" s="1088"/>
      <c r="D323" s="1499" t="s">
        <v>929</v>
      </c>
      <c r="E323" s="1090"/>
      <c r="F323" s="1090"/>
      <c r="G323" s="1091"/>
      <c r="H323" s="1092"/>
      <c r="I323" s="1611">
        <f t="shared" ref="I323:I324" si="82">SUM(J323:N323)</f>
        <v>0</v>
      </c>
      <c r="J323" s="1083"/>
      <c r="K323" s="1083"/>
      <c r="L323" s="1083"/>
      <c r="M323" s="1083"/>
      <c r="N323" s="1084"/>
      <c r="O323" s="1307"/>
      <c r="P323" s="1307"/>
    </row>
    <row r="324" spans="1:16" s="1308" customFormat="1" ht="16.5" x14ac:dyDescent="0.3">
      <c r="A324" s="572">
        <v>290</v>
      </c>
      <c r="B324" s="1087"/>
      <c r="C324" s="1088"/>
      <c r="D324" s="641" t="s">
        <v>927</v>
      </c>
      <c r="E324" s="1090"/>
      <c r="F324" s="1090"/>
      <c r="G324" s="1091"/>
      <c r="H324" s="1092"/>
      <c r="I324" s="1615">
        <f t="shared" si="82"/>
        <v>5500</v>
      </c>
      <c r="J324" s="1083"/>
      <c r="K324" s="1083"/>
      <c r="L324" s="1618">
        <f>SUM(L322:L323)</f>
        <v>5500</v>
      </c>
      <c r="M324" s="1083"/>
      <c r="N324" s="1084"/>
      <c r="O324" s="1307"/>
      <c r="P324" s="1307"/>
    </row>
    <row r="325" spans="1:16" s="108" customFormat="1" x14ac:dyDescent="0.35">
      <c r="A325" s="572">
        <v>291</v>
      </c>
      <c r="B325" s="155"/>
      <c r="C325" s="156">
        <v>67</v>
      </c>
      <c r="D325" s="567" t="s">
        <v>79</v>
      </c>
      <c r="E325" s="158">
        <v>4800</v>
      </c>
      <c r="F325" s="158">
        <v>5200</v>
      </c>
      <c r="G325" s="159">
        <v>5160</v>
      </c>
      <c r="H325" s="583" t="s">
        <v>23</v>
      </c>
      <c r="I325" s="1082"/>
      <c r="J325" s="1255"/>
      <c r="K325" s="1255"/>
      <c r="L325" s="1255"/>
      <c r="M325" s="1255"/>
      <c r="N325" s="1256"/>
      <c r="O325" s="563"/>
      <c r="P325" s="8"/>
    </row>
    <row r="326" spans="1:16" s="108" customFormat="1" x14ac:dyDescent="0.35">
      <c r="A326" s="572">
        <v>292</v>
      </c>
      <c r="B326" s="1087"/>
      <c r="C326" s="1088"/>
      <c r="D326" s="1089" t="s">
        <v>292</v>
      </c>
      <c r="E326" s="1090"/>
      <c r="F326" s="1090"/>
      <c r="G326" s="1091"/>
      <c r="H326" s="1092"/>
      <c r="I326" s="1082">
        <f>SUM(J326:N326)</f>
        <v>5280</v>
      </c>
      <c r="J326" s="1083"/>
      <c r="K326" s="1083"/>
      <c r="L326" s="1083">
        <v>5280</v>
      </c>
      <c r="M326" s="1083"/>
      <c r="N326" s="1084"/>
      <c r="O326" s="563"/>
      <c r="P326" s="8"/>
    </row>
    <row r="327" spans="1:16" s="1124" customFormat="1" x14ac:dyDescent="0.35">
      <c r="A327" s="572">
        <v>293</v>
      </c>
      <c r="B327" s="1087"/>
      <c r="C327" s="1088"/>
      <c r="D327" s="1499" t="s">
        <v>929</v>
      </c>
      <c r="E327" s="1090"/>
      <c r="F327" s="1090"/>
      <c r="G327" s="1091"/>
      <c r="H327" s="1092"/>
      <c r="I327" s="1611">
        <f t="shared" ref="I327:I328" si="83">SUM(J327:N327)</f>
        <v>0</v>
      </c>
      <c r="J327" s="1083"/>
      <c r="K327" s="1083"/>
      <c r="L327" s="1083"/>
      <c r="M327" s="1083"/>
      <c r="N327" s="1084"/>
      <c r="O327" s="1093"/>
      <c r="P327" s="1093"/>
    </row>
    <row r="328" spans="1:16" s="108" customFormat="1" x14ac:dyDescent="0.35">
      <c r="A328" s="572">
        <v>294</v>
      </c>
      <c r="B328" s="1087"/>
      <c r="C328" s="1088"/>
      <c r="D328" s="641" t="s">
        <v>927</v>
      </c>
      <c r="E328" s="1090"/>
      <c r="F328" s="1090"/>
      <c r="G328" s="1091"/>
      <c r="H328" s="1092"/>
      <c r="I328" s="1615">
        <f t="shared" si="83"/>
        <v>5280</v>
      </c>
      <c r="J328" s="1083"/>
      <c r="K328" s="1083"/>
      <c r="L328" s="1618">
        <f>SUM(L326:L327)</f>
        <v>5280</v>
      </c>
      <c r="M328" s="1083"/>
      <c r="N328" s="1084"/>
      <c r="O328" s="563"/>
      <c r="P328" s="8"/>
    </row>
    <row r="329" spans="1:16" s="1129" customFormat="1" x14ac:dyDescent="0.3">
      <c r="A329" s="572">
        <v>295</v>
      </c>
      <c r="B329" s="155"/>
      <c r="C329" s="156">
        <v>68</v>
      </c>
      <c r="D329" s="567" t="s">
        <v>80</v>
      </c>
      <c r="E329" s="158">
        <v>1763</v>
      </c>
      <c r="F329" s="158">
        <v>2418</v>
      </c>
      <c r="G329" s="159">
        <v>5177</v>
      </c>
      <c r="H329" s="583" t="s">
        <v>24</v>
      </c>
      <c r="I329" s="1082"/>
      <c r="J329" s="1255"/>
      <c r="K329" s="1255"/>
      <c r="L329" s="1255"/>
      <c r="M329" s="1255"/>
      <c r="N329" s="1256"/>
      <c r="O329" s="1128"/>
      <c r="P329" s="1093"/>
    </row>
    <row r="330" spans="1:16" ht="16.5" x14ac:dyDescent="0.3">
      <c r="A330" s="572">
        <v>296</v>
      </c>
      <c r="B330" s="1087"/>
      <c r="C330" s="1088"/>
      <c r="D330" s="1089" t="s">
        <v>292</v>
      </c>
      <c r="E330" s="1090"/>
      <c r="F330" s="1090"/>
      <c r="G330" s="1091"/>
      <c r="H330" s="1092"/>
      <c r="I330" s="1082">
        <f>SUM(J330:N330)</f>
        <v>2945</v>
      </c>
      <c r="J330" s="1083"/>
      <c r="K330" s="1083"/>
      <c r="L330" s="1083">
        <v>2945</v>
      </c>
      <c r="M330" s="1083"/>
      <c r="N330" s="1084"/>
    </row>
    <row r="331" spans="1:16" ht="16.5" x14ac:dyDescent="0.3">
      <c r="A331" s="572">
        <v>297</v>
      </c>
      <c r="B331" s="1087"/>
      <c r="C331" s="1088"/>
      <c r="D331" s="1499" t="s">
        <v>926</v>
      </c>
      <c r="E331" s="1090"/>
      <c r="F331" s="1090"/>
      <c r="G331" s="1091"/>
      <c r="H331" s="1092"/>
      <c r="I331" s="1611">
        <f t="shared" ref="I331:I332" si="84">SUM(J331:N331)</f>
        <v>741</v>
      </c>
      <c r="J331" s="1083"/>
      <c r="K331" s="1083"/>
      <c r="L331" s="1617">
        <v>741</v>
      </c>
      <c r="M331" s="1083"/>
      <c r="N331" s="1084"/>
    </row>
    <row r="332" spans="1:16" ht="16.5" x14ac:dyDescent="0.3">
      <c r="A332" s="572">
        <v>298</v>
      </c>
      <c r="B332" s="1087"/>
      <c r="C332" s="1088"/>
      <c r="D332" s="641" t="s">
        <v>927</v>
      </c>
      <c r="E332" s="1090"/>
      <c r="F332" s="1090"/>
      <c r="G332" s="1091"/>
      <c r="H332" s="1092"/>
      <c r="I332" s="1615">
        <f t="shared" si="84"/>
        <v>3686</v>
      </c>
      <c r="J332" s="1083"/>
      <c r="K332" s="1083"/>
      <c r="L332" s="1618">
        <f>SUM(L330:L331)</f>
        <v>3686</v>
      </c>
      <c r="M332" s="1083"/>
      <c r="N332" s="1084"/>
    </row>
    <row r="333" spans="1:16" ht="16.5" x14ac:dyDescent="0.3">
      <c r="A333" s="572">
        <v>299</v>
      </c>
      <c r="B333" s="155"/>
      <c r="C333" s="156">
        <v>69</v>
      </c>
      <c r="D333" s="567" t="s">
        <v>81</v>
      </c>
      <c r="E333" s="158">
        <v>197049</v>
      </c>
      <c r="F333" s="158">
        <v>255180</v>
      </c>
      <c r="G333" s="159">
        <v>202279</v>
      </c>
      <c r="H333" s="583" t="s">
        <v>23</v>
      </c>
      <c r="I333" s="1082"/>
      <c r="J333" s="1255"/>
      <c r="K333" s="1255"/>
      <c r="L333" s="1255"/>
      <c r="M333" s="1255"/>
      <c r="N333" s="1256"/>
    </row>
    <row r="334" spans="1:16" ht="16.5" x14ac:dyDescent="0.3">
      <c r="A334" s="572">
        <v>300</v>
      </c>
      <c r="B334" s="1087"/>
      <c r="C334" s="1088"/>
      <c r="D334" s="1089" t="s">
        <v>292</v>
      </c>
      <c r="E334" s="1090"/>
      <c r="F334" s="1090"/>
      <c r="G334" s="1091"/>
      <c r="H334" s="1092"/>
      <c r="I334" s="1082">
        <f>SUM(J334:N334)</f>
        <v>261840</v>
      </c>
      <c r="J334" s="1083">
        <v>148380</v>
      </c>
      <c r="K334" s="1083">
        <v>22576</v>
      </c>
      <c r="L334" s="1083">
        <v>90884</v>
      </c>
      <c r="M334" s="1083"/>
      <c r="N334" s="1084"/>
    </row>
    <row r="335" spans="1:16" ht="16.5" x14ac:dyDescent="0.3">
      <c r="A335" s="572">
        <v>301</v>
      </c>
      <c r="B335" s="1087"/>
      <c r="C335" s="1088"/>
      <c r="D335" s="1499" t="s">
        <v>926</v>
      </c>
      <c r="E335" s="1090"/>
      <c r="F335" s="1090"/>
      <c r="G335" s="1091"/>
      <c r="H335" s="1092"/>
      <c r="I335" s="1611">
        <f t="shared" ref="I335:I336" si="85">SUM(J335:N335)</f>
        <v>61345</v>
      </c>
      <c r="J335" s="1617">
        <v>38440</v>
      </c>
      <c r="K335" s="1617">
        <v>12681</v>
      </c>
      <c r="L335" s="1617">
        <v>10224</v>
      </c>
      <c r="M335" s="1083"/>
      <c r="N335" s="1084"/>
    </row>
    <row r="336" spans="1:16" s="11" customFormat="1" x14ac:dyDescent="0.35">
      <c r="A336" s="572">
        <v>302</v>
      </c>
      <c r="B336" s="1087"/>
      <c r="C336" s="1088"/>
      <c r="D336" s="641" t="s">
        <v>927</v>
      </c>
      <c r="E336" s="1090"/>
      <c r="F336" s="1090"/>
      <c r="G336" s="1091"/>
      <c r="H336" s="1092"/>
      <c r="I336" s="1615">
        <f t="shared" si="85"/>
        <v>323185</v>
      </c>
      <c r="J336" s="1618">
        <f>SUM(J334:J335)</f>
        <v>186820</v>
      </c>
      <c r="K336" s="1618">
        <f t="shared" ref="K336:L336" si="86">SUM(K334:K335)</f>
        <v>35257</v>
      </c>
      <c r="L336" s="1618">
        <f t="shared" si="86"/>
        <v>101108</v>
      </c>
      <c r="M336" s="1083"/>
      <c r="N336" s="1084"/>
      <c r="O336" s="4"/>
    </row>
    <row r="337" spans="1:15" s="11" customFormat="1" x14ac:dyDescent="0.35">
      <c r="A337" s="572">
        <v>303</v>
      </c>
      <c r="B337" s="160"/>
      <c r="C337" s="156">
        <v>70</v>
      </c>
      <c r="D337" s="566" t="s">
        <v>391</v>
      </c>
      <c r="E337" s="158">
        <v>180</v>
      </c>
      <c r="F337" s="158">
        <v>180</v>
      </c>
      <c r="G337" s="159">
        <v>180</v>
      </c>
      <c r="H337" s="583" t="s">
        <v>23</v>
      </c>
      <c r="I337" s="1082"/>
      <c r="J337" s="1255"/>
      <c r="K337" s="1255"/>
      <c r="L337" s="1255"/>
      <c r="M337" s="1255"/>
      <c r="N337" s="1256"/>
      <c r="O337" s="4"/>
    </row>
    <row r="338" spans="1:15" s="11" customFormat="1" x14ac:dyDescent="0.35">
      <c r="A338" s="572">
        <v>304</v>
      </c>
      <c r="B338" s="1087"/>
      <c r="C338" s="1088"/>
      <c r="D338" s="1089" t="s">
        <v>292</v>
      </c>
      <c r="E338" s="1090"/>
      <c r="F338" s="1090"/>
      <c r="G338" s="1091"/>
      <c r="H338" s="1092"/>
      <c r="I338" s="1082">
        <f>SUM(J338:N338)</f>
        <v>180</v>
      </c>
      <c r="J338" s="1083"/>
      <c r="K338" s="1083"/>
      <c r="L338" s="1083">
        <v>180</v>
      </c>
      <c r="M338" s="1083"/>
      <c r="N338" s="1084"/>
      <c r="O338" s="4"/>
    </row>
    <row r="339" spans="1:15" s="11" customFormat="1" x14ac:dyDescent="0.35">
      <c r="A339" s="572">
        <v>305</v>
      </c>
      <c r="B339" s="1087"/>
      <c r="C339" s="1088"/>
      <c r="D339" s="1499" t="s">
        <v>929</v>
      </c>
      <c r="E339" s="1090"/>
      <c r="F339" s="1090"/>
      <c r="G339" s="1091"/>
      <c r="H339" s="1092"/>
      <c r="I339" s="1611">
        <f t="shared" ref="I339:I340" si="87">SUM(J339:N339)</f>
        <v>0</v>
      </c>
      <c r="J339" s="1083"/>
      <c r="K339" s="1083"/>
      <c r="L339" s="1083"/>
      <c r="M339" s="1083"/>
      <c r="N339" s="1084"/>
      <c r="O339" s="4"/>
    </row>
    <row r="340" spans="1:15" s="11" customFormat="1" x14ac:dyDescent="0.35">
      <c r="A340" s="572">
        <v>306</v>
      </c>
      <c r="B340" s="1087"/>
      <c r="C340" s="1088"/>
      <c r="D340" s="641" t="s">
        <v>927</v>
      </c>
      <c r="E340" s="1090"/>
      <c r="F340" s="1090"/>
      <c r="G340" s="1091"/>
      <c r="H340" s="1092"/>
      <c r="I340" s="1615">
        <f t="shared" si="87"/>
        <v>180</v>
      </c>
      <c r="J340" s="1083"/>
      <c r="K340" s="1083"/>
      <c r="L340" s="1618">
        <f>SUM(L338:L339)</f>
        <v>180</v>
      </c>
      <c r="M340" s="1083"/>
      <c r="N340" s="1084"/>
      <c r="O340" s="4"/>
    </row>
    <row r="341" spans="1:15" s="11" customFormat="1" x14ac:dyDescent="0.35">
      <c r="A341" s="572">
        <v>307</v>
      </c>
      <c r="B341" s="155"/>
      <c r="C341" s="156">
        <v>71</v>
      </c>
      <c r="D341" s="567" t="s">
        <v>82</v>
      </c>
      <c r="E341" s="158">
        <v>14161</v>
      </c>
      <c r="F341" s="158">
        <v>54536</v>
      </c>
      <c r="G341" s="159">
        <v>16203</v>
      </c>
      <c r="H341" s="583" t="s">
        <v>23</v>
      </c>
      <c r="I341" s="1082"/>
      <c r="J341" s="1255"/>
      <c r="K341" s="1255"/>
      <c r="L341" s="1255"/>
      <c r="M341" s="1255"/>
      <c r="N341" s="1256"/>
      <c r="O341" s="4"/>
    </row>
    <row r="342" spans="1:15" s="11" customFormat="1" x14ac:dyDescent="0.35">
      <c r="A342" s="572">
        <v>308</v>
      </c>
      <c r="B342" s="1111"/>
      <c r="C342" s="1088"/>
      <c r="D342" s="1089" t="s">
        <v>292</v>
      </c>
      <c r="E342" s="1094"/>
      <c r="F342" s="1094"/>
      <c r="G342" s="1095"/>
      <c r="H342" s="1096"/>
      <c r="I342" s="1082">
        <f>SUM(J342:N342)</f>
        <v>62975</v>
      </c>
      <c r="J342" s="1097"/>
      <c r="K342" s="1097"/>
      <c r="L342" s="1097">
        <v>5000</v>
      </c>
      <c r="M342" s="1097"/>
      <c r="N342" s="1098">
        <f>55000+12700-9425-300</f>
        <v>57975</v>
      </c>
      <c r="O342" s="4"/>
    </row>
    <row r="343" spans="1:15" s="11" customFormat="1" x14ac:dyDescent="0.35">
      <c r="A343" s="572">
        <v>309</v>
      </c>
      <c r="B343" s="1111"/>
      <c r="C343" s="1088"/>
      <c r="D343" s="1499" t="s">
        <v>1010</v>
      </c>
      <c r="E343" s="1094"/>
      <c r="F343" s="1094"/>
      <c r="G343" s="1095"/>
      <c r="H343" s="1096"/>
      <c r="I343" s="1611">
        <f t="shared" ref="I343:I345" si="88">SUM(J343:N343)</f>
        <v>6936</v>
      </c>
      <c r="J343" s="1097"/>
      <c r="K343" s="1097"/>
      <c r="L343" s="1097"/>
      <c r="M343" s="1097"/>
      <c r="N343" s="1639">
        <v>6936</v>
      </c>
      <c r="O343" s="4"/>
    </row>
    <row r="344" spans="1:15" s="11" customFormat="1" x14ac:dyDescent="0.35">
      <c r="A344" s="572">
        <v>310</v>
      </c>
      <c r="B344" s="1111"/>
      <c r="C344" s="1088"/>
      <c r="D344" s="1499" t="s">
        <v>931</v>
      </c>
      <c r="E344" s="1094"/>
      <c r="F344" s="1094"/>
      <c r="G344" s="1095"/>
      <c r="H344" s="1096"/>
      <c r="I344" s="1611">
        <f t="shared" si="88"/>
        <v>388545</v>
      </c>
      <c r="J344" s="1097"/>
      <c r="K344" s="1097"/>
      <c r="L344" s="1097"/>
      <c r="M344" s="1097"/>
      <c r="N344" s="1639">
        <f>308545+239422-7069-42353-60000-50000</f>
        <v>388545</v>
      </c>
      <c r="O344" s="4"/>
    </row>
    <row r="345" spans="1:15" s="11" customFormat="1" x14ac:dyDescent="0.35">
      <c r="A345" s="572">
        <v>311</v>
      </c>
      <c r="B345" s="1111"/>
      <c r="C345" s="1088"/>
      <c r="D345" s="641" t="s">
        <v>927</v>
      </c>
      <c r="E345" s="1094"/>
      <c r="F345" s="1094"/>
      <c r="G345" s="1095"/>
      <c r="H345" s="1096"/>
      <c r="I345" s="1615">
        <f t="shared" si="88"/>
        <v>458456</v>
      </c>
      <c r="J345" s="1097"/>
      <c r="K345" s="1097"/>
      <c r="L345" s="1616">
        <f>SUM(L342:L344)</f>
        <v>5000</v>
      </c>
      <c r="M345" s="1616"/>
      <c r="N345" s="1640">
        <f>SUM(N342:N344)</f>
        <v>453456</v>
      </c>
      <c r="O345" s="4"/>
    </row>
    <row r="346" spans="1:15" s="11" customFormat="1" x14ac:dyDescent="0.35">
      <c r="A346" s="572">
        <v>312</v>
      </c>
      <c r="B346" s="155"/>
      <c r="C346" s="156">
        <v>72</v>
      </c>
      <c r="D346" s="567" t="s">
        <v>83</v>
      </c>
      <c r="E346" s="158">
        <v>164182</v>
      </c>
      <c r="F346" s="158">
        <v>158489</v>
      </c>
      <c r="G346" s="159">
        <v>119740</v>
      </c>
      <c r="H346" s="583" t="s">
        <v>23</v>
      </c>
      <c r="I346" s="1082"/>
      <c r="J346" s="1255"/>
      <c r="K346" s="1255"/>
      <c r="L346" s="1255"/>
      <c r="M346" s="1255"/>
      <c r="N346" s="1256"/>
      <c r="O346" s="4"/>
    </row>
    <row r="347" spans="1:15" s="11" customFormat="1" x14ac:dyDescent="0.35">
      <c r="A347" s="572">
        <v>313</v>
      </c>
      <c r="B347" s="1087"/>
      <c r="C347" s="1088"/>
      <c r="D347" s="1089" t="s">
        <v>292</v>
      </c>
      <c r="E347" s="1090"/>
      <c r="F347" s="1090"/>
      <c r="G347" s="1091"/>
      <c r="H347" s="1092"/>
      <c r="I347" s="1082">
        <f>SUM(J347:N347)</f>
        <v>138289</v>
      </c>
      <c r="J347" s="1083"/>
      <c r="K347" s="1083"/>
      <c r="L347" s="1083">
        <f>151789-13500</f>
        <v>138289</v>
      </c>
      <c r="M347" s="1083"/>
      <c r="N347" s="1084"/>
      <c r="O347" s="4"/>
    </row>
    <row r="348" spans="1:15" s="11" customFormat="1" x14ac:dyDescent="0.35">
      <c r="A348" s="572">
        <v>314</v>
      </c>
      <c r="B348" s="1087"/>
      <c r="C348" s="1088"/>
      <c r="D348" s="1499" t="s">
        <v>926</v>
      </c>
      <c r="E348" s="1090"/>
      <c r="F348" s="1090"/>
      <c r="G348" s="1091"/>
      <c r="H348" s="1092"/>
      <c r="I348" s="1611">
        <f t="shared" ref="I348:I349" si="89">SUM(J348:N348)</f>
        <v>59032</v>
      </c>
      <c r="J348" s="1083"/>
      <c r="K348" s="1083"/>
      <c r="L348" s="1617">
        <f>20190+42353-253-3258</f>
        <v>59032</v>
      </c>
      <c r="M348" s="1083"/>
      <c r="N348" s="1084"/>
      <c r="O348" s="4"/>
    </row>
    <row r="349" spans="1:15" s="11" customFormat="1" x14ac:dyDescent="0.35">
      <c r="A349" s="572">
        <v>315</v>
      </c>
      <c r="B349" s="1087"/>
      <c r="C349" s="1088"/>
      <c r="D349" s="641" t="s">
        <v>927</v>
      </c>
      <c r="E349" s="1090"/>
      <c r="F349" s="1090"/>
      <c r="G349" s="1091"/>
      <c r="H349" s="1092"/>
      <c r="I349" s="1615">
        <f t="shared" si="89"/>
        <v>197321</v>
      </c>
      <c r="J349" s="1083"/>
      <c r="K349" s="1083"/>
      <c r="L349" s="1618">
        <f>SUM(L347:L348)</f>
        <v>197321</v>
      </c>
      <c r="M349" s="1083"/>
      <c r="N349" s="1084"/>
      <c r="O349" s="4"/>
    </row>
    <row r="350" spans="1:15" s="11" customFormat="1" x14ac:dyDescent="0.35">
      <c r="A350" s="572">
        <v>316</v>
      </c>
      <c r="B350" s="155"/>
      <c r="C350" s="156">
        <v>73</v>
      </c>
      <c r="D350" s="567" t="s">
        <v>84</v>
      </c>
      <c r="E350" s="158">
        <v>13955</v>
      </c>
      <c r="F350" s="158">
        <v>40583</v>
      </c>
      <c r="G350" s="159">
        <v>14245</v>
      </c>
      <c r="H350" s="583" t="s">
        <v>24</v>
      </c>
      <c r="I350" s="1082"/>
      <c r="J350" s="1255"/>
      <c r="K350" s="1255"/>
      <c r="L350" s="1255"/>
      <c r="M350" s="1255"/>
      <c r="N350" s="1256"/>
      <c r="O350" s="4"/>
    </row>
    <row r="351" spans="1:15" s="11" customFormat="1" x14ac:dyDescent="0.35">
      <c r="A351" s="572">
        <v>317</v>
      </c>
      <c r="B351" s="1087"/>
      <c r="C351" s="1088"/>
      <c r="D351" s="1089" t="s">
        <v>292</v>
      </c>
      <c r="E351" s="1090"/>
      <c r="F351" s="1090"/>
      <c r="G351" s="1091"/>
      <c r="H351" s="1092"/>
      <c r="I351" s="1082">
        <f>SUM(J351:N351)</f>
        <v>51870</v>
      </c>
      <c r="J351" s="1083"/>
      <c r="K351" s="1083"/>
      <c r="L351" s="1083">
        <v>51870</v>
      </c>
      <c r="M351" s="1083"/>
      <c r="N351" s="1084"/>
      <c r="O351" s="4"/>
    </row>
    <row r="352" spans="1:15" ht="16.5" x14ac:dyDescent="0.3">
      <c r="A352" s="572">
        <v>318</v>
      </c>
      <c r="B352" s="1087"/>
      <c r="C352" s="1088"/>
      <c r="D352" s="1499" t="s">
        <v>929</v>
      </c>
      <c r="E352" s="1090"/>
      <c r="F352" s="1090"/>
      <c r="G352" s="1091"/>
      <c r="H352" s="1092"/>
      <c r="I352" s="1611">
        <f t="shared" ref="I352:I353" si="90">SUM(J352:N352)</f>
        <v>0</v>
      </c>
      <c r="J352" s="1083"/>
      <c r="K352" s="1083"/>
      <c r="L352" s="1083"/>
      <c r="M352" s="1083"/>
      <c r="N352" s="1084"/>
    </row>
    <row r="353" spans="1:14" ht="16.5" x14ac:dyDescent="0.3">
      <c r="A353" s="572">
        <v>319</v>
      </c>
      <c r="B353" s="1087"/>
      <c r="C353" s="1088"/>
      <c r="D353" s="641" t="s">
        <v>927</v>
      </c>
      <c r="E353" s="1090"/>
      <c r="F353" s="1090"/>
      <c r="G353" s="1091"/>
      <c r="H353" s="1092"/>
      <c r="I353" s="1615">
        <f t="shared" si="90"/>
        <v>51870</v>
      </c>
      <c r="J353" s="1083"/>
      <c r="K353" s="1083"/>
      <c r="L353" s="1618">
        <f>SUM(L351:L352)</f>
        <v>51870</v>
      </c>
      <c r="M353" s="1083"/>
      <c r="N353" s="1084"/>
    </row>
    <row r="354" spans="1:14" ht="16.5" x14ac:dyDescent="0.3">
      <c r="A354" s="572">
        <v>320</v>
      </c>
      <c r="B354" s="160"/>
      <c r="C354" s="156">
        <v>74</v>
      </c>
      <c r="D354" s="566" t="s">
        <v>392</v>
      </c>
      <c r="E354" s="158">
        <v>306766</v>
      </c>
      <c r="F354" s="158">
        <v>394879</v>
      </c>
      <c r="G354" s="159">
        <v>301687</v>
      </c>
      <c r="H354" s="583" t="s">
        <v>23</v>
      </c>
      <c r="I354" s="1082"/>
      <c r="J354" s="1255"/>
      <c r="K354" s="1255"/>
      <c r="L354" s="1255"/>
      <c r="M354" s="1255"/>
      <c r="N354" s="1256"/>
    </row>
    <row r="355" spans="1:14" ht="16.5" x14ac:dyDescent="0.3">
      <c r="A355" s="572">
        <v>321</v>
      </c>
      <c r="B355" s="1087"/>
      <c r="C355" s="1088"/>
      <c r="D355" s="1089" t="s">
        <v>292</v>
      </c>
      <c r="E355" s="1090"/>
      <c r="F355" s="1090"/>
      <c r="G355" s="1091"/>
      <c r="H355" s="1092"/>
      <c r="I355" s="1082">
        <f>SUM(J355:N355)</f>
        <v>1618046</v>
      </c>
      <c r="J355" s="1083"/>
      <c r="K355" s="1083"/>
      <c r="L355" s="1083"/>
      <c r="M355" s="1083"/>
      <c r="N355" s="1084">
        <v>1618046</v>
      </c>
    </row>
    <row r="356" spans="1:14" ht="16.5" x14ac:dyDescent="0.3">
      <c r="A356" s="572">
        <v>322</v>
      </c>
      <c r="B356" s="1087"/>
      <c r="C356" s="1088"/>
      <c r="D356" s="1499" t="s">
        <v>929</v>
      </c>
      <c r="E356" s="1090"/>
      <c r="F356" s="1090"/>
      <c r="G356" s="1091"/>
      <c r="H356" s="1092"/>
      <c r="I356" s="1611">
        <f t="shared" ref="I356:I357" si="91">SUM(J356:N356)</f>
        <v>0</v>
      </c>
      <c r="J356" s="1083"/>
      <c r="K356" s="1083"/>
      <c r="L356" s="1083"/>
      <c r="M356" s="1083"/>
      <c r="N356" s="1084"/>
    </row>
    <row r="357" spans="1:14" ht="16.5" x14ac:dyDescent="0.3">
      <c r="A357" s="572">
        <v>323</v>
      </c>
      <c r="B357" s="1087"/>
      <c r="C357" s="1088"/>
      <c r="D357" s="641" t="s">
        <v>927</v>
      </c>
      <c r="E357" s="1090"/>
      <c r="F357" s="1090"/>
      <c r="G357" s="1091"/>
      <c r="H357" s="1092"/>
      <c r="I357" s="1615">
        <f t="shared" si="91"/>
        <v>1618046</v>
      </c>
      <c r="J357" s="1083"/>
      <c r="K357" s="1083"/>
      <c r="L357" s="1083"/>
      <c r="M357" s="1083"/>
      <c r="N357" s="1622">
        <f>SUM(N355:N356)</f>
        <v>1618046</v>
      </c>
    </row>
    <row r="358" spans="1:14" ht="16.5" x14ac:dyDescent="0.3">
      <c r="A358" s="572">
        <v>324</v>
      </c>
      <c r="B358" s="155"/>
      <c r="C358" s="156">
        <v>75</v>
      </c>
      <c r="D358" s="567" t="s">
        <v>85</v>
      </c>
      <c r="E358" s="158">
        <v>15000</v>
      </c>
      <c r="F358" s="158">
        <v>12750</v>
      </c>
      <c r="G358" s="159">
        <v>12750</v>
      </c>
      <c r="H358" s="583" t="s">
        <v>24</v>
      </c>
      <c r="I358" s="1082"/>
      <c r="J358" s="1255"/>
      <c r="K358" s="1255"/>
      <c r="L358" s="1255"/>
      <c r="M358" s="1255"/>
      <c r="N358" s="1256"/>
    </row>
    <row r="359" spans="1:14" ht="16.5" x14ac:dyDescent="0.3">
      <c r="A359" s="572">
        <v>325</v>
      </c>
      <c r="B359" s="1087"/>
      <c r="C359" s="1088"/>
      <c r="D359" s="1089" t="s">
        <v>292</v>
      </c>
      <c r="E359" s="1090"/>
      <c r="F359" s="1090"/>
      <c r="G359" s="1091"/>
      <c r="H359" s="1092"/>
      <c r="I359" s="1082">
        <f>SUM(J359:N359)</f>
        <v>7500</v>
      </c>
      <c r="J359" s="1083"/>
      <c r="K359" s="1083"/>
      <c r="L359" s="1083"/>
      <c r="M359" s="1083"/>
      <c r="N359" s="1084">
        <v>7500</v>
      </c>
    </row>
    <row r="360" spans="1:14" ht="16.5" x14ac:dyDescent="0.3">
      <c r="A360" s="572">
        <v>326</v>
      </c>
      <c r="B360" s="1087"/>
      <c r="C360" s="1088"/>
      <c r="D360" s="1499" t="s">
        <v>929</v>
      </c>
      <c r="E360" s="1090"/>
      <c r="F360" s="1090"/>
      <c r="G360" s="1091"/>
      <c r="H360" s="1092"/>
      <c r="I360" s="1611">
        <f t="shared" ref="I360:I361" si="92">SUM(J360:N360)</f>
        <v>0</v>
      </c>
      <c r="J360" s="1083"/>
      <c r="K360" s="1083"/>
      <c r="L360" s="1083"/>
      <c r="M360" s="1083"/>
      <c r="N360" s="1084"/>
    </row>
    <row r="361" spans="1:14" ht="16.5" x14ac:dyDescent="0.3">
      <c r="A361" s="572">
        <v>327</v>
      </c>
      <c r="B361" s="1087"/>
      <c r="C361" s="1088"/>
      <c r="D361" s="641" t="s">
        <v>927</v>
      </c>
      <c r="E361" s="1090"/>
      <c r="F361" s="1090"/>
      <c r="G361" s="1091"/>
      <c r="H361" s="1092"/>
      <c r="I361" s="1615">
        <f t="shared" si="92"/>
        <v>7500</v>
      </c>
      <c r="J361" s="1083"/>
      <c r="K361" s="1083"/>
      <c r="L361" s="1083"/>
      <c r="M361" s="1083"/>
      <c r="N361" s="1622">
        <f>SUM(N359:N360)</f>
        <v>7500</v>
      </c>
    </row>
    <row r="362" spans="1:14" ht="16.5" x14ac:dyDescent="0.3">
      <c r="A362" s="572">
        <v>328</v>
      </c>
      <c r="B362" s="155"/>
      <c r="C362" s="156">
        <v>76</v>
      </c>
      <c r="D362" s="567" t="s">
        <v>88</v>
      </c>
      <c r="E362" s="158">
        <v>70468</v>
      </c>
      <c r="F362" s="158">
        <v>29500</v>
      </c>
      <c r="G362" s="159">
        <v>58150</v>
      </c>
      <c r="H362" s="583" t="s">
        <v>24</v>
      </c>
      <c r="I362" s="1082"/>
      <c r="J362" s="1255"/>
      <c r="K362" s="1255"/>
      <c r="L362" s="1255"/>
      <c r="M362" s="1255"/>
      <c r="N362" s="1256"/>
    </row>
    <row r="363" spans="1:14" ht="16.5" x14ac:dyDescent="0.3">
      <c r="A363" s="572">
        <v>329</v>
      </c>
      <c r="B363" s="1087"/>
      <c r="C363" s="1088"/>
      <c r="D363" s="1089" t="s">
        <v>292</v>
      </c>
      <c r="E363" s="1090"/>
      <c r="F363" s="1090"/>
      <c r="G363" s="1091"/>
      <c r="H363" s="1092"/>
      <c r="I363" s="1082">
        <f>SUM(J363:N363)</f>
        <v>28000</v>
      </c>
      <c r="J363" s="1083"/>
      <c r="K363" s="1083"/>
      <c r="L363" s="1083"/>
      <c r="M363" s="1083"/>
      <c r="N363" s="1084">
        <v>28000</v>
      </c>
    </row>
    <row r="364" spans="1:14" ht="16.5" x14ac:dyDescent="0.3">
      <c r="A364" s="572">
        <v>330</v>
      </c>
      <c r="B364" s="1087"/>
      <c r="C364" s="1088"/>
      <c r="D364" s="1499" t="s">
        <v>929</v>
      </c>
      <c r="E364" s="1090"/>
      <c r="F364" s="1090"/>
      <c r="G364" s="1091"/>
      <c r="H364" s="1092"/>
      <c r="I364" s="1611">
        <f t="shared" ref="I364:I365" si="93">SUM(J364:N364)</f>
        <v>0</v>
      </c>
      <c r="J364" s="1083"/>
      <c r="K364" s="1083"/>
      <c r="L364" s="1083"/>
      <c r="M364" s="1083"/>
      <c r="N364" s="1084"/>
    </row>
    <row r="365" spans="1:14" ht="16.5" x14ac:dyDescent="0.3">
      <c r="A365" s="572">
        <v>331</v>
      </c>
      <c r="B365" s="1087"/>
      <c r="C365" s="1088"/>
      <c r="D365" s="641" t="s">
        <v>927</v>
      </c>
      <c r="E365" s="1090"/>
      <c r="F365" s="1090"/>
      <c r="G365" s="1091"/>
      <c r="H365" s="1092"/>
      <c r="I365" s="1615">
        <f t="shared" si="93"/>
        <v>28000</v>
      </c>
      <c r="J365" s="1083"/>
      <c r="K365" s="1083"/>
      <c r="L365" s="1083"/>
      <c r="M365" s="1083"/>
      <c r="N365" s="1622">
        <f>SUM(N363:N364)</f>
        <v>28000</v>
      </c>
    </row>
    <row r="366" spans="1:14" ht="16.5" x14ac:dyDescent="0.3">
      <c r="A366" s="572">
        <v>332</v>
      </c>
      <c r="B366" s="155"/>
      <c r="C366" s="156">
        <v>77</v>
      </c>
      <c r="D366" s="567" t="s">
        <v>89</v>
      </c>
      <c r="E366" s="158">
        <v>128000</v>
      </c>
      <c r="F366" s="158">
        <v>103000</v>
      </c>
      <c r="G366" s="159">
        <v>103000</v>
      </c>
      <c r="H366" s="583" t="s">
        <v>24</v>
      </c>
      <c r="I366" s="1082"/>
      <c r="J366" s="1255"/>
      <c r="K366" s="1255"/>
      <c r="L366" s="1255"/>
      <c r="M366" s="1255"/>
      <c r="N366" s="1256"/>
    </row>
    <row r="367" spans="1:14" ht="16.5" x14ac:dyDescent="0.3">
      <c r="A367" s="572">
        <v>333</v>
      </c>
      <c r="B367" s="155"/>
      <c r="C367" s="156">
        <v>78</v>
      </c>
      <c r="D367" s="567" t="s">
        <v>90</v>
      </c>
      <c r="E367" s="158"/>
      <c r="F367" s="158">
        <v>174944</v>
      </c>
      <c r="G367" s="159">
        <v>0</v>
      </c>
      <c r="H367" s="583" t="s">
        <v>24</v>
      </c>
      <c r="I367" s="1082"/>
      <c r="J367" s="1255"/>
      <c r="K367" s="1255"/>
      <c r="L367" s="1255"/>
      <c r="M367" s="1255"/>
      <c r="N367" s="1256"/>
    </row>
    <row r="368" spans="1:14" ht="16.5" x14ac:dyDescent="0.3">
      <c r="A368" s="572">
        <v>334</v>
      </c>
      <c r="B368" s="155"/>
      <c r="C368" s="156">
        <v>79</v>
      </c>
      <c r="D368" s="567" t="s">
        <v>91</v>
      </c>
      <c r="E368" s="158">
        <v>22000</v>
      </c>
      <c r="F368" s="158">
        <v>22000</v>
      </c>
      <c r="G368" s="159">
        <v>22000</v>
      </c>
      <c r="H368" s="583" t="s">
        <v>24</v>
      </c>
      <c r="I368" s="1082"/>
      <c r="J368" s="1255"/>
      <c r="K368" s="1255"/>
      <c r="L368" s="1255"/>
      <c r="M368" s="1255"/>
      <c r="N368" s="1256"/>
    </row>
    <row r="369" spans="1:14" ht="16.5" x14ac:dyDescent="0.3">
      <c r="A369" s="572">
        <v>335</v>
      </c>
      <c r="B369" s="1087"/>
      <c r="C369" s="1088"/>
      <c r="D369" s="1089" t="s">
        <v>292</v>
      </c>
      <c r="E369" s="1090"/>
      <c r="F369" s="1090"/>
      <c r="G369" s="1091"/>
      <c r="H369" s="1092"/>
      <c r="I369" s="1082">
        <f>SUM(J369:N369)</f>
        <v>22000</v>
      </c>
      <c r="J369" s="1083"/>
      <c r="K369" s="1083"/>
      <c r="L369" s="1083">
        <v>22000</v>
      </c>
      <c r="M369" s="1083"/>
      <c r="N369" s="1084"/>
    </row>
    <row r="370" spans="1:14" ht="16.5" x14ac:dyDescent="0.3">
      <c r="A370" s="572">
        <v>336</v>
      </c>
      <c r="B370" s="1087"/>
      <c r="C370" s="1088"/>
      <c r="D370" s="1499" t="s">
        <v>929</v>
      </c>
      <c r="E370" s="1090"/>
      <c r="F370" s="1090"/>
      <c r="G370" s="1091"/>
      <c r="H370" s="1092"/>
      <c r="I370" s="1611">
        <f t="shared" ref="I370:I371" si="94">SUM(J370:N370)</f>
        <v>0</v>
      </c>
      <c r="J370" s="1083"/>
      <c r="K370" s="1083"/>
      <c r="L370" s="1083"/>
      <c r="M370" s="1083"/>
      <c r="N370" s="1084"/>
    </row>
    <row r="371" spans="1:14" ht="16.5" x14ac:dyDescent="0.3">
      <c r="A371" s="572">
        <v>337</v>
      </c>
      <c r="B371" s="1087"/>
      <c r="C371" s="1088"/>
      <c r="D371" s="641" t="s">
        <v>927</v>
      </c>
      <c r="E371" s="1090"/>
      <c r="F371" s="1090"/>
      <c r="G371" s="1091"/>
      <c r="H371" s="1092"/>
      <c r="I371" s="1615">
        <f t="shared" si="94"/>
        <v>22000</v>
      </c>
      <c r="J371" s="1083"/>
      <c r="K371" s="1083"/>
      <c r="L371" s="1618">
        <f>SUM(L369:L370)</f>
        <v>22000</v>
      </c>
      <c r="M371" s="1083"/>
      <c r="N371" s="1084"/>
    </row>
    <row r="372" spans="1:14" ht="16.5" x14ac:dyDescent="0.3">
      <c r="A372" s="572">
        <v>338</v>
      </c>
      <c r="B372" s="155"/>
      <c r="C372" s="156">
        <v>80</v>
      </c>
      <c r="D372" s="567" t="s">
        <v>246</v>
      </c>
      <c r="E372" s="158">
        <v>38100</v>
      </c>
      <c r="F372" s="158">
        <v>38100</v>
      </c>
      <c r="G372" s="159">
        <v>38100</v>
      </c>
      <c r="H372" s="583" t="s">
        <v>24</v>
      </c>
      <c r="I372" s="1082"/>
      <c r="J372" s="1255"/>
      <c r="K372" s="1255"/>
      <c r="L372" s="1255"/>
      <c r="M372" s="1255"/>
      <c r="N372" s="1256"/>
    </row>
    <row r="373" spans="1:14" ht="16.5" x14ac:dyDescent="0.3">
      <c r="A373" s="572">
        <v>339</v>
      </c>
      <c r="B373" s="1087"/>
      <c r="C373" s="1088"/>
      <c r="D373" s="1089" t="s">
        <v>292</v>
      </c>
      <c r="E373" s="1090"/>
      <c r="F373" s="1090"/>
      <c r="G373" s="1091"/>
      <c r="H373" s="1092"/>
      <c r="I373" s="1082">
        <f>SUM(J373:N373)</f>
        <v>38100</v>
      </c>
      <c r="J373" s="1083"/>
      <c r="K373" s="1083"/>
      <c r="L373" s="1083">
        <v>38100</v>
      </c>
      <c r="M373" s="1083"/>
      <c r="N373" s="1084"/>
    </row>
    <row r="374" spans="1:14" ht="16.5" x14ac:dyDescent="0.3">
      <c r="A374" s="572">
        <v>340</v>
      </c>
      <c r="B374" s="1087"/>
      <c r="C374" s="1088"/>
      <c r="D374" s="1499" t="s">
        <v>929</v>
      </c>
      <c r="E374" s="1090"/>
      <c r="F374" s="1090"/>
      <c r="G374" s="1091"/>
      <c r="H374" s="1092"/>
      <c r="I374" s="1611">
        <f t="shared" ref="I374:I375" si="95">SUM(J374:N374)</f>
        <v>0</v>
      </c>
      <c r="J374" s="1083"/>
      <c r="K374" s="1083"/>
      <c r="L374" s="1083"/>
      <c r="M374" s="1083"/>
      <c r="N374" s="1084"/>
    </row>
    <row r="375" spans="1:14" ht="16.5" x14ac:dyDescent="0.3">
      <c r="A375" s="572">
        <v>341</v>
      </c>
      <c r="B375" s="1087"/>
      <c r="C375" s="1088"/>
      <c r="D375" s="641" t="s">
        <v>927</v>
      </c>
      <c r="E375" s="1090"/>
      <c r="F375" s="1090"/>
      <c r="G375" s="1091"/>
      <c r="H375" s="1092"/>
      <c r="I375" s="1615">
        <f t="shared" si="95"/>
        <v>38100</v>
      </c>
      <c r="J375" s="1083"/>
      <c r="K375" s="1083"/>
      <c r="L375" s="1618">
        <f>SUM(L373:L374)</f>
        <v>38100</v>
      </c>
      <c r="M375" s="1083"/>
      <c r="N375" s="1084"/>
    </row>
    <row r="376" spans="1:14" ht="16.5" x14ac:dyDescent="0.3">
      <c r="A376" s="572">
        <v>342</v>
      </c>
      <c r="B376" s="155"/>
      <c r="C376" s="156">
        <v>81</v>
      </c>
      <c r="D376" s="567" t="s">
        <v>93</v>
      </c>
      <c r="E376" s="158">
        <v>38000</v>
      </c>
      <c r="F376" s="158">
        <v>0</v>
      </c>
      <c r="G376" s="159">
        <v>2503</v>
      </c>
      <c r="H376" s="583" t="s">
        <v>24</v>
      </c>
      <c r="I376" s="1082"/>
      <c r="J376" s="1255"/>
      <c r="K376" s="1255"/>
      <c r="L376" s="1255"/>
      <c r="M376" s="1255"/>
      <c r="N376" s="1256"/>
    </row>
    <row r="377" spans="1:14" ht="16.5" x14ac:dyDescent="0.3">
      <c r="A377" s="572">
        <v>343</v>
      </c>
      <c r="B377" s="155"/>
      <c r="C377" s="156">
        <v>82</v>
      </c>
      <c r="D377" s="567" t="s">
        <v>94</v>
      </c>
      <c r="E377" s="158">
        <v>45874</v>
      </c>
      <c r="F377" s="158">
        <v>34150</v>
      </c>
      <c r="G377" s="159">
        <v>29882</v>
      </c>
      <c r="H377" s="583" t="s">
        <v>24</v>
      </c>
      <c r="I377" s="1082"/>
      <c r="J377" s="1255"/>
      <c r="K377" s="1255"/>
      <c r="L377" s="1255"/>
      <c r="M377" s="1255"/>
      <c r="N377" s="1256"/>
    </row>
    <row r="378" spans="1:14" s="5" customFormat="1" x14ac:dyDescent="0.35">
      <c r="A378" s="572">
        <v>344</v>
      </c>
      <c r="B378" s="1087"/>
      <c r="C378" s="1088"/>
      <c r="D378" s="1089" t="s">
        <v>292</v>
      </c>
      <c r="E378" s="1090"/>
      <c r="F378" s="1090"/>
      <c r="G378" s="1091"/>
      <c r="H378" s="1092"/>
      <c r="I378" s="1082">
        <f>SUM(J378:N378)</f>
        <v>34150</v>
      </c>
      <c r="J378" s="1083"/>
      <c r="K378" s="1083"/>
      <c r="L378" s="1083">
        <v>34150</v>
      </c>
      <c r="M378" s="1083"/>
      <c r="N378" s="1084"/>
    </row>
    <row r="379" spans="1:14" s="5" customFormat="1" x14ac:dyDescent="0.35">
      <c r="A379" s="572">
        <v>345</v>
      </c>
      <c r="B379" s="1087"/>
      <c r="C379" s="1088"/>
      <c r="D379" s="1499" t="s">
        <v>929</v>
      </c>
      <c r="E379" s="1090"/>
      <c r="F379" s="1090"/>
      <c r="G379" s="1091"/>
      <c r="H379" s="1092"/>
      <c r="I379" s="1611">
        <f t="shared" ref="I379:I380" si="96">SUM(J379:N379)</f>
        <v>0</v>
      </c>
      <c r="J379" s="1083"/>
      <c r="K379" s="1083"/>
      <c r="L379" s="1083"/>
      <c r="M379" s="1083"/>
      <c r="N379" s="1084"/>
    </row>
    <row r="380" spans="1:14" s="5" customFormat="1" x14ac:dyDescent="0.35">
      <c r="A380" s="572">
        <v>346</v>
      </c>
      <c r="B380" s="1087"/>
      <c r="C380" s="1088"/>
      <c r="D380" s="641" t="s">
        <v>927</v>
      </c>
      <c r="E380" s="1090"/>
      <c r="F380" s="1090"/>
      <c r="G380" s="1091"/>
      <c r="H380" s="1092"/>
      <c r="I380" s="1615">
        <f t="shared" si="96"/>
        <v>34150</v>
      </c>
      <c r="J380" s="1083"/>
      <c r="K380" s="1083"/>
      <c r="L380" s="1618">
        <f>SUM(L378:L379)</f>
        <v>34150</v>
      </c>
      <c r="M380" s="1083"/>
      <c r="N380" s="1084"/>
    </row>
    <row r="381" spans="1:14" s="5" customFormat="1" x14ac:dyDescent="0.35">
      <c r="A381" s="572">
        <v>347</v>
      </c>
      <c r="B381" s="155"/>
      <c r="C381" s="156">
        <v>83</v>
      </c>
      <c r="D381" s="570" t="s">
        <v>301</v>
      </c>
      <c r="E381" s="158">
        <v>3738</v>
      </c>
      <c r="F381" s="158">
        <v>5100</v>
      </c>
      <c r="G381" s="159">
        <v>2153</v>
      </c>
      <c r="H381" s="583" t="s">
        <v>24</v>
      </c>
      <c r="I381" s="1082"/>
      <c r="J381" s="1255"/>
      <c r="K381" s="1255"/>
      <c r="L381" s="1255"/>
      <c r="M381" s="1255"/>
      <c r="N381" s="1256"/>
    </row>
    <row r="382" spans="1:14" s="5" customFormat="1" x14ac:dyDescent="0.35">
      <c r="A382" s="572">
        <v>348</v>
      </c>
      <c r="B382" s="1087"/>
      <c r="C382" s="1088"/>
      <c r="D382" s="1089" t="s">
        <v>292</v>
      </c>
      <c r="E382" s="1090"/>
      <c r="F382" s="1090"/>
      <c r="G382" s="1091"/>
      <c r="H382" s="1092"/>
      <c r="I382" s="1082">
        <f>SUM(J382:N382)</f>
        <v>6000</v>
      </c>
      <c r="J382" s="1083"/>
      <c r="K382" s="1083"/>
      <c r="L382" s="1083">
        <v>6000</v>
      </c>
      <c r="M382" s="1083"/>
      <c r="N382" s="1084"/>
    </row>
    <row r="383" spans="1:14" s="5" customFormat="1" x14ac:dyDescent="0.35">
      <c r="A383" s="572">
        <v>349</v>
      </c>
      <c r="B383" s="1087"/>
      <c r="C383" s="1088"/>
      <c r="D383" s="1499" t="s">
        <v>949</v>
      </c>
      <c r="E383" s="1090"/>
      <c r="F383" s="1090"/>
      <c r="G383" s="1091"/>
      <c r="H383" s="1092"/>
      <c r="I383" s="1611">
        <f t="shared" ref="I383:I385" si="97">SUM(J383:N383)</f>
        <v>4643</v>
      </c>
      <c r="J383" s="1083"/>
      <c r="K383" s="1083"/>
      <c r="L383" s="1617">
        <v>4643</v>
      </c>
      <c r="M383" s="1083"/>
      <c r="N383" s="1084"/>
    </row>
    <row r="384" spans="1:14" s="5" customFormat="1" x14ac:dyDescent="0.35">
      <c r="A384" s="572">
        <v>350</v>
      </c>
      <c r="B384" s="1087"/>
      <c r="C384" s="1088"/>
      <c r="D384" s="1499" t="s">
        <v>931</v>
      </c>
      <c r="E384" s="1090"/>
      <c r="F384" s="1090"/>
      <c r="G384" s="1091"/>
      <c r="H384" s="1092"/>
      <c r="I384" s="1611">
        <f t="shared" si="97"/>
        <v>3011</v>
      </c>
      <c r="J384" s="1083"/>
      <c r="K384" s="1083"/>
      <c r="L384" s="1617">
        <f>2947+64</f>
        <v>3011</v>
      </c>
      <c r="M384" s="1083"/>
      <c r="N384" s="1084"/>
    </row>
    <row r="385" spans="1:15" ht="16.5" x14ac:dyDescent="0.3">
      <c r="A385" s="572">
        <v>351</v>
      </c>
      <c r="B385" s="1087"/>
      <c r="C385" s="1088"/>
      <c r="D385" s="641" t="s">
        <v>927</v>
      </c>
      <c r="E385" s="1090"/>
      <c r="F385" s="1090"/>
      <c r="G385" s="1091"/>
      <c r="H385" s="1092"/>
      <c r="I385" s="1615">
        <f t="shared" si="97"/>
        <v>13654</v>
      </c>
      <c r="J385" s="1083"/>
      <c r="K385" s="1083"/>
      <c r="L385" s="1618">
        <f>SUM(L382:L384)</f>
        <v>13654</v>
      </c>
      <c r="M385" s="1083"/>
      <c r="N385" s="1084"/>
    </row>
    <row r="386" spans="1:15" ht="16.5" x14ac:dyDescent="0.3">
      <c r="A386" s="572">
        <v>352</v>
      </c>
      <c r="B386" s="160"/>
      <c r="C386" s="156">
        <v>84</v>
      </c>
      <c r="D386" s="566" t="s">
        <v>413</v>
      </c>
      <c r="E386" s="158">
        <v>0</v>
      </c>
      <c r="F386" s="158">
        <v>3000</v>
      </c>
      <c r="G386" s="159">
        <v>0</v>
      </c>
      <c r="H386" s="583" t="s">
        <v>24</v>
      </c>
      <c r="I386" s="1082"/>
      <c r="J386" s="1255"/>
      <c r="K386" s="1255"/>
      <c r="L386" s="1255"/>
      <c r="M386" s="1255"/>
      <c r="N386" s="1256"/>
    </row>
    <row r="387" spans="1:15" ht="16.5" x14ac:dyDescent="0.3">
      <c r="A387" s="572">
        <v>353</v>
      </c>
      <c r="B387" s="160"/>
      <c r="C387" s="156">
        <v>85</v>
      </c>
      <c r="D387" s="567" t="s">
        <v>63</v>
      </c>
      <c r="E387" s="158">
        <v>4249</v>
      </c>
      <c r="F387" s="158">
        <v>4000</v>
      </c>
      <c r="G387" s="159">
        <v>0</v>
      </c>
      <c r="H387" s="585" t="s">
        <v>24</v>
      </c>
      <c r="I387" s="1260"/>
      <c r="J387" s="1261"/>
      <c r="K387" s="1261"/>
      <c r="L387" s="1261"/>
      <c r="M387" s="1261"/>
      <c r="N387" s="1262"/>
    </row>
    <row r="388" spans="1:15" ht="16.5" x14ac:dyDescent="0.3">
      <c r="A388" s="572">
        <v>354</v>
      </c>
      <c r="B388" s="1087"/>
      <c r="C388" s="1088"/>
      <c r="D388" s="1089" t="s">
        <v>292</v>
      </c>
      <c r="E388" s="1090"/>
      <c r="F388" s="1090"/>
      <c r="G388" s="1091"/>
      <c r="H388" s="1092"/>
      <c r="I388" s="1082">
        <f>SUM(J388:N388)</f>
        <v>2400</v>
      </c>
      <c r="J388" s="1083"/>
      <c r="K388" s="1083"/>
      <c r="L388" s="1083"/>
      <c r="M388" s="1083"/>
      <c r="N388" s="1084">
        <v>2400</v>
      </c>
    </row>
    <row r="389" spans="1:15" ht="16.5" x14ac:dyDescent="0.3">
      <c r="A389" s="572">
        <v>355</v>
      </c>
      <c r="B389" s="1087"/>
      <c r="C389" s="1088"/>
      <c r="D389" s="1499" t="s">
        <v>929</v>
      </c>
      <c r="E389" s="1090"/>
      <c r="F389" s="1090"/>
      <c r="G389" s="1091"/>
      <c r="H389" s="1092"/>
      <c r="I389" s="1611">
        <f t="shared" ref="I389:I390" si="98">SUM(J389:N389)</f>
        <v>0</v>
      </c>
      <c r="J389" s="1083"/>
      <c r="K389" s="1083"/>
      <c r="L389" s="1083"/>
      <c r="M389" s="1083"/>
      <c r="N389" s="1084"/>
    </row>
    <row r="390" spans="1:15" ht="16.5" x14ac:dyDescent="0.3">
      <c r="A390" s="572">
        <v>356</v>
      </c>
      <c r="B390" s="1087"/>
      <c r="C390" s="1088"/>
      <c r="D390" s="641" t="s">
        <v>927</v>
      </c>
      <c r="E390" s="1090"/>
      <c r="F390" s="1090"/>
      <c r="G390" s="1091"/>
      <c r="H390" s="1092"/>
      <c r="I390" s="1615">
        <f t="shared" si="98"/>
        <v>2400</v>
      </c>
      <c r="J390" s="1083"/>
      <c r="K390" s="1083"/>
      <c r="L390" s="1083"/>
      <c r="M390" s="1083"/>
      <c r="N390" s="1622">
        <f>SUM(N388:N389)</f>
        <v>2400</v>
      </c>
    </row>
    <row r="391" spans="1:15" ht="16.5" x14ac:dyDescent="0.3">
      <c r="A391" s="572">
        <v>357</v>
      </c>
      <c r="B391" s="155"/>
      <c r="C391" s="156">
        <v>86</v>
      </c>
      <c r="D391" s="567" t="s">
        <v>95</v>
      </c>
      <c r="E391" s="158">
        <v>989</v>
      </c>
      <c r="F391" s="158">
        <v>1785</v>
      </c>
      <c r="G391" s="159">
        <v>1342</v>
      </c>
      <c r="H391" s="583" t="s">
        <v>23</v>
      </c>
      <c r="I391" s="1082"/>
      <c r="J391" s="1255"/>
      <c r="K391" s="1255"/>
      <c r="L391" s="1255"/>
      <c r="M391" s="1255"/>
      <c r="N391" s="1256"/>
    </row>
    <row r="392" spans="1:15" ht="16.5" x14ac:dyDescent="0.3">
      <c r="A392" s="572">
        <v>358</v>
      </c>
      <c r="B392" s="1087"/>
      <c r="C392" s="1088"/>
      <c r="D392" s="1089" t="s">
        <v>292</v>
      </c>
      <c r="E392" s="1090"/>
      <c r="F392" s="1090"/>
      <c r="G392" s="1091"/>
      <c r="H392" s="1092"/>
      <c r="I392" s="1082">
        <f>SUM(J392:N392)</f>
        <v>2100</v>
      </c>
      <c r="J392" s="1083"/>
      <c r="K392" s="1083">
        <v>100</v>
      </c>
      <c r="L392" s="1083">
        <v>2000</v>
      </c>
      <c r="M392" s="1083"/>
      <c r="N392" s="1084"/>
    </row>
    <row r="393" spans="1:15" ht="16.5" x14ac:dyDescent="0.3">
      <c r="A393" s="572">
        <v>359</v>
      </c>
      <c r="B393" s="1087"/>
      <c r="C393" s="1088"/>
      <c r="D393" s="1499" t="s">
        <v>949</v>
      </c>
      <c r="E393" s="1090"/>
      <c r="F393" s="1090"/>
      <c r="G393" s="1091"/>
      <c r="H393" s="1092"/>
      <c r="I393" s="1611">
        <f t="shared" ref="I393:I395" si="99">SUM(J393:N393)</f>
        <v>0</v>
      </c>
      <c r="J393" s="1617">
        <v>259</v>
      </c>
      <c r="K393" s="1617">
        <v>50</v>
      </c>
      <c r="L393" s="1617">
        <f>-259-50</f>
        <v>-309</v>
      </c>
      <c r="M393" s="1083"/>
      <c r="N393" s="1084"/>
    </row>
    <row r="394" spans="1:15" ht="16.5" x14ac:dyDescent="0.3">
      <c r="A394" s="572">
        <v>360</v>
      </c>
      <c r="B394" s="1087"/>
      <c r="C394" s="1088"/>
      <c r="D394" s="1499" t="s">
        <v>931</v>
      </c>
      <c r="E394" s="1090"/>
      <c r="F394" s="1090"/>
      <c r="G394" s="1091"/>
      <c r="H394" s="1092"/>
      <c r="I394" s="1611">
        <f t="shared" si="99"/>
        <v>178</v>
      </c>
      <c r="J394" s="1617"/>
      <c r="K394" s="1617"/>
      <c r="L394" s="1617">
        <v>178</v>
      </c>
      <c r="M394" s="1083"/>
      <c r="N394" s="1084"/>
    </row>
    <row r="395" spans="1:15" ht="16.5" x14ac:dyDescent="0.3">
      <c r="A395" s="572">
        <v>361</v>
      </c>
      <c r="B395" s="1087"/>
      <c r="C395" s="1088"/>
      <c r="D395" s="641" t="s">
        <v>927</v>
      </c>
      <c r="E395" s="1090"/>
      <c r="F395" s="1090"/>
      <c r="G395" s="1091"/>
      <c r="H395" s="1092"/>
      <c r="I395" s="1615">
        <f t="shared" si="99"/>
        <v>2278</v>
      </c>
      <c r="J395" s="1618">
        <f>SUM(J392:J394)</f>
        <v>259</v>
      </c>
      <c r="K395" s="1618">
        <f t="shared" ref="K395:L395" si="100">SUM(K392:K394)</f>
        <v>150</v>
      </c>
      <c r="L395" s="1618">
        <f t="shared" si="100"/>
        <v>1869</v>
      </c>
      <c r="M395" s="1083"/>
      <c r="N395" s="1084"/>
    </row>
    <row r="396" spans="1:15" ht="16.5" x14ac:dyDescent="0.3">
      <c r="A396" s="572">
        <v>362</v>
      </c>
      <c r="B396" s="160"/>
      <c r="C396" s="156">
        <v>87</v>
      </c>
      <c r="D396" s="566" t="s">
        <v>414</v>
      </c>
      <c r="E396" s="158">
        <v>156</v>
      </c>
      <c r="F396" s="158">
        <v>840</v>
      </c>
      <c r="G396" s="159">
        <v>812</v>
      </c>
      <c r="H396" s="583" t="s">
        <v>24</v>
      </c>
      <c r="I396" s="1082"/>
      <c r="J396" s="1255"/>
      <c r="K396" s="1255"/>
      <c r="L396" s="1255"/>
      <c r="M396" s="1255"/>
      <c r="N396" s="1256"/>
    </row>
    <row r="397" spans="1:15" ht="16.5" x14ac:dyDescent="0.3">
      <c r="A397" s="572">
        <v>363</v>
      </c>
      <c r="B397" s="1087"/>
      <c r="C397" s="1088"/>
      <c r="D397" s="1089" t="s">
        <v>292</v>
      </c>
      <c r="E397" s="1090"/>
      <c r="F397" s="1090"/>
      <c r="G397" s="1091"/>
      <c r="H397" s="1092"/>
      <c r="I397" s="1082">
        <f>SUM(J397:N397)</f>
        <v>1000</v>
      </c>
      <c r="J397" s="1083"/>
      <c r="K397" s="1083"/>
      <c r="L397" s="1083">
        <v>1000</v>
      </c>
      <c r="M397" s="1083"/>
      <c r="N397" s="1084"/>
    </row>
    <row r="398" spans="1:15" s="5" customFormat="1" x14ac:dyDescent="0.35">
      <c r="A398" s="572">
        <v>364</v>
      </c>
      <c r="B398" s="1087"/>
      <c r="C398" s="1088"/>
      <c r="D398" s="1499" t="s">
        <v>926</v>
      </c>
      <c r="E398" s="1090"/>
      <c r="F398" s="1090"/>
      <c r="G398" s="1091"/>
      <c r="H398" s="1092"/>
      <c r="I398" s="1611">
        <f t="shared" ref="I398:I399" si="101">SUM(J398:N398)</f>
        <v>28</v>
      </c>
      <c r="J398" s="1083"/>
      <c r="K398" s="1083"/>
      <c r="L398" s="1620">
        <v>28</v>
      </c>
      <c r="M398" s="1083"/>
      <c r="N398" s="1084"/>
    </row>
    <row r="399" spans="1:15" ht="16.5" x14ac:dyDescent="0.3">
      <c r="A399" s="572">
        <v>365</v>
      </c>
      <c r="B399" s="1087"/>
      <c r="C399" s="1088"/>
      <c r="D399" s="641" t="s">
        <v>927</v>
      </c>
      <c r="E399" s="1090"/>
      <c r="F399" s="1090"/>
      <c r="G399" s="1091"/>
      <c r="H399" s="1092"/>
      <c r="I399" s="1615">
        <f t="shared" si="101"/>
        <v>1028</v>
      </c>
      <c r="J399" s="1083"/>
      <c r="K399" s="1083"/>
      <c r="L399" s="1618">
        <f>SUM(L397:L398)</f>
        <v>1028</v>
      </c>
      <c r="M399" s="1083"/>
      <c r="N399" s="1084"/>
    </row>
    <row r="400" spans="1:15" s="11" customFormat="1" x14ac:dyDescent="0.35">
      <c r="A400" s="572">
        <v>366</v>
      </c>
      <c r="B400" s="155"/>
      <c r="C400" s="156">
        <v>88</v>
      </c>
      <c r="D400" s="567" t="s">
        <v>426</v>
      </c>
      <c r="E400" s="158">
        <v>146828</v>
      </c>
      <c r="F400" s="158">
        <v>136000</v>
      </c>
      <c r="G400" s="159">
        <v>142569</v>
      </c>
      <c r="H400" s="583" t="s">
        <v>23</v>
      </c>
      <c r="I400" s="1082"/>
      <c r="J400" s="1255"/>
      <c r="K400" s="1255"/>
      <c r="L400" s="1255"/>
      <c r="M400" s="1255"/>
      <c r="N400" s="1256"/>
      <c r="O400" s="4"/>
    </row>
    <row r="401" spans="1:15" s="11" customFormat="1" x14ac:dyDescent="0.35">
      <c r="A401" s="572">
        <v>367</v>
      </c>
      <c r="B401" s="1087"/>
      <c r="C401" s="1088"/>
      <c r="D401" s="1089" t="s">
        <v>292</v>
      </c>
      <c r="E401" s="1090"/>
      <c r="F401" s="1090"/>
      <c r="G401" s="1091"/>
      <c r="H401" s="1092"/>
      <c r="I401" s="1082">
        <f>SUM(J401:N401)</f>
        <v>155000</v>
      </c>
      <c r="J401" s="1083"/>
      <c r="K401" s="1083"/>
      <c r="L401" s="1083">
        <v>155000</v>
      </c>
      <c r="M401" s="1083"/>
      <c r="N401" s="1084"/>
      <c r="O401" s="4"/>
    </row>
    <row r="402" spans="1:15" s="11" customFormat="1" x14ac:dyDescent="0.35">
      <c r="A402" s="572">
        <v>368</v>
      </c>
      <c r="B402" s="1087"/>
      <c r="C402" s="1088"/>
      <c r="D402" s="1499" t="s">
        <v>926</v>
      </c>
      <c r="E402" s="1090"/>
      <c r="F402" s="1090"/>
      <c r="G402" s="1091"/>
      <c r="H402" s="1092"/>
      <c r="I402" s="1611">
        <f t="shared" ref="I402:I403" si="102">SUM(J402:N402)</f>
        <v>36559</v>
      </c>
      <c r="J402" s="1083"/>
      <c r="K402" s="1083"/>
      <c r="L402" s="1617">
        <v>36559</v>
      </c>
      <c r="M402" s="1083"/>
      <c r="N402" s="1084"/>
      <c r="O402" s="4"/>
    </row>
    <row r="403" spans="1:15" s="11" customFormat="1" x14ac:dyDescent="0.35">
      <c r="A403" s="572">
        <v>369</v>
      </c>
      <c r="B403" s="1087"/>
      <c r="C403" s="1088"/>
      <c r="D403" s="641" t="s">
        <v>927</v>
      </c>
      <c r="E403" s="1090"/>
      <c r="F403" s="1090"/>
      <c r="G403" s="1091"/>
      <c r="H403" s="1092"/>
      <c r="I403" s="1615">
        <f t="shared" si="102"/>
        <v>191559</v>
      </c>
      <c r="J403" s="1083"/>
      <c r="K403" s="1083"/>
      <c r="L403" s="1618">
        <f>SUM(L401:L402)</f>
        <v>191559</v>
      </c>
      <c r="M403" s="1083"/>
      <c r="N403" s="1084"/>
      <c r="O403" s="4"/>
    </row>
    <row r="404" spans="1:15" s="11" customFormat="1" x14ac:dyDescent="0.35">
      <c r="A404" s="572">
        <v>370</v>
      </c>
      <c r="B404" s="155"/>
      <c r="C404" s="156">
        <v>89</v>
      </c>
      <c r="D404" s="567" t="s">
        <v>86</v>
      </c>
      <c r="E404" s="169">
        <v>49642</v>
      </c>
      <c r="F404" s="169">
        <v>54230</v>
      </c>
      <c r="G404" s="170">
        <v>38369</v>
      </c>
      <c r="H404" s="583" t="s">
        <v>23</v>
      </c>
      <c r="I404" s="1082"/>
      <c r="J404" s="1255"/>
      <c r="K404" s="1255"/>
      <c r="L404" s="1255"/>
      <c r="M404" s="1255"/>
      <c r="N404" s="1256"/>
      <c r="O404" s="4"/>
    </row>
    <row r="405" spans="1:15" s="11" customFormat="1" x14ac:dyDescent="0.35">
      <c r="A405" s="572">
        <v>371</v>
      </c>
      <c r="B405" s="1087"/>
      <c r="C405" s="1088"/>
      <c r="D405" s="1089" t="s">
        <v>292</v>
      </c>
      <c r="E405" s="1090"/>
      <c r="F405" s="1090"/>
      <c r="G405" s="1091"/>
      <c r="H405" s="1092"/>
      <c r="I405" s="1082">
        <f>SUM(J405:N405)</f>
        <v>60000</v>
      </c>
      <c r="J405" s="1083"/>
      <c r="K405" s="1083"/>
      <c r="L405" s="1083">
        <v>60000</v>
      </c>
      <c r="M405" s="1083"/>
      <c r="N405" s="1084"/>
      <c r="O405" s="4"/>
    </row>
    <row r="406" spans="1:15" s="11" customFormat="1" x14ac:dyDescent="0.35">
      <c r="A406" s="572">
        <v>372</v>
      </c>
      <c r="B406" s="1087"/>
      <c r="C406" s="1088"/>
      <c r="D406" s="1499" t="s">
        <v>929</v>
      </c>
      <c r="E406" s="1090"/>
      <c r="F406" s="1090"/>
      <c r="G406" s="1091"/>
      <c r="H406" s="1092"/>
      <c r="I406" s="1611">
        <f t="shared" ref="I406:I407" si="103">SUM(J406:N406)</f>
        <v>0</v>
      </c>
      <c r="J406" s="1083"/>
      <c r="K406" s="1083"/>
      <c r="L406" s="1083"/>
      <c r="M406" s="1083"/>
      <c r="N406" s="1084"/>
      <c r="O406" s="4"/>
    </row>
    <row r="407" spans="1:15" s="11" customFormat="1" x14ac:dyDescent="0.35">
      <c r="A407" s="572">
        <v>373</v>
      </c>
      <c r="B407" s="1087"/>
      <c r="C407" s="1088"/>
      <c r="D407" s="641" t="s">
        <v>927</v>
      </c>
      <c r="E407" s="1090"/>
      <c r="F407" s="1090"/>
      <c r="G407" s="1091"/>
      <c r="H407" s="1092"/>
      <c r="I407" s="1615">
        <f t="shared" si="103"/>
        <v>60000</v>
      </c>
      <c r="J407" s="1083"/>
      <c r="K407" s="1083"/>
      <c r="L407" s="1618">
        <f>SUM(L405:L406)</f>
        <v>60000</v>
      </c>
      <c r="M407" s="1083"/>
      <c r="N407" s="1084"/>
      <c r="O407" s="4"/>
    </row>
    <row r="408" spans="1:15" s="11" customFormat="1" x14ac:dyDescent="0.35">
      <c r="A408" s="572">
        <v>374</v>
      </c>
      <c r="B408" s="155"/>
      <c r="C408" s="156">
        <v>90</v>
      </c>
      <c r="D408" s="567" t="s">
        <v>87</v>
      </c>
      <c r="E408" s="158">
        <v>13153</v>
      </c>
      <c r="F408" s="158">
        <v>1700</v>
      </c>
      <c r="G408" s="159">
        <v>1974</v>
      </c>
      <c r="H408" s="583" t="s">
        <v>23</v>
      </c>
      <c r="I408" s="1082"/>
      <c r="J408" s="1255"/>
      <c r="K408" s="1255"/>
      <c r="L408" s="1255"/>
      <c r="M408" s="1255"/>
      <c r="N408" s="1256"/>
      <c r="O408" s="4"/>
    </row>
    <row r="409" spans="1:15" s="11" customFormat="1" x14ac:dyDescent="0.35">
      <c r="A409" s="572">
        <v>375</v>
      </c>
      <c r="B409" s="1087"/>
      <c r="C409" s="1088"/>
      <c r="D409" s="1089" t="s">
        <v>292</v>
      </c>
      <c r="E409" s="1090"/>
      <c r="F409" s="1090"/>
      <c r="G409" s="1091"/>
      <c r="H409" s="1092"/>
      <c r="I409" s="1082">
        <f>SUM(J409:N409)</f>
        <v>4905</v>
      </c>
      <c r="J409" s="1083"/>
      <c r="K409" s="1083"/>
      <c r="L409" s="1083">
        <v>4905</v>
      </c>
      <c r="M409" s="1083"/>
      <c r="N409" s="1084"/>
      <c r="O409" s="4"/>
    </row>
    <row r="410" spans="1:15" s="11" customFormat="1" x14ac:dyDescent="0.35">
      <c r="A410" s="572">
        <v>376</v>
      </c>
      <c r="B410" s="1087"/>
      <c r="C410" s="1088"/>
      <c r="D410" s="1499" t="s">
        <v>929</v>
      </c>
      <c r="E410" s="1090"/>
      <c r="F410" s="1090"/>
      <c r="G410" s="1091"/>
      <c r="H410" s="1092"/>
      <c r="I410" s="1611">
        <f t="shared" ref="I410:I411" si="104">SUM(J410:N410)</f>
        <v>0</v>
      </c>
      <c r="J410" s="1083"/>
      <c r="K410" s="1083"/>
      <c r="L410" s="1083"/>
      <c r="M410" s="1083"/>
      <c r="N410" s="1084"/>
      <c r="O410" s="4"/>
    </row>
    <row r="411" spans="1:15" s="11" customFormat="1" x14ac:dyDescent="0.35">
      <c r="A411" s="572">
        <v>377</v>
      </c>
      <c r="B411" s="1087"/>
      <c r="C411" s="1088"/>
      <c r="D411" s="641" t="s">
        <v>927</v>
      </c>
      <c r="E411" s="1090"/>
      <c r="F411" s="1090"/>
      <c r="G411" s="1091"/>
      <c r="H411" s="1092"/>
      <c r="I411" s="1615">
        <f t="shared" si="104"/>
        <v>4905</v>
      </c>
      <c r="J411" s="1083"/>
      <c r="K411" s="1083"/>
      <c r="L411" s="1618">
        <f>SUM(L409:L410)</f>
        <v>4905</v>
      </c>
      <c r="M411" s="1083"/>
      <c r="N411" s="1084"/>
      <c r="O411" s="4"/>
    </row>
    <row r="412" spans="1:15" s="11" customFormat="1" x14ac:dyDescent="0.35">
      <c r="A412" s="572">
        <v>378</v>
      </c>
      <c r="B412" s="155"/>
      <c r="C412" s="156">
        <v>91</v>
      </c>
      <c r="D412" s="567" t="s">
        <v>631</v>
      </c>
      <c r="E412" s="158">
        <v>1443096</v>
      </c>
      <c r="F412" s="158">
        <v>881516</v>
      </c>
      <c r="G412" s="159">
        <v>881516</v>
      </c>
      <c r="H412" s="583" t="s">
        <v>23</v>
      </c>
      <c r="I412" s="1082"/>
      <c r="J412" s="1255"/>
      <c r="K412" s="1255"/>
      <c r="L412" s="1255"/>
      <c r="M412" s="1255"/>
      <c r="N412" s="1256"/>
      <c r="O412" s="4"/>
    </row>
    <row r="413" spans="1:15" s="11" customFormat="1" x14ac:dyDescent="0.35">
      <c r="A413" s="572">
        <v>379</v>
      </c>
      <c r="B413" s="1087"/>
      <c r="C413" s="1088"/>
      <c r="D413" s="1089" t="s">
        <v>292</v>
      </c>
      <c r="E413" s="1090"/>
      <c r="F413" s="1090"/>
      <c r="G413" s="1091"/>
      <c r="H413" s="1092"/>
      <c r="I413" s="1082">
        <f>SUM(J413:N413)</f>
        <v>469480</v>
      </c>
      <c r="J413" s="1083"/>
      <c r="K413" s="1083"/>
      <c r="L413" s="1083"/>
      <c r="M413" s="1083"/>
      <c r="N413" s="1084">
        <v>469480</v>
      </c>
      <c r="O413" s="4"/>
    </row>
    <row r="414" spans="1:15" s="11" customFormat="1" x14ac:dyDescent="0.35">
      <c r="A414" s="572">
        <v>380</v>
      </c>
      <c r="B414" s="1087"/>
      <c r="C414" s="1088"/>
      <c r="D414" s="1499" t="s">
        <v>929</v>
      </c>
      <c r="E414" s="1090"/>
      <c r="F414" s="1090"/>
      <c r="G414" s="1091"/>
      <c r="H414" s="1092"/>
      <c r="I414" s="1611">
        <f t="shared" ref="I414:I415" si="105">SUM(J414:N414)</f>
        <v>0</v>
      </c>
      <c r="J414" s="1083"/>
      <c r="K414" s="1083"/>
      <c r="L414" s="1083"/>
      <c r="M414" s="1083"/>
      <c r="N414" s="1084"/>
      <c r="O414" s="4"/>
    </row>
    <row r="415" spans="1:15" s="11" customFormat="1" x14ac:dyDescent="0.35">
      <c r="A415" s="572">
        <v>381</v>
      </c>
      <c r="B415" s="1087"/>
      <c r="C415" s="1088"/>
      <c r="D415" s="641" t="s">
        <v>927</v>
      </c>
      <c r="E415" s="1090"/>
      <c r="F415" s="1090"/>
      <c r="G415" s="1091"/>
      <c r="H415" s="1092"/>
      <c r="I415" s="1615">
        <f t="shared" si="105"/>
        <v>469480</v>
      </c>
      <c r="J415" s="1083"/>
      <c r="K415" s="1083"/>
      <c r="L415" s="1083"/>
      <c r="M415" s="1083"/>
      <c r="N415" s="1622">
        <f>SUM(N413:N414)</f>
        <v>469480</v>
      </c>
      <c r="O415" s="4"/>
    </row>
    <row r="416" spans="1:15" s="11" customFormat="1" x14ac:dyDescent="0.35">
      <c r="A416" s="572">
        <v>382</v>
      </c>
      <c r="B416" s="160"/>
      <c r="C416" s="161">
        <v>92</v>
      </c>
      <c r="D416" s="567" t="s">
        <v>577</v>
      </c>
      <c r="E416" s="158"/>
      <c r="F416" s="158">
        <v>153947</v>
      </c>
      <c r="G416" s="159">
        <v>153947</v>
      </c>
      <c r="H416" s="583" t="s">
        <v>23</v>
      </c>
      <c r="I416" s="1082"/>
      <c r="J416" s="1255"/>
      <c r="K416" s="1255"/>
      <c r="L416" s="1255"/>
      <c r="M416" s="1255"/>
      <c r="N416" s="1256"/>
      <c r="O416" s="4"/>
    </row>
    <row r="417" spans="1:15" s="11" customFormat="1" x14ac:dyDescent="0.35">
      <c r="A417" s="572">
        <v>383</v>
      </c>
      <c r="B417" s="155"/>
      <c r="C417" s="156">
        <v>93</v>
      </c>
      <c r="D417" s="567" t="s">
        <v>447</v>
      </c>
      <c r="E417" s="158">
        <v>24770</v>
      </c>
      <c r="F417" s="158">
        <v>56914</v>
      </c>
      <c r="G417" s="159">
        <v>41158</v>
      </c>
      <c r="H417" s="583" t="s">
        <v>24</v>
      </c>
      <c r="I417" s="1082"/>
      <c r="J417" s="1255"/>
      <c r="K417" s="1255"/>
      <c r="L417" s="1255"/>
      <c r="M417" s="1255"/>
      <c r="N417" s="1256"/>
      <c r="O417" s="4"/>
    </row>
    <row r="418" spans="1:15" s="11" customFormat="1" x14ac:dyDescent="0.35">
      <c r="A418" s="572">
        <v>384</v>
      </c>
      <c r="B418" s="1087"/>
      <c r="C418" s="1088"/>
      <c r="D418" s="1089" t="s">
        <v>292</v>
      </c>
      <c r="E418" s="1090"/>
      <c r="F418" s="1090"/>
      <c r="G418" s="1091"/>
      <c r="H418" s="1092"/>
      <c r="I418" s="1082">
        <f>SUM(J418:N418)</f>
        <v>48761</v>
      </c>
      <c r="J418" s="1083"/>
      <c r="K418" s="1083"/>
      <c r="L418" s="1083">
        <v>48761</v>
      </c>
      <c r="M418" s="1083"/>
      <c r="N418" s="1084"/>
      <c r="O418" s="4"/>
    </row>
    <row r="419" spans="1:15" s="11" customFormat="1" x14ac:dyDescent="0.35">
      <c r="A419" s="572">
        <v>385</v>
      </c>
      <c r="B419" s="1087"/>
      <c r="C419" s="1088"/>
      <c r="D419" s="1499" t="s">
        <v>929</v>
      </c>
      <c r="E419" s="1090"/>
      <c r="F419" s="1090"/>
      <c r="G419" s="1091"/>
      <c r="H419" s="1092"/>
      <c r="I419" s="1611">
        <f t="shared" ref="I419:I420" si="106">SUM(J419:N419)</f>
        <v>0</v>
      </c>
      <c r="J419" s="1083"/>
      <c r="K419" s="1083"/>
      <c r="L419" s="1083"/>
      <c r="M419" s="1083"/>
      <c r="N419" s="1084"/>
      <c r="O419" s="4"/>
    </row>
    <row r="420" spans="1:15" s="11" customFormat="1" x14ac:dyDescent="0.35">
      <c r="A420" s="572">
        <v>386</v>
      </c>
      <c r="B420" s="1087"/>
      <c r="C420" s="1088"/>
      <c r="D420" s="641" t="s">
        <v>927</v>
      </c>
      <c r="E420" s="1090"/>
      <c r="F420" s="1090"/>
      <c r="G420" s="1091"/>
      <c r="H420" s="1092"/>
      <c r="I420" s="1615">
        <f t="shared" si="106"/>
        <v>48761</v>
      </c>
      <c r="J420" s="1083"/>
      <c r="K420" s="1083"/>
      <c r="L420" s="1618">
        <f>SUM(L418:L419)</f>
        <v>48761</v>
      </c>
      <c r="M420" s="1083"/>
      <c r="N420" s="1084"/>
      <c r="O420" s="4"/>
    </row>
    <row r="421" spans="1:15" s="11" customFormat="1" x14ac:dyDescent="0.35">
      <c r="A421" s="572">
        <v>387</v>
      </c>
      <c r="B421" s="155"/>
      <c r="C421" s="156"/>
      <c r="D421" s="360" t="s">
        <v>287</v>
      </c>
      <c r="E421" s="158"/>
      <c r="F421" s="158"/>
      <c r="G421" s="159"/>
      <c r="H421" s="583"/>
      <c r="I421" s="1260"/>
      <c r="J421" s="1261"/>
      <c r="K421" s="1261"/>
      <c r="L421" s="1261"/>
      <c r="M421" s="1261"/>
      <c r="N421" s="1262"/>
      <c r="O421" s="4"/>
    </row>
    <row r="422" spans="1:15" s="11" customFormat="1" x14ac:dyDescent="0.35">
      <c r="A422" s="572">
        <v>388</v>
      </c>
      <c r="B422" s="155"/>
      <c r="C422" s="156">
        <v>94</v>
      </c>
      <c r="D422" s="176" t="s">
        <v>8</v>
      </c>
      <c r="E422" s="158">
        <v>285738</v>
      </c>
      <c r="F422" s="158">
        <v>277100</v>
      </c>
      <c r="G422" s="159">
        <v>278486</v>
      </c>
      <c r="H422" s="583" t="s">
        <v>23</v>
      </c>
      <c r="I422" s="1082"/>
      <c r="J422" s="1255"/>
      <c r="K422" s="1255"/>
      <c r="L422" s="1255"/>
      <c r="M422" s="1255"/>
      <c r="N422" s="1256"/>
      <c r="O422" s="4"/>
    </row>
    <row r="423" spans="1:15" s="11" customFormat="1" x14ac:dyDescent="0.35">
      <c r="A423" s="572">
        <v>389</v>
      </c>
      <c r="B423" s="1087"/>
      <c r="C423" s="1088"/>
      <c r="D423" s="1114" t="s">
        <v>292</v>
      </c>
      <c r="E423" s="1090"/>
      <c r="F423" s="1090"/>
      <c r="G423" s="1091"/>
      <c r="H423" s="1092"/>
      <c r="I423" s="1082">
        <f>SUM(J423:N423)</f>
        <v>121336</v>
      </c>
      <c r="J423" s="1083"/>
      <c r="K423" s="1083"/>
      <c r="L423" s="1083">
        <v>5000</v>
      </c>
      <c r="M423" s="1083"/>
      <c r="N423" s="1084">
        <v>116336</v>
      </c>
      <c r="O423" s="4"/>
    </row>
    <row r="424" spans="1:15" s="11" customFormat="1" x14ac:dyDescent="0.35">
      <c r="A424" s="572">
        <v>390</v>
      </c>
      <c r="B424" s="1087"/>
      <c r="C424" s="1088"/>
      <c r="D424" s="1641" t="s">
        <v>929</v>
      </c>
      <c r="E424" s="1090"/>
      <c r="F424" s="1090"/>
      <c r="G424" s="1091"/>
      <c r="H424" s="1092"/>
      <c r="I424" s="1611">
        <f t="shared" ref="I424:I425" si="107">SUM(J424:N424)</f>
        <v>0</v>
      </c>
      <c r="J424" s="1083"/>
      <c r="K424" s="1083"/>
      <c r="L424" s="1083"/>
      <c r="M424" s="1083"/>
      <c r="N424" s="1084"/>
      <c r="O424" s="4"/>
    </row>
    <row r="425" spans="1:15" s="11" customFormat="1" x14ac:dyDescent="0.35">
      <c r="A425" s="572">
        <v>391</v>
      </c>
      <c r="B425" s="1087"/>
      <c r="C425" s="1088"/>
      <c r="D425" s="1642" t="s">
        <v>927</v>
      </c>
      <c r="E425" s="1090"/>
      <c r="F425" s="1090"/>
      <c r="G425" s="1091"/>
      <c r="H425" s="1092"/>
      <c r="I425" s="1615">
        <f t="shared" si="107"/>
        <v>121336</v>
      </c>
      <c r="J425" s="1083"/>
      <c r="K425" s="1083"/>
      <c r="L425" s="1618">
        <f>SUM(L423:L424)</f>
        <v>5000</v>
      </c>
      <c r="M425" s="1618"/>
      <c r="N425" s="1622">
        <f t="shared" ref="N425" si="108">SUM(N423:N424)</f>
        <v>116336</v>
      </c>
      <c r="O425" s="4"/>
    </row>
    <row r="426" spans="1:15" s="11" customFormat="1" x14ac:dyDescent="0.35">
      <c r="A426" s="572">
        <v>392</v>
      </c>
      <c r="B426" s="155"/>
      <c r="C426" s="156">
        <v>95</v>
      </c>
      <c r="D426" s="176" t="s">
        <v>286</v>
      </c>
      <c r="E426" s="158">
        <v>54053</v>
      </c>
      <c r="F426" s="158">
        <v>45900</v>
      </c>
      <c r="G426" s="159">
        <v>45900</v>
      </c>
      <c r="H426" s="583" t="s">
        <v>23</v>
      </c>
      <c r="I426" s="1082"/>
      <c r="J426" s="1255"/>
      <c r="K426" s="1255"/>
      <c r="L426" s="1255"/>
      <c r="M426" s="1255"/>
      <c r="N426" s="1256"/>
      <c r="O426" s="4"/>
    </row>
    <row r="427" spans="1:15" s="11" customFormat="1" x14ac:dyDescent="0.35">
      <c r="A427" s="572">
        <v>393</v>
      </c>
      <c r="B427" s="1087"/>
      <c r="C427" s="1088"/>
      <c r="D427" s="1114" t="s">
        <v>292</v>
      </c>
      <c r="E427" s="1090"/>
      <c r="F427" s="1090"/>
      <c r="G427" s="1091"/>
      <c r="H427" s="1092"/>
      <c r="I427" s="1082">
        <f>SUM(J427:N427)</f>
        <v>31600</v>
      </c>
      <c r="J427" s="1083"/>
      <c r="K427" s="1083"/>
      <c r="L427" s="1083"/>
      <c r="M427" s="1083"/>
      <c r="N427" s="1084">
        <v>31600</v>
      </c>
      <c r="O427" s="4"/>
    </row>
    <row r="428" spans="1:15" s="11" customFormat="1" x14ac:dyDescent="0.35">
      <c r="A428" s="572">
        <v>394</v>
      </c>
      <c r="B428" s="1087"/>
      <c r="C428" s="1088"/>
      <c r="D428" s="1641" t="s">
        <v>929</v>
      </c>
      <c r="E428" s="1090"/>
      <c r="F428" s="1090"/>
      <c r="G428" s="1091"/>
      <c r="H428" s="1092"/>
      <c r="I428" s="1611">
        <f t="shared" ref="I428:I429" si="109">SUM(J428:N428)</f>
        <v>0</v>
      </c>
      <c r="J428" s="1083"/>
      <c r="K428" s="1083"/>
      <c r="L428" s="1083"/>
      <c r="M428" s="1083"/>
      <c r="N428" s="1084"/>
      <c r="O428" s="4"/>
    </row>
    <row r="429" spans="1:15" s="11" customFormat="1" x14ac:dyDescent="0.35">
      <c r="A429" s="572">
        <v>395</v>
      </c>
      <c r="B429" s="1087"/>
      <c r="C429" s="1088"/>
      <c r="D429" s="1642" t="s">
        <v>927</v>
      </c>
      <c r="E429" s="1090"/>
      <c r="F429" s="1090"/>
      <c r="G429" s="1091"/>
      <c r="H429" s="1092"/>
      <c r="I429" s="1615">
        <f t="shared" si="109"/>
        <v>31600</v>
      </c>
      <c r="J429" s="1083"/>
      <c r="K429" s="1083"/>
      <c r="L429" s="1083"/>
      <c r="M429" s="1083"/>
      <c r="N429" s="1622">
        <f>SUM(N427:N428)</f>
        <v>31600</v>
      </c>
      <c r="O429" s="4"/>
    </row>
    <row r="430" spans="1:15" s="11" customFormat="1" x14ac:dyDescent="0.35">
      <c r="A430" s="572">
        <v>396</v>
      </c>
      <c r="B430" s="155"/>
      <c r="C430" s="156">
        <v>96</v>
      </c>
      <c r="D430" s="176" t="s">
        <v>9</v>
      </c>
      <c r="E430" s="158">
        <v>298908</v>
      </c>
      <c r="F430" s="158">
        <v>259250</v>
      </c>
      <c r="G430" s="159">
        <v>259250</v>
      </c>
      <c r="H430" s="583" t="s">
        <v>23</v>
      </c>
      <c r="I430" s="1082"/>
      <c r="J430" s="1255"/>
      <c r="K430" s="1255"/>
      <c r="L430" s="1255"/>
      <c r="M430" s="1255"/>
      <c r="N430" s="1256"/>
      <c r="O430" s="4"/>
    </row>
    <row r="431" spans="1:15" s="11" customFormat="1" x14ac:dyDescent="0.35">
      <c r="A431" s="572">
        <v>397</v>
      </c>
      <c r="B431" s="1087"/>
      <c r="C431" s="1088"/>
      <c r="D431" s="1114" t="s">
        <v>292</v>
      </c>
      <c r="E431" s="1090"/>
      <c r="F431" s="1090"/>
      <c r="G431" s="1091"/>
      <c r="H431" s="1092"/>
      <c r="I431" s="1082">
        <f>SUM(J431:N431)</f>
        <v>231700</v>
      </c>
      <c r="J431" s="1083"/>
      <c r="K431" s="1083"/>
      <c r="L431" s="1083"/>
      <c r="M431" s="1083"/>
      <c r="N431" s="1084">
        <v>231700</v>
      </c>
      <c r="O431" s="4"/>
    </row>
    <row r="432" spans="1:15" s="11" customFormat="1" x14ac:dyDescent="0.35">
      <c r="A432" s="572">
        <v>398</v>
      </c>
      <c r="B432" s="1087"/>
      <c r="C432" s="1088"/>
      <c r="D432" s="1641" t="s">
        <v>929</v>
      </c>
      <c r="E432" s="1090"/>
      <c r="F432" s="1090"/>
      <c r="G432" s="1091"/>
      <c r="H432" s="1092"/>
      <c r="I432" s="1611">
        <f t="shared" ref="I432:I433" si="110">SUM(J432:N432)</f>
        <v>0</v>
      </c>
      <c r="J432" s="1083"/>
      <c r="K432" s="1083"/>
      <c r="L432" s="1083"/>
      <c r="M432" s="1083"/>
      <c r="N432" s="1084"/>
      <c r="O432" s="4"/>
    </row>
    <row r="433" spans="1:15" s="11" customFormat="1" x14ac:dyDescent="0.35">
      <c r="A433" s="572">
        <v>399</v>
      </c>
      <c r="B433" s="1087"/>
      <c r="C433" s="1088"/>
      <c r="D433" s="1642" t="s">
        <v>927</v>
      </c>
      <c r="E433" s="1090"/>
      <c r="F433" s="1090"/>
      <c r="G433" s="1091"/>
      <c r="H433" s="1092"/>
      <c r="I433" s="1615">
        <f t="shared" si="110"/>
        <v>231700</v>
      </c>
      <c r="J433" s="1083"/>
      <c r="K433" s="1083"/>
      <c r="L433" s="1083"/>
      <c r="M433" s="1083"/>
      <c r="N433" s="1622">
        <f>SUM(N431:N432)</f>
        <v>231700</v>
      </c>
      <c r="O433" s="4"/>
    </row>
    <row r="434" spans="1:15" s="11" customFormat="1" x14ac:dyDescent="0.35">
      <c r="A434" s="572">
        <v>400</v>
      </c>
      <c r="B434" s="155"/>
      <c r="C434" s="156">
        <v>97</v>
      </c>
      <c r="D434" s="176" t="s">
        <v>7</v>
      </c>
      <c r="E434" s="158">
        <v>43000</v>
      </c>
      <c r="F434" s="158">
        <v>36550</v>
      </c>
      <c r="G434" s="159">
        <v>36550</v>
      </c>
      <c r="H434" s="583" t="s">
        <v>23</v>
      </c>
      <c r="I434" s="1082"/>
      <c r="J434" s="1255"/>
      <c r="K434" s="1255"/>
      <c r="L434" s="1255"/>
      <c r="M434" s="1255"/>
      <c r="N434" s="1256"/>
      <c r="O434" s="4"/>
    </row>
    <row r="435" spans="1:15" s="11" customFormat="1" x14ac:dyDescent="0.35">
      <c r="A435" s="572">
        <v>401</v>
      </c>
      <c r="B435" s="1087"/>
      <c r="C435" s="1088"/>
      <c r="D435" s="1114" t="s">
        <v>292</v>
      </c>
      <c r="E435" s="1090"/>
      <c r="F435" s="1090"/>
      <c r="G435" s="1091"/>
      <c r="H435" s="1092"/>
      <c r="I435" s="1082">
        <f>SUM(J435:N435)</f>
        <v>37700</v>
      </c>
      <c r="J435" s="1083"/>
      <c r="K435" s="1083"/>
      <c r="L435" s="1083"/>
      <c r="M435" s="1083"/>
      <c r="N435" s="1084">
        <v>37700</v>
      </c>
      <c r="O435" s="4"/>
    </row>
    <row r="436" spans="1:15" s="11" customFormat="1" x14ac:dyDescent="0.35">
      <c r="A436" s="572">
        <v>402</v>
      </c>
      <c r="B436" s="1087"/>
      <c r="C436" s="1088"/>
      <c r="D436" s="1641" t="s">
        <v>929</v>
      </c>
      <c r="E436" s="1090"/>
      <c r="F436" s="1090"/>
      <c r="G436" s="1091"/>
      <c r="H436" s="1092"/>
      <c r="I436" s="1611">
        <f t="shared" ref="I436:I437" si="111">SUM(J436:N436)</f>
        <v>0</v>
      </c>
      <c r="J436" s="1083"/>
      <c r="K436" s="1083"/>
      <c r="L436" s="1083"/>
      <c r="M436" s="1083"/>
      <c r="N436" s="1084"/>
      <c r="O436" s="4"/>
    </row>
    <row r="437" spans="1:15" s="11" customFormat="1" x14ac:dyDescent="0.35">
      <c r="A437" s="572">
        <v>403</v>
      </c>
      <c r="B437" s="1087"/>
      <c r="C437" s="1088"/>
      <c r="D437" s="1642" t="s">
        <v>927</v>
      </c>
      <c r="E437" s="1090"/>
      <c r="F437" s="1090"/>
      <c r="G437" s="1091"/>
      <c r="H437" s="1092"/>
      <c r="I437" s="1615">
        <f t="shared" si="111"/>
        <v>37700</v>
      </c>
      <c r="J437" s="1083"/>
      <c r="K437" s="1083"/>
      <c r="L437" s="1083"/>
      <c r="M437" s="1083"/>
      <c r="N437" s="1622">
        <f>SUM(N435:N436)</f>
        <v>37700</v>
      </c>
      <c r="O437" s="4"/>
    </row>
    <row r="438" spans="1:15" s="11" customFormat="1" x14ac:dyDescent="0.35">
      <c r="A438" s="572">
        <v>404</v>
      </c>
      <c r="B438" s="155"/>
      <c r="C438" s="156"/>
      <c r="D438" s="360" t="s">
        <v>288</v>
      </c>
      <c r="E438" s="158"/>
      <c r="F438" s="158"/>
      <c r="G438" s="159"/>
      <c r="H438" s="583"/>
      <c r="I438" s="1260"/>
      <c r="J438" s="1261"/>
      <c r="K438" s="1261"/>
      <c r="L438" s="1261"/>
      <c r="M438" s="1261"/>
      <c r="N438" s="1262"/>
      <c r="O438" s="4"/>
    </row>
    <row r="439" spans="1:15" s="11" customFormat="1" x14ac:dyDescent="0.35">
      <c r="A439" s="572">
        <v>405</v>
      </c>
      <c r="B439" s="155"/>
      <c r="C439" s="156">
        <v>98</v>
      </c>
      <c r="D439" s="176" t="s">
        <v>578</v>
      </c>
      <c r="E439" s="158">
        <v>35000</v>
      </c>
      <c r="F439" s="158">
        <v>42500</v>
      </c>
      <c r="G439" s="159">
        <v>42500</v>
      </c>
      <c r="H439" s="583" t="s">
        <v>23</v>
      </c>
      <c r="I439" s="1082"/>
      <c r="J439" s="1255"/>
      <c r="K439" s="1255"/>
      <c r="L439" s="1255"/>
      <c r="M439" s="1255"/>
      <c r="N439" s="1256"/>
      <c r="O439" s="4"/>
    </row>
    <row r="440" spans="1:15" s="11" customFormat="1" x14ac:dyDescent="0.35">
      <c r="A440" s="572">
        <v>406</v>
      </c>
      <c r="B440" s="155"/>
      <c r="C440" s="156">
        <v>99</v>
      </c>
      <c r="D440" s="176" t="s">
        <v>289</v>
      </c>
      <c r="E440" s="158">
        <v>180000</v>
      </c>
      <c r="F440" s="158">
        <v>169738</v>
      </c>
      <c r="G440" s="159">
        <v>169738</v>
      </c>
      <c r="H440" s="583" t="s">
        <v>23</v>
      </c>
      <c r="I440" s="1082"/>
      <c r="J440" s="1255"/>
      <c r="K440" s="1255"/>
      <c r="L440" s="1255"/>
      <c r="M440" s="1255"/>
      <c r="N440" s="1256"/>
      <c r="O440" s="4"/>
    </row>
    <row r="441" spans="1:15" s="11" customFormat="1" x14ac:dyDescent="0.35">
      <c r="A441" s="572">
        <v>407</v>
      </c>
      <c r="B441" s="160"/>
      <c r="C441" s="161">
        <v>100</v>
      </c>
      <c r="D441" s="176" t="s">
        <v>579</v>
      </c>
      <c r="E441" s="158">
        <v>123387</v>
      </c>
      <c r="F441" s="158">
        <v>130000</v>
      </c>
      <c r="G441" s="159">
        <v>127855</v>
      </c>
      <c r="H441" s="583" t="s">
        <v>23</v>
      </c>
      <c r="I441" s="1082"/>
      <c r="J441" s="1255"/>
      <c r="K441" s="1255"/>
      <c r="L441" s="1255"/>
      <c r="M441" s="1255"/>
      <c r="N441" s="1256"/>
      <c r="O441" s="4"/>
    </row>
    <row r="442" spans="1:15" s="11" customFormat="1" x14ac:dyDescent="0.35">
      <c r="A442" s="572">
        <v>408</v>
      </c>
      <c r="B442" s="1087"/>
      <c r="C442" s="1088"/>
      <c r="D442" s="1114" t="s">
        <v>292</v>
      </c>
      <c r="E442" s="1090"/>
      <c r="F442" s="1090"/>
      <c r="G442" s="1091"/>
      <c r="H442" s="1092"/>
      <c r="I442" s="1082">
        <f>SUM(J442:N442)</f>
        <v>147218</v>
      </c>
      <c r="J442" s="1083"/>
      <c r="K442" s="1083"/>
      <c r="L442" s="1083">
        <v>147218</v>
      </c>
      <c r="M442" s="1083"/>
      <c r="N442" s="1084"/>
      <c r="O442" s="4"/>
    </row>
    <row r="443" spans="1:15" s="11" customFormat="1" x14ac:dyDescent="0.35">
      <c r="A443" s="572">
        <v>409</v>
      </c>
      <c r="B443" s="1087"/>
      <c r="C443" s="1088"/>
      <c r="D443" s="1641" t="s">
        <v>926</v>
      </c>
      <c r="E443" s="1090"/>
      <c r="F443" s="1090"/>
      <c r="G443" s="1091"/>
      <c r="H443" s="1092"/>
      <c r="I443" s="1611">
        <f t="shared" ref="I443:I444" si="112">SUM(J443:N443)</f>
        <v>21258</v>
      </c>
      <c r="J443" s="1083"/>
      <c r="K443" s="1083"/>
      <c r="L443" s="1617">
        <v>21258</v>
      </c>
      <c r="M443" s="1083"/>
      <c r="N443" s="1084"/>
      <c r="O443" s="4"/>
    </row>
    <row r="444" spans="1:15" s="11" customFormat="1" x14ac:dyDescent="0.35">
      <c r="A444" s="572">
        <v>410</v>
      </c>
      <c r="B444" s="1087"/>
      <c r="C444" s="1088"/>
      <c r="D444" s="1642" t="s">
        <v>927</v>
      </c>
      <c r="E444" s="1090"/>
      <c r="F444" s="1090"/>
      <c r="G444" s="1091"/>
      <c r="H444" s="1092"/>
      <c r="I444" s="1615">
        <f t="shared" si="112"/>
        <v>168476</v>
      </c>
      <c r="J444" s="1083"/>
      <c r="K444" s="1083"/>
      <c r="L444" s="1618">
        <f>SUM(L442:L443)</f>
        <v>168476</v>
      </c>
      <c r="M444" s="1083"/>
      <c r="N444" s="1084"/>
      <c r="O444" s="4"/>
    </row>
    <row r="445" spans="1:15" s="11" customFormat="1" x14ac:dyDescent="0.35">
      <c r="A445" s="572">
        <v>411</v>
      </c>
      <c r="B445" s="155"/>
      <c r="C445" s="156">
        <v>101</v>
      </c>
      <c r="D445" s="567" t="s">
        <v>96</v>
      </c>
      <c r="E445" s="158">
        <v>20000</v>
      </c>
      <c r="F445" s="158">
        <v>17000</v>
      </c>
      <c r="G445" s="159">
        <v>19000</v>
      </c>
      <c r="H445" s="583" t="s">
        <v>23</v>
      </c>
      <c r="I445" s="1082"/>
      <c r="J445" s="1255"/>
      <c r="K445" s="1255"/>
      <c r="L445" s="1255"/>
      <c r="M445" s="1255"/>
      <c r="N445" s="1256"/>
      <c r="O445" s="4"/>
    </row>
    <row r="446" spans="1:15" s="11" customFormat="1" x14ac:dyDescent="0.35">
      <c r="A446" s="572">
        <v>412</v>
      </c>
      <c r="B446" s="1087"/>
      <c r="C446" s="1088"/>
      <c r="D446" s="1089" t="s">
        <v>292</v>
      </c>
      <c r="E446" s="1090"/>
      <c r="F446" s="1090"/>
      <c r="G446" s="1091"/>
      <c r="H446" s="1092"/>
      <c r="I446" s="1082">
        <f>SUM(J446:N446)</f>
        <v>20000</v>
      </c>
      <c r="J446" s="1083"/>
      <c r="K446" s="1083"/>
      <c r="L446" s="1083">
        <v>20000</v>
      </c>
      <c r="M446" s="1083"/>
      <c r="N446" s="1084"/>
      <c r="O446" s="4"/>
    </row>
    <row r="447" spans="1:15" s="11" customFormat="1" x14ac:dyDescent="0.35">
      <c r="A447" s="572">
        <v>413</v>
      </c>
      <c r="B447" s="1087"/>
      <c r="C447" s="1088"/>
      <c r="D447" s="1499" t="s">
        <v>926</v>
      </c>
      <c r="E447" s="1090"/>
      <c r="F447" s="1090"/>
      <c r="G447" s="1091"/>
      <c r="H447" s="1092"/>
      <c r="I447" s="1611">
        <f t="shared" ref="I447:I448" si="113">SUM(J447:N447)</f>
        <v>5000</v>
      </c>
      <c r="J447" s="1083"/>
      <c r="K447" s="1083"/>
      <c r="L447" s="1617">
        <v>5000</v>
      </c>
      <c r="M447" s="1083"/>
      <c r="N447" s="1084"/>
      <c r="O447" s="4"/>
    </row>
    <row r="448" spans="1:15" s="11" customFormat="1" x14ac:dyDescent="0.35">
      <c r="A448" s="572">
        <v>414</v>
      </c>
      <c r="B448" s="1087"/>
      <c r="C448" s="1088"/>
      <c r="D448" s="641" t="s">
        <v>927</v>
      </c>
      <c r="E448" s="1090"/>
      <c r="F448" s="1090"/>
      <c r="G448" s="1091"/>
      <c r="H448" s="1092"/>
      <c r="I448" s="1615">
        <f t="shared" si="113"/>
        <v>25000</v>
      </c>
      <c r="J448" s="1083"/>
      <c r="K448" s="1083"/>
      <c r="L448" s="1618">
        <f>SUM(L446:L447)</f>
        <v>25000</v>
      </c>
      <c r="M448" s="1083"/>
      <c r="N448" s="1084"/>
      <c r="O448" s="4"/>
    </row>
    <row r="449" spans="1:15" s="11" customFormat="1" x14ac:dyDescent="0.35">
      <c r="A449" s="572">
        <v>415</v>
      </c>
      <c r="B449" s="155"/>
      <c r="C449" s="156">
        <v>102</v>
      </c>
      <c r="D449" s="567" t="s">
        <v>97</v>
      </c>
      <c r="E449" s="158">
        <v>1000</v>
      </c>
      <c r="F449" s="158">
        <v>1020</v>
      </c>
      <c r="G449" s="159">
        <v>1020</v>
      </c>
      <c r="H449" s="583" t="s">
        <v>23</v>
      </c>
      <c r="I449" s="1082"/>
      <c r="J449" s="1255"/>
      <c r="K449" s="1255"/>
      <c r="L449" s="1255"/>
      <c r="M449" s="1255"/>
      <c r="N449" s="1256"/>
      <c r="O449" s="4"/>
    </row>
    <row r="450" spans="1:15" s="11" customFormat="1" x14ac:dyDescent="0.35">
      <c r="A450" s="572">
        <v>416</v>
      </c>
      <c r="B450" s="1087"/>
      <c r="C450" s="1088"/>
      <c r="D450" s="1089" t="s">
        <v>292</v>
      </c>
      <c r="E450" s="1090"/>
      <c r="F450" s="1090"/>
      <c r="G450" s="1091"/>
      <c r="H450" s="1092"/>
      <c r="I450" s="1082">
        <f>SUM(J450:N450)</f>
        <v>1100</v>
      </c>
      <c r="J450" s="1083"/>
      <c r="K450" s="1083"/>
      <c r="L450" s="1083">
        <v>1100</v>
      </c>
      <c r="M450" s="1083"/>
      <c r="N450" s="1084"/>
      <c r="O450" s="4"/>
    </row>
    <row r="451" spans="1:15" s="11" customFormat="1" x14ac:dyDescent="0.35">
      <c r="A451" s="572">
        <v>417</v>
      </c>
      <c r="B451" s="1087"/>
      <c r="C451" s="1088"/>
      <c r="D451" s="1499" t="s">
        <v>929</v>
      </c>
      <c r="E451" s="1090"/>
      <c r="F451" s="1090"/>
      <c r="G451" s="1091"/>
      <c r="H451" s="1092"/>
      <c r="I451" s="1611">
        <f t="shared" ref="I451:I452" si="114">SUM(J451:N451)</f>
        <v>0</v>
      </c>
      <c r="J451" s="1083"/>
      <c r="K451" s="1083"/>
      <c r="L451" s="1083"/>
      <c r="M451" s="1083"/>
      <c r="N451" s="1084"/>
      <c r="O451" s="4"/>
    </row>
    <row r="452" spans="1:15" s="11" customFormat="1" x14ac:dyDescent="0.35">
      <c r="A452" s="572">
        <v>418</v>
      </c>
      <c r="B452" s="1087"/>
      <c r="C452" s="1088"/>
      <c r="D452" s="641" t="s">
        <v>927</v>
      </c>
      <c r="E452" s="1090"/>
      <c r="F452" s="1090"/>
      <c r="G452" s="1091"/>
      <c r="H452" s="1092"/>
      <c r="I452" s="1615">
        <f t="shared" si="114"/>
        <v>1100</v>
      </c>
      <c r="J452" s="1083"/>
      <c r="K452" s="1083"/>
      <c r="L452" s="1618">
        <f>SUM(L450:L451)</f>
        <v>1100</v>
      </c>
      <c r="M452" s="1083"/>
      <c r="N452" s="1084"/>
      <c r="O452" s="4"/>
    </row>
    <row r="453" spans="1:15" ht="16.5" x14ac:dyDescent="0.3">
      <c r="A453" s="572">
        <v>419</v>
      </c>
      <c r="B453" s="155"/>
      <c r="C453" s="156">
        <v>103</v>
      </c>
      <c r="D453" s="567" t="s">
        <v>98</v>
      </c>
      <c r="E453" s="158">
        <v>2889</v>
      </c>
      <c r="F453" s="158">
        <v>4250</v>
      </c>
      <c r="G453" s="159">
        <v>1405</v>
      </c>
      <c r="H453" s="583" t="s">
        <v>23</v>
      </c>
      <c r="I453" s="1082"/>
      <c r="J453" s="1255"/>
      <c r="K453" s="1255"/>
      <c r="L453" s="1255"/>
      <c r="M453" s="1255"/>
      <c r="N453" s="1256"/>
    </row>
    <row r="454" spans="1:15" ht="16.5" x14ac:dyDescent="0.3">
      <c r="A454" s="572">
        <v>420</v>
      </c>
      <c r="B454" s="1087"/>
      <c r="C454" s="1088"/>
      <c r="D454" s="1089" t="s">
        <v>292</v>
      </c>
      <c r="E454" s="1090"/>
      <c r="F454" s="1090"/>
      <c r="G454" s="1091"/>
      <c r="H454" s="1092"/>
      <c r="I454" s="1082">
        <f>SUM(J454:N454)</f>
        <v>5000</v>
      </c>
      <c r="J454" s="1083"/>
      <c r="K454" s="1083"/>
      <c r="L454" s="1083">
        <v>5000</v>
      </c>
      <c r="M454" s="1083"/>
      <c r="N454" s="1084"/>
    </row>
    <row r="455" spans="1:15" ht="16.5" x14ac:dyDescent="0.3">
      <c r="A455" s="572">
        <v>421</v>
      </c>
      <c r="B455" s="1087"/>
      <c r="C455" s="1088"/>
      <c r="D455" s="1499" t="s">
        <v>926</v>
      </c>
      <c r="E455" s="1090"/>
      <c r="F455" s="1090"/>
      <c r="G455" s="1091"/>
      <c r="H455" s="1092"/>
      <c r="I455" s="1611">
        <f t="shared" ref="I455:I456" si="115">SUM(J455:N455)</f>
        <v>100</v>
      </c>
      <c r="J455" s="1083"/>
      <c r="K455" s="1083"/>
      <c r="L455" s="1617">
        <v>100</v>
      </c>
      <c r="M455" s="1083"/>
      <c r="N455" s="1084"/>
    </row>
    <row r="456" spans="1:15" ht="16.5" x14ac:dyDescent="0.3">
      <c r="A456" s="572">
        <v>422</v>
      </c>
      <c r="B456" s="1087"/>
      <c r="C456" s="1088"/>
      <c r="D456" s="641" t="s">
        <v>927</v>
      </c>
      <c r="E456" s="1090"/>
      <c r="F456" s="1090"/>
      <c r="G456" s="1091"/>
      <c r="H456" s="1092"/>
      <c r="I456" s="1615">
        <f t="shared" si="115"/>
        <v>5100</v>
      </c>
      <c r="J456" s="1083"/>
      <c r="K456" s="1083"/>
      <c r="L456" s="1618">
        <f>SUM(L454:L455)</f>
        <v>5100</v>
      </c>
      <c r="M456" s="1083"/>
      <c r="N456" s="1084"/>
    </row>
    <row r="457" spans="1:15" ht="16.5" x14ac:dyDescent="0.3">
      <c r="A457" s="572">
        <v>423</v>
      </c>
      <c r="B457" s="155"/>
      <c r="C457" s="156">
        <v>104</v>
      </c>
      <c r="D457" s="567" t="s">
        <v>99</v>
      </c>
      <c r="E457" s="158">
        <v>13710</v>
      </c>
      <c r="F457" s="158">
        <v>17000</v>
      </c>
      <c r="G457" s="159">
        <v>17199</v>
      </c>
      <c r="H457" s="583" t="s">
        <v>23</v>
      </c>
      <c r="I457" s="1082"/>
      <c r="J457" s="1255"/>
      <c r="K457" s="1255"/>
      <c r="L457" s="1255"/>
      <c r="M457" s="1255"/>
      <c r="N457" s="1256"/>
    </row>
    <row r="458" spans="1:15" ht="16.5" x14ac:dyDescent="0.3">
      <c r="A458" s="572">
        <v>424</v>
      </c>
      <c r="B458" s="1087"/>
      <c r="C458" s="1088"/>
      <c r="D458" s="1089" t="s">
        <v>292</v>
      </c>
      <c r="E458" s="1090"/>
      <c r="F458" s="1090"/>
      <c r="G458" s="1091"/>
      <c r="H458" s="1092"/>
      <c r="I458" s="1082">
        <f>SUM(J458:N458)</f>
        <v>20000</v>
      </c>
      <c r="J458" s="1083"/>
      <c r="K458" s="1083"/>
      <c r="L458" s="1083">
        <v>20000</v>
      </c>
      <c r="M458" s="1083"/>
      <c r="N458" s="1084"/>
    </row>
    <row r="459" spans="1:15" ht="16.5" x14ac:dyDescent="0.3">
      <c r="A459" s="572">
        <v>425</v>
      </c>
      <c r="B459" s="1087"/>
      <c r="C459" s="1088"/>
      <c r="D459" s="1499" t="s">
        <v>926</v>
      </c>
      <c r="E459" s="1090"/>
      <c r="F459" s="1090"/>
      <c r="G459" s="1091"/>
      <c r="H459" s="1092"/>
      <c r="I459" s="1611">
        <f t="shared" ref="I459:I460" si="116">SUM(J459:N459)</f>
        <v>13805</v>
      </c>
      <c r="J459" s="1083"/>
      <c r="K459" s="1083"/>
      <c r="L459" s="1617">
        <v>13805</v>
      </c>
      <c r="M459" s="1083"/>
      <c r="N459" s="1084"/>
    </row>
    <row r="460" spans="1:15" ht="16.5" x14ac:dyDescent="0.3">
      <c r="A460" s="572">
        <v>426</v>
      </c>
      <c r="B460" s="1087"/>
      <c r="C460" s="1088"/>
      <c r="D460" s="641" t="s">
        <v>927</v>
      </c>
      <c r="E460" s="1090"/>
      <c r="F460" s="1090"/>
      <c r="G460" s="1091"/>
      <c r="H460" s="1092"/>
      <c r="I460" s="1615">
        <f t="shared" si="116"/>
        <v>33805</v>
      </c>
      <c r="J460" s="1083"/>
      <c r="K460" s="1083"/>
      <c r="L460" s="1618">
        <f>SUM(L458:L459)</f>
        <v>33805</v>
      </c>
      <c r="M460" s="1083"/>
      <c r="N460" s="1084"/>
    </row>
    <row r="461" spans="1:15" ht="16.5" x14ac:dyDescent="0.3">
      <c r="A461" s="572">
        <v>427</v>
      </c>
      <c r="B461" s="155"/>
      <c r="C461" s="156">
        <v>105</v>
      </c>
      <c r="D461" s="567" t="s">
        <v>100</v>
      </c>
      <c r="E461" s="158">
        <v>189414</v>
      </c>
      <c r="F461" s="158">
        <v>191250</v>
      </c>
      <c r="G461" s="159">
        <v>225617</v>
      </c>
      <c r="H461" s="583" t="s">
        <v>23</v>
      </c>
      <c r="I461" s="1082"/>
      <c r="J461" s="1255"/>
      <c r="K461" s="1255"/>
      <c r="L461" s="1255"/>
      <c r="M461" s="1255"/>
      <c r="N461" s="1256"/>
    </row>
    <row r="462" spans="1:15" ht="16.5" x14ac:dyDescent="0.3">
      <c r="A462" s="572">
        <v>428</v>
      </c>
      <c r="B462" s="1087"/>
      <c r="C462" s="1088"/>
      <c r="D462" s="1089" t="s">
        <v>292</v>
      </c>
      <c r="E462" s="1090"/>
      <c r="F462" s="1090"/>
      <c r="G462" s="1091"/>
      <c r="H462" s="1092"/>
      <c r="I462" s="1082">
        <f>SUM(J462:N462)</f>
        <v>235000</v>
      </c>
      <c r="J462" s="1083"/>
      <c r="K462" s="1083"/>
      <c r="L462" s="1083">
        <v>235000</v>
      </c>
      <c r="M462" s="1083"/>
      <c r="N462" s="1084"/>
    </row>
    <row r="463" spans="1:15" ht="16.5" x14ac:dyDescent="0.3">
      <c r="A463" s="572">
        <v>429</v>
      </c>
      <c r="B463" s="1087"/>
      <c r="C463" s="1088"/>
      <c r="D463" s="1499" t="s">
        <v>929</v>
      </c>
      <c r="E463" s="1090"/>
      <c r="F463" s="1090"/>
      <c r="G463" s="1091"/>
      <c r="H463" s="1092"/>
      <c r="I463" s="1611">
        <f t="shared" ref="I463:I464" si="117">SUM(J463:N463)</f>
        <v>0</v>
      </c>
      <c r="J463" s="1083"/>
      <c r="K463" s="1083"/>
      <c r="L463" s="1083"/>
      <c r="M463" s="1083"/>
      <c r="N463" s="1084"/>
    </row>
    <row r="464" spans="1:15" ht="16.5" x14ac:dyDescent="0.3">
      <c r="A464" s="572">
        <v>430</v>
      </c>
      <c r="B464" s="1087"/>
      <c r="C464" s="1088"/>
      <c r="D464" s="641" t="s">
        <v>927</v>
      </c>
      <c r="E464" s="1090"/>
      <c r="F464" s="1090"/>
      <c r="G464" s="1091"/>
      <c r="H464" s="1092"/>
      <c r="I464" s="1615">
        <f t="shared" si="117"/>
        <v>235000</v>
      </c>
      <c r="J464" s="1083"/>
      <c r="K464" s="1083"/>
      <c r="L464" s="1618">
        <f>SUM(L462:L463)</f>
        <v>235000</v>
      </c>
      <c r="M464" s="1083"/>
      <c r="N464" s="1084"/>
    </row>
    <row r="465" spans="1:14" ht="16.5" x14ac:dyDescent="0.3">
      <c r="A465" s="572">
        <v>431</v>
      </c>
      <c r="B465" s="155"/>
      <c r="C465" s="156">
        <v>106</v>
      </c>
      <c r="D465" s="567" t="s">
        <v>101</v>
      </c>
      <c r="E465" s="158">
        <v>3526</v>
      </c>
      <c r="F465" s="158">
        <v>4250</v>
      </c>
      <c r="G465" s="159">
        <v>3555</v>
      </c>
      <c r="H465" s="583" t="s">
        <v>23</v>
      </c>
      <c r="I465" s="1082"/>
      <c r="J465" s="1255"/>
      <c r="K465" s="1255"/>
      <c r="L465" s="1255"/>
      <c r="M465" s="1255"/>
      <c r="N465" s="1256"/>
    </row>
    <row r="466" spans="1:14" ht="16.5" x14ac:dyDescent="0.3">
      <c r="A466" s="572">
        <v>432</v>
      </c>
      <c r="B466" s="1087"/>
      <c r="C466" s="1088"/>
      <c r="D466" s="1089" t="s">
        <v>292</v>
      </c>
      <c r="E466" s="1090"/>
      <c r="F466" s="1090"/>
      <c r="G466" s="1091"/>
      <c r="H466" s="1092"/>
      <c r="I466" s="1082">
        <f>SUM(J466:N466)</f>
        <v>5000</v>
      </c>
      <c r="J466" s="1083"/>
      <c r="K466" s="1083"/>
      <c r="L466" s="1083">
        <v>5000</v>
      </c>
      <c r="M466" s="1083"/>
      <c r="N466" s="1084"/>
    </row>
    <row r="467" spans="1:14" ht="16.5" x14ac:dyDescent="0.3">
      <c r="A467" s="572">
        <v>433</v>
      </c>
      <c r="B467" s="1087"/>
      <c r="C467" s="1088"/>
      <c r="D467" s="1499" t="s">
        <v>926</v>
      </c>
      <c r="E467" s="1090"/>
      <c r="F467" s="1090"/>
      <c r="G467" s="1091"/>
      <c r="H467" s="1092"/>
      <c r="I467" s="1611">
        <f t="shared" ref="I467:I468" si="118">SUM(J467:N467)</f>
        <v>1881</v>
      </c>
      <c r="J467" s="1083"/>
      <c r="K467" s="1083"/>
      <c r="L467" s="1617">
        <v>1881</v>
      </c>
      <c r="M467" s="1083"/>
      <c r="N467" s="1084"/>
    </row>
    <row r="468" spans="1:14" ht="16.5" x14ac:dyDescent="0.3">
      <c r="A468" s="572">
        <v>434</v>
      </c>
      <c r="B468" s="1087"/>
      <c r="C468" s="1088"/>
      <c r="D468" s="641" t="s">
        <v>927</v>
      </c>
      <c r="E468" s="1090"/>
      <c r="F468" s="1090"/>
      <c r="G468" s="1091"/>
      <c r="H468" s="1092"/>
      <c r="I468" s="1615">
        <f t="shared" si="118"/>
        <v>6881</v>
      </c>
      <c r="J468" s="1083"/>
      <c r="K468" s="1083"/>
      <c r="L468" s="1618">
        <f>SUM(L466:L467)</f>
        <v>6881</v>
      </c>
      <c r="M468" s="1083"/>
      <c r="N468" s="1084"/>
    </row>
    <row r="469" spans="1:14" ht="16.5" x14ac:dyDescent="0.3">
      <c r="A469" s="572">
        <v>435</v>
      </c>
      <c r="B469" s="155"/>
      <c r="C469" s="156">
        <v>107</v>
      </c>
      <c r="D469" s="567" t="s">
        <v>102</v>
      </c>
      <c r="E469" s="158">
        <v>4382</v>
      </c>
      <c r="F469" s="158">
        <v>5100</v>
      </c>
      <c r="G469" s="159">
        <v>1141</v>
      </c>
      <c r="H469" s="583" t="s">
        <v>23</v>
      </c>
      <c r="I469" s="1082"/>
      <c r="J469" s="1255"/>
      <c r="K469" s="1255"/>
      <c r="L469" s="1255"/>
      <c r="M469" s="1255"/>
      <c r="N469" s="1256"/>
    </row>
    <row r="470" spans="1:14" ht="16.5" x14ac:dyDescent="0.3">
      <c r="A470" s="572">
        <v>436</v>
      </c>
      <c r="B470" s="1087"/>
      <c r="C470" s="1088"/>
      <c r="D470" s="1089" t="s">
        <v>292</v>
      </c>
      <c r="E470" s="1090"/>
      <c r="F470" s="1090"/>
      <c r="G470" s="1091"/>
      <c r="H470" s="1092"/>
      <c r="I470" s="1082">
        <f>SUM(J470:N470)</f>
        <v>4000</v>
      </c>
      <c r="J470" s="1083"/>
      <c r="K470" s="1083"/>
      <c r="L470" s="1083">
        <v>4000</v>
      </c>
      <c r="M470" s="1083"/>
      <c r="N470" s="1084"/>
    </row>
    <row r="471" spans="1:14" ht="16.5" x14ac:dyDescent="0.3">
      <c r="A471" s="572">
        <v>437</v>
      </c>
      <c r="B471" s="1087"/>
      <c r="C471" s="1088"/>
      <c r="D471" s="1499" t="s">
        <v>1003</v>
      </c>
      <c r="E471" s="1090"/>
      <c r="F471" s="1090"/>
      <c r="G471" s="1091"/>
      <c r="H471" s="1092"/>
      <c r="I471" s="1611">
        <f t="shared" ref="I471:I472" si="119">SUM(J471:N471)</f>
        <v>0</v>
      </c>
      <c r="J471" s="1083"/>
      <c r="K471" s="1083"/>
      <c r="L471" s="1617"/>
      <c r="M471" s="1083"/>
      <c r="N471" s="1084"/>
    </row>
    <row r="472" spans="1:14" ht="16.5" x14ac:dyDescent="0.3">
      <c r="A472" s="572">
        <v>438</v>
      </c>
      <c r="B472" s="1087"/>
      <c r="C472" s="1088"/>
      <c r="D472" s="641" t="s">
        <v>927</v>
      </c>
      <c r="E472" s="1090"/>
      <c r="F472" s="1090"/>
      <c r="G472" s="1091"/>
      <c r="H472" s="1092"/>
      <c r="I472" s="1615">
        <f t="shared" si="119"/>
        <v>4000</v>
      </c>
      <c r="J472" s="1083"/>
      <c r="K472" s="1083"/>
      <c r="L472" s="1618">
        <f>SUM(L470:L471)</f>
        <v>4000</v>
      </c>
      <c r="M472" s="1083"/>
      <c r="N472" s="1084"/>
    </row>
    <row r="473" spans="1:14" ht="16.5" x14ac:dyDescent="0.3">
      <c r="A473" s="572">
        <v>439</v>
      </c>
      <c r="B473" s="155"/>
      <c r="C473" s="156">
        <v>108</v>
      </c>
      <c r="D473" s="567" t="s">
        <v>103</v>
      </c>
      <c r="E473" s="158">
        <v>36</v>
      </c>
      <c r="F473" s="158">
        <v>850</v>
      </c>
      <c r="G473" s="159">
        <v>185</v>
      </c>
      <c r="H473" s="583" t="s">
        <v>23</v>
      </c>
      <c r="I473" s="1082"/>
      <c r="J473" s="1255"/>
      <c r="K473" s="1255"/>
      <c r="L473" s="1255"/>
      <c r="M473" s="1255"/>
      <c r="N473" s="1256"/>
    </row>
    <row r="474" spans="1:14" ht="16.5" x14ac:dyDescent="0.3">
      <c r="A474" s="572">
        <v>440</v>
      </c>
      <c r="B474" s="1087"/>
      <c r="C474" s="1088"/>
      <c r="D474" s="1089" t="s">
        <v>292</v>
      </c>
      <c r="E474" s="1090"/>
      <c r="F474" s="1090"/>
      <c r="G474" s="1091"/>
      <c r="H474" s="1092"/>
      <c r="I474" s="1082">
        <f>SUM(J474:N474)</f>
        <v>500</v>
      </c>
      <c r="J474" s="1083"/>
      <c r="K474" s="1083"/>
      <c r="L474" s="1083">
        <v>500</v>
      </c>
      <c r="M474" s="1083"/>
      <c r="N474" s="1084"/>
    </row>
    <row r="475" spans="1:14" ht="16.5" x14ac:dyDescent="0.3">
      <c r="A475" s="572">
        <v>441</v>
      </c>
      <c r="B475" s="1087"/>
      <c r="C475" s="1088"/>
      <c r="D475" s="1499" t="s">
        <v>926</v>
      </c>
      <c r="E475" s="1090"/>
      <c r="F475" s="1090"/>
      <c r="G475" s="1091"/>
      <c r="H475" s="1092"/>
      <c r="I475" s="1611">
        <f t="shared" ref="I475:I476" si="120">SUM(J475:N475)</f>
        <v>300</v>
      </c>
      <c r="J475" s="1083"/>
      <c r="K475" s="1083"/>
      <c r="L475" s="1617">
        <v>300</v>
      </c>
      <c r="M475" s="1083"/>
      <c r="N475" s="1084"/>
    </row>
    <row r="476" spans="1:14" ht="16.5" x14ac:dyDescent="0.3">
      <c r="A476" s="572">
        <v>442</v>
      </c>
      <c r="B476" s="1087"/>
      <c r="C476" s="1088"/>
      <c r="D476" s="641" t="s">
        <v>927</v>
      </c>
      <c r="E476" s="1090"/>
      <c r="F476" s="1090"/>
      <c r="G476" s="1091"/>
      <c r="H476" s="1092"/>
      <c r="I476" s="1615">
        <f t="shared" si="120"/>
        <v>800</v>
      </c>
      <c r="J476" s="1083"/>
      <c r="K476" s="1083"/>
      <c r="L476" s="1618">
        <f>SUM(L474:L475)</f>
        <v>800</v>
      </c>
      <c r="M476" s="1083"/>
      <c r="N476" s="1084"/>
    </row>
    <row r="477" spans="1:14" ht="16.5" x14ac:dyDescent="0.3">
      <c r="A477" s="572">
        <v>443</v>
      </c>
      <c r="B477" s="155"/>
      <c r="C477" s="156">
        <v>109</v>
      </c>
      <c r="D477" s="571" t="s">
        <v>296</v>
      </c>
      <c r="E477" s="158">
        <v>59551</v>
      </c>
      <c r="F477" s="158">
        <v>65195</v>
      </c>
      <c r="G477" s="159">
        <v>66237</v>
      </c>
      <c r="H477" s="583" t="s">
        <v>23</v>
      </c>
      <c r="I477" s="1082"/>
      <c r="J477" s="1255"/>
      <c r="K477" s="1255"/>
      <c r="L477" s="1255"/>
      <c r="M477" s="1255"/>
      <c r="N477" s="1256"/>
    </row>
    <row r="478" spans="1:14" ht="16.5" x14ac:dyDescent="0.3">
      <c r="A478" s="572">
        <v>444</v>
      </c>
      <c r="B478" s="1087"/>
      <c r="C478" s="1088"/>
      <c r="D478" s="1089" t="s">
        <v>292</v>
      </c>
      <c r="E478" s="1090"/>
      <c r="F478" s="1090"/>
      <c r="G478" s="1091"/>
      <c r="H478" s="1092"/>
      <c r="I478" s="1082">
        <f>SUM(J478:N478)</f>
        <v>67760</v>
      </c>
      <c r="J478" s="1083"/>
      <c r="K478" s="1083"/>
      <c r="L478" s="1083">
        <v>67760</v>
      </c>
      <c r="M478" s="1083"/>
      <c r="N478" s="1084"/>
    </row>
    <row r="479" spans="1:14" ht="16.5" x14ac:dyDescent="0.3">
      <c r="A479" s="572">
        <v>445</v>
      </c>
      <c r="B479" s="1087"/>
      <c r="C479" s="1088"/>
      <c r="D479" s="1499" t="s">
        <v>926</v>
      </c>
      <c r="E479" s="1090"/>
      <c r="F479" s="1090"/>
      <c r="G479" s="1091"/>
      <c r="H479" s="1092"/>
      <c r="I479" s="1611">
        <f t="shared" ref="I479:I480" si="121">SUM(J479:N479)</f>
        <v>2532</v>
      </c>
      <c r="J479" s="1083"/>
      <c r="K479" s="1083"/>
      <c r="L479" s="1617">
        <v>2532</v>
      </c>
      <c r="M479" s="1083"/>
      <c r="N479" s="1084"/>
    </row>
    <row r="480" spans="1:14" ht="16.5" x14ac:dyDescent="0.3">
      <c r="A480" s="572">
        <v>446</v>
      </c>
      <c r="B480" s="1087"/>
      <c r="C480" s="1088"/>
      <c r="D480" s="641" t="s">
        <v>927</v>
      </c>
      <c r="E480" s="1090"/>
      <c r="F480" s="1090"/>
      <c r="G480" s="1091"/>
      <c r="H480" s="1092"/>
      <c r="I480" s="1615">
        <f t="shared" si="121"/>
        <v>70292</v>
      </c>
      <c r="J480" s="1083"/>
      <c r="K480" s="1083"/>
      <c r="L480" s="1618">
        <f>SUM(L478:L479)</f>
        <v>70292</v>
      </c>
      <c r="M480" s="1083"/>
      <c r="N480" s="1084"/>
    </row>
    <row r="481" spans="1:14" ht="16.5" x14ac:dyDescent="0.3">
      <c r="A481" s="572">
        <v>447</v>
      </c>
      <c r="B481" s="155"/>
      <c r="C481" s="156">
        <v>110</v>
      </c>
      <c r="D481" s="571" t="s">
        <v>580</v>
      </c>
      <c r="E481" s="158">
        <v>60900</v>
      </c>
      <c r="F481" s="158">
        <v>57501</v>
      </c>
      <c r="G481" s="159">
        <v>57448</v>
      </c>
      <c r="H481" s="583" t="s">
        <v>23</v>
      </c>
      <c r="I481" s="1082"/>
      <c r="J481" s="1255"/>
      <c r="K481" s="1255"/>
      <c r="L481" s="1255"/>
      <c r="M481" s="1255"/>
      <c r="N481" s="1256"/>
    </row>
    <row r="482" spans="1:14" ht="16.5" x14ac:dyDescent="0.3">
      <c r="A482" s="572">
        <v>448</v>
      </c>
      <c r="B482" s="1087"/>
      <c r="C482" s="1088"/>
      <c r="D482" s="1089" t="s">
        <v>292</v>
      </c>
      <c r="E482" s="1090"/>
      <c r="F482" s="1090"/>
      <c r="G482" s="1091"/>
      <c r="H482" s="1092"/>
      <c r="I482" s="1082">
        <f>SUM(J482:N482)</f>
        <v>67000</v>
      </c>
      <c r="J482" s="1083"/>
      <c r="K482" s="1083"/>
      <c r="L482" s="1083">
        <v>67000</v>
      </c>
      <c r="M482" s="1083"/>
      <c r="N482" s="1084"/>
    </row>
    <row r="483" spans="1:14" ht="16.5" x14ac:dyDescent="0.3">
      <c r="A483" s="572">
        <v>449</v>
      </c>
      <c r="B483" s="1087"/>
      <c r="C483" s="1088"/>
      <c r="D483" s="1499" t="s">
        <v>926</v>
      </c>
      <c r="E483" s="1090"/>
      <c r="F483" s="1090"/>
      <c r="G483" s="1091"/>
      <c r="H483" s="1092"/>
      <c r="I483" s="1611">
        <f t="shared" ref="I483:I484" si="122">SUM(J483:N483)</f>
        <v>3101</v>
      </c>
      <c r="J483" s="1083"/>
      <c r="K483" s="1083"/>
      <c r="L483" s="1617">
        <v>3101</v>
      </c>
      <c r="M483" s="1083"/>
      <c r="N483" s="1084"/>
    </row>
    <row r="484" spans="1:14" ht="16.5" x14ac:dyDescent="0.3">
      <c r="A484" s="572">
        <v>450</v>
      </c>
      <c r="B484" s="1087"/>
      <c r="C484" s="1088"/>
      <c r="D484" s="641" t="s">
        <v>927</v>
      </c>
      <c r="E484" s="1090"/>
      <c r="F484" s="1090"/>
      <c r="G484" s="1091"/>
      <c r="H484" s="1092"/>
      <c r="I484" s="1615">
        <f t="shared" si="122"/>
        <v>70101</v>
      </c>
      <c r="J484" s="1083"/>
      <c r="K484" s="1083"/>
      <c r="L484" s="1618">
        <f>SUM(L482:L483)</f>
        <v>70101</v>
      </c>
      <c r="M484" s="1083"/>
      <c r="N484" s="1084"/>
    </row>
    <row r="485" spans="1:14" ht="16.5" x14ac:dyDescent="0.3">
      <c r="A485" s="572">
        <v>451</v>
      </c>
      <c r="B485" s="155"/>
      <c r="C485" s="156">
        <v>111</v>
      </c>
      <c r="D485" s="571" t="s">
        <v>248</v>
      </c>
      <c r="E485" s="158">
        <v>18999</v>
      </c>
      <c r="F485" s="158">
        <v>17000</v>
      </c>
      <c r="G485" s="159">
        <v>17000</v>
      </c>
      <c r="H485" s="583" t="s">
        <v>23</v>
      </c>
      <c r="I485" s="1082"/>
      <c r="J485" s="1255"/>
      <c r="K485" s="1255"/>
      <c r="L485" s="1255"/>
      <c r="M485" s="1255"/>
      <c r="N485" s="1256"/>
    </row>
    <row r="486" spans="1:14" ht="16.5" x14ac:dyDescent="0.3">
      <c r="A486" s="572">
        <v>452</v>
      </c>
      <c r="B486" s="1087"/>
      <c r="C486" s="1088"/>
      <c r="D486" s="1089" t="s">
        <v>292</v>
      </c>
      <c r="E486" s="1090"/>
      <c r="F486" s="1090"/>
      <c r="G486" s="1091"/>
      <c r="H486" s="1092"/>
      <c r="I486" s="1082">
        <f>SUM(J486:N486)</f>
        <v>19000</v>
      </c>
      <c r="J486" s="1083"/>
      <c r="K486" s="1083"/>
      <c r="L486" s="1083">
        <v>19000</v>
      </c>
      <c r="M486" s="1083"/>
      <c r="N486" s="1084"/>
    </row>
    <row r="487" spans="1:14" ht="16.5" x14ac:dyDescent="0.3">
      <c r="A487" s="572">
        <v>453</v>
      </c>
      <c r="B487" s="1087"/>
      <c r="C487" s="1088"/>
      <c r="D487" s="1499" t="s">
        <v>929</v>
      </c>
      <c r="E487" s="1090"/>
      <c r="F487" s="1090"/>
      <c r="G487" s="1091"/>
      <c r="H487" s="1096"/>
      <c r="I487" s="1611">
        <f t="shared" ref="I487:I488" si="123">SUM(J487:N487)</f>
        <v>0</v>
      </c>
      <c r="J487" s="1083"/>
      <c r="K487" s="1083"/>
      <c r="L487" s="1083"/>
      <c r="M487" s="1083"/>
      <c r="N487" s="1084"/>
    </row>
    <row r="488" spans="1:14" ht="16.5" x14ac:dyDescent="0.3">
      <c r="A488" s="572">
        <v>454</v>
      </c>
      <c r="B488" s="1087"/>
      <c r="C488" s="1088"/>
      <c r="D488" s="641" t="s">
        <v>927</v>
      </c>
      <c r="E488" s="1090"/>
      <c r="F488" s="1090"/>
      <c r="G488" s="1091"/>
      <c r="H488" s="1096"/>
      <c r="I488" s="1615">
        <f t="shared" si="123"/>
        <v>19000</v>
      </c>
      <c r="J488" s="1083"/>
      <c r="K488" s="1083"/>
      <c r="L488" s="1618">
        <f>SUM(L486:L487)</f>
        <v>19000</v>
      </c>
      <c r="M488" s="1083"/>
      <c r="N488" s="1084"/>
    </row>
    <row r="489" spans="1:14" ht="16.5" x14ac:dyDescent="0.3">
      <c r="A489" s="572">
        <v>455</v>
      </c>
      <c r="B489" s="155"/>
      <c r="C489" s="156">
        <v>112</v>
      </c>
      <c r="D489" s="567" t="s">
        <v>247</v>
      </c>
      <c r="E489" s="158">
        <v>1601</v>
      </c>
      <c r="F489" s="158">
        <v>1275</v>
      </c>
      <c r="G489" s="159">
        <v>778</v>
      </c>
      <c r="H489" s="585" t="s">
        <v>23</v>
      </c>
      <c r="I489" s="1082"/>
      <c r="J489" s="1255"/>
      <c r="K489" s="1255"/>
      <c r="L489" s="1255"/>
      <c r="M489" s="1255"/>
      <c r="N489" s="1256"/>
    </row>
    <row r="490" spans="1:14" ht="16.5" x14ac:dyDescent="0.3">
      <c r="A490" s="572">
        <v>456</v>
      </c>
      <c r="B490" s="1111"/>
      <c r="C490" s="1088"/>
      <c r="D490" s="1089" t="s">
        <v>292</v>
      </c>
      <c r="E490" s="1094"/>
      <c r="F490" s="1094"/>
      <c r="G490" s="1095"/>
      <c r="H490" s="1096"/>
      <c r="I490" s="1082">
        <f>SUM(J490:N490)</f>
        <v>1500</v>
      </c>
      <c r="J490" s="1097"/>
      <c r="K490" s="1097"/>
      <c r="L490" s="1097">
        <v>1500</v>
      </c>
      <c r="M490" s="1097"/>
      <c r="N490" s="1098"/>
    </row>
    <row r="491" spans="1:14" ht="16.5" x14ac:dyDescent="0.3">
      <c r="A491" s="572">
        <v>457</v>
      </c>
      <c r="B491" s="1111"/>
      <c r="C491" s="1088"/>
      <c r="D491" s="1499" t="s">
        <v>929</v>
      </c>
      <c r="E491" s="1094"/>
      <c r="F491" s="1094"/>
      <c r="G491" s="1095"/>
      <c r="H491" s="1096"/>
      <c r="I491" s="1611">
        <f t="shared" ref="I491:I492" si="124">SUM(J491:N491)</f>
        <v>0</v>
      </c>
      <c r="J491" s="1097"/>
      <c r="K491" s="1097"/>
      <c r="L491" s="1097"/>
      <c r="M491" s="1097"/>
      <c r="N491" s="1098"/>
    </row>
    <row r="492" spans="1:14" ht="16.5" x14ac:dyDescent="0.3">
      <c r="A492" s="572">
        <v>458</v>
      </c>
      <c r="B492" s="1111"/>
      <c r="C492" s="1088"/>
      <c r="D492" s="641" t="s">
        <v>927</v>
      </c>
      <c r="E492" s="1094"/>
      <c r="F492" s="1094"/>
      <c r="G492" s="1095"/>
      <c r="H492" s="1096"/>
      <c r="I492" s="1615">
        <f t="shared" si="124"/>
        <v>1500</v>
      </c>
      <c r="J492" s="1097"/>
      <c r="K492" s="1097"/>
      <c r="L492" s="1616">
        <f>SUM(L490:L491)</f>
        <v>1500</v>
      </c>
      <c r="M492" s="1097"/>
      <c r="N492" s="1098"/>
    </row>
    <row r="493" spans="1:14" ht="16.5" x14ac:dyDescent="0.3">
      <c r="A493" s="572">
        <v>459</v>
      </c>
      <c r="B493" s="155"/>
      <c r="C493" s="156">
        <v>113</v>
      </c>
      <c r="D493" s="567" t="s">
        <v>396</v>
      </c>
      <c r="E493" s="158">
        <v>2971</v>
      </c>
      <c r="F493" s="158">
        <v>6350</v>
      </c>
      <c r="G493" s="159">
        <v>2087</v>
      </c>
      <c r="H493" s="583" t="s">
        <v>24</v>
      </c>
      <c r="I493" s="1082"/>
      <c r="J493" s="1255"/>
      <c r="K493" s="1255"/>
      <c r="L493" s="1255"/>
      <c r="M493" s="1255"/>
      <c r="N493" s="1256"/>
    </row>
    <row r="494" spans="1:14" ht="16.5" x14ac:dyDescent="0.3">
      <c r="A494" s="572">
        <v>460</v>
      </c>
      <c r="B494" s="1087"/>
      <c r="C494" s="1088"/>
      <c r="D494" s="1089" t="s">
        <v>292</v>
      </c>
      <c r="E494" s="1090"/>
      <c r="F494" s="1090"/>
      <c r="G494" s="1091"/>
      <c r="H494" s="1092"/>
      <c r="I494" s="1082">
        <f>SUM(J494:N494)</f>
        <v>3500</v>
      </c>
      <c r="J494" s="1083"/>
      <c r="K494" s="1083"/>
      <c r="L494" s="1083">
        <v>3500</v>
      </c>
      <c r="M494" s="1083"/>
      <c r="N494" s="1084"/>
    </row>
    <row r="495" spans="1:14" ht="16.5" x14ac:dyDescent="0.3">
      <c r="A495" s="572">
        <v>461</v>
      </c>
      <c r="B495" s="1087"/>
      <c r="C495" s="1088"/>
      <c r="D495" s="1499" t="s">
        <v>926</v>
      </c>
      <c r="E495" s="1090"/>
      <c r="F495" s="1090"/>
      <c r="G495" s="1091"/>
      <c r="H495" s="1092"/>
      <c r="I495" s="1611">
        <f t="shared" ref="I495:I496" si="125">SUM(J495:N495)</f>
        <v>4058</v>
      </c>
      <c r="J495" s="1083"/>
      <c r="K495" s="1083"/>
      <c r="L495" s="1617">
        <v>4058</v>
      </c>
      <c r="M495" s="1083"/>
      <c r="N495" s="1084"/>
    </row>
    <row r="496" spans="1:14" ht="16.5" x14ac:dyDescent="0.3">
      <c r="A496" s="572">
        <v>462</v>
      </c>
      <c r="B496" s="1087"/>
      <c r="C496" s="1088"/>
      <c r="D496" s="641" t="s">
        <v>927</v>
      </c>
      <c r="E496" s="1090"/>
      <c r="F496" s="1090"/>
      <c r="G496" s="1091"/>
      <c r="H496" s="1092"/>
      <c r="I496" s="1615">
        <f t="shared" si="125"/>
        <v>7558</v>
      </c>
      <c r="J496" s="1083"/>
      <c r="K496" s="1083"/>
      <c r="L496" s="1618">
        <f>SUM(L494:L495)</f>
        <v>7558</v>
      </c>
      <c r="M496" s="1083"/>
      <c r="N496" s="1084"/>
    </row>
    <row r="497" spans="1:14" ht="16.5" x14ac:dyDescent="0.3">
      <c r="A497" s="572">
        <v>463</v>
      </c>
      <c r="B497" s="155"/>
      <c r="C497" s="156">
        <v>114</v>
      </c>
      <c r="D497" s="567" t="s">
        <v>761</v>
      </c>
      <c r="E497" s="158">
        <v>8435</v>
      </c>
      <c r="F497" s="158">
        <v>16000</v>
      </c>
      <c r="G497" s="159">
        <f>13189-5690</f>
        <v>7499</v>
      </c>
      <c r="H497" s="583" t="s">
        <v>23</v>
      </c>
      <c r="I497" s="1082"/>
      <c r="J497" s="1255"/>
      <c r="K497" s="1255"/>
      <c r="L497" s="1255"/>
      <c r="M497" s="1255"/>
      <c r="N497" s="1256"/>
    </row>
    <row r="498" spans="1:14" ht="16.5" x14ac:dyDescent="0.3">
      <c r="A498" s="572">
        <v>464</v>
      </c>
      <c r="B498" s="1087"/>
      <c r="C498" s="1088"/>
      <c r="D498" s="1089" t="s">
        <v>292</v>
      </c>
      <c r="E498" s="1090"/>
      <c r="F498" s="1090"/>
      <c r="G498" s="1091"/>
      <c r="H498" s="1092"/>
      <c r="I498" s="1082">
        <f>SUM(J498:N498)</f>
        <v>9600</v>
      </c>
      <c r="J498" s="1083"/>
      <c r="K498" s="1083"/>
      <c r="L498" s="1083">
        <v>9600</v>
      </c>
      <c r="M498" s="1083"/>
      <c r="N498" s="1084"/>
    </row>
    <row r="499" spans="1:14" ht="16.5" x14ac:dyDescent="0.3">
      <c r="A499" s="572">
        <v>465</v>
      </c>
      <c r="B499" s="1087"/>
      <c r="C499" s="1088"/>
      <c r="D499" s="1499" t="s">
        <v>926</v>
      </c>
      <c r="E499" s="1090"/>
      <c r="F499" s="1090"/>
      <c r="G499" s="1091"/>
      <c r="H499" s="1092"/>
      <c r="I499" s="1611">
        <f t="shared" ref="I499:I500" si="126">SUM(J499:N499)</f>
        <v>4496</v>
      </c>
      <c r="J499" s="1083"/>
      <c r="K499" s="1083"/>
      <c r="L499" s="1617">
        <v>4496</v>
      </c>
      <c r="M499" s="1083"/>
      <c r="N499" s="1084"/>
    </row>
    <row r="500" spans="1:14" ht="16.5" x14ac:dyDescent="0.3">
      <c r="A500" s="572">
        <v>466</v>
      </c>
      <c r="B500" s="1087"/>
      <c r="C500" s="1088"/>
      <c r="D500" s="641" t="s">
        <v>927</v>
      </c>
      <c r="E500" s="1090"/>
      <c r="F500" s="1090"/>
      <c r="G500" s="1091"/>
      <c r="H500" s="1092"/>
      <c r="I500" s="1615">
        <f t="shared" si="126"/>
        <v>14096</v>
      </c>
      <c r="J500" s="1083"/>
      <c r="K500" s="1083"/>
      <c r="L500" s="1618">
        <f>SUM(L498:L499)</f>
        <v>14096</v>
      </c>
      <c r="M500" s="1083"/>
      <c r="N500" s="1084"/>
    </row>
    <row r="501" spans="1:14" ht="16.5" x14ac:dyDescent="0.3">
      <c r="A501" s="572">
        <v>467</v>
      </c>
      <c r="B501" s="1087"/>
      <c r="C501" s="161">
        <v>115</v>
      </c>
      <c r="D501" s="567" t="s">
        <v>760</v>
      </c>
      <c r="E501" s="1090"/>
      <c r="F501" s="1090"/>
      <c r="G501" s="159">
        <v>5690</v>
      </c>
      <c r="H501" s="583" t="s">
        <v>23</v>
      </c>
      <c r="I501" s="1082"/>
      <c r="J501" s="1083"/>
      <c r="K501" s="1083"/>
      <c r="L501" s="1083"/>
      <c r="M501" s="1083"/>
      <c r="N501" s="1084"/>
    </row>
    <row r="502" spans="1:14" ht="16.5" x14ac:dyDescent="0.3">
      <c r="A502" s="572">
        <v>468</v>
      </c>
      <c r="B502" s="1087"/>
      <c r="C502" s="1088"/>
      <c r="D502" s="1089" t="s">
        <v>292</v>
      </c>
      <c r="E502" s="1090"/>
      <c r="F502" s="1090"/>
      <c r="G502" s="1091"/>
      <c r="H502" s="1092"/>
      <c r="I502" s="1082">
        <f>SUM(J502:N502)</f>
        <v>11000</v>
      </c>
      <c r="J502" s="1083"/>
      <c r="K502" s="1083"/>
      <c r="L502" s="1083">
        <v>11000</v>
      </c>
      <c r="M502" s="1083"/>
      <c r="N502" s="1084"/>
    </row>
    <row r="503" spans="1:14" ht="16.5" x14ac:dyDescent="0.3">
      <c r="A503" s="572">
        <v>469</v>
      </c>
      <c r="B503" s="1087"/>
      <c r="C503" s="1088"/>
      <c r="D503" s="1499" t="s">
        <v>926</v>
      </c>
      <c r="E503" s="1090"/>
      <c r="F503" s="1090"/>
      <c r="G503" s="1091"/>
      <c r="H503" s="1092"/>
      <c r="I503" s="1611">
        <f t="shared" ref="I503:I504" si="127">SUM(J503:N503)</f>
        <v>1000</v>
      </c>
      <c r="J503" s="1083"/>
      <c r="K503" s="1083"/>
      <c r="L503" s="1617">
        <v>1000</v>
      </c>
      <c r="M503" s="1083"/>
      <c r="N503" s="1084"/>
    </row>
    <row r="504" spans="1:14" ht="16.5" x14ac:dyDescent="0.3">
      <c r="A504" s="572">
        <v>470</v>
      </c>
      <c r="B504" s="1087"/>
      <c r="C504" s="1088"/>
      <c r="D504" s="641" t="s">
        <v>927</v>
      </c>
      <c r="E504" s="1090"/>
      <c r="F504" s="1090"/>
      <c r="G504" s="1091"/>
      <c r="H504" s="1092"/>
      <c r="I504" s="1615">
        <f t="shared" si="127"/>
        <v>12000</v>
      </c>
      <c r="J504" s="1083"/>
      <c r="K504" s="1083"/>
      <c r="L504" s="1618">
        <f>SUM(L502:L503)</f>
        <v>12000</v>
      </c>
      <c r="M504" s="1083"/>
      <c r="N504" s="1084"/>
    </row>
    <row r="505" spans="1:14" ht="16.5" x14ac:dyDescent="0.3">
      <c r="A505" s="572">
        <v>471</v>
      </c>
      <c r="B505" s="171"/>
      <c r="C505" s="156">
        <v>116</v>
      </c>
      <c r="D505" s="567" t="s">
        <v>272</v>
      </c>
      <c r="E505" s="158">
        <v>156855</v>
      </c>
      <c r="F505" s="158">
        <v>155388</v>
      </c>
      <c r="G505" s="159">
        <v>146597</v>
      </c>
      <c r="H505" s="583" t="s">
        <v>23</v>
      </c>
      <c r="I505" s="1260"/>
      <c r="J505" s="1261"/>
      <c r="K505" s="1261"/>
      <c r="L505" s="1261"/>
      <c r="M505" s="1261"/>
      <c r="N505" s="1262"/>
    </row>
    <row r="506" spans="1:14" ht="16.5" x14ac:dyDescent="0.3">
      <c r="A506" s="572">
        <v>472</v>
      </c>
      <c r="B506" s="1087"/>
      <c r="C506" s="1088"/>
      <c r="D506" s="1089" t="s">
        <v>292</v>
      </c>
      <c r="E506" s="1090"/>
      <c r="F506" s="1090"/>
      <c r="G506" s="1091"/>
      <c r="H506" s="1092"/>
      <c r="I506" s="1082">
        <f>SUM(J506:N506)</f>
        <v>137959</v>
      </c>
      <c r="J506" s="1083"/>
      <c r="K506" s="1083"/>
      <c r="L506" s="1083">
        <v>137959</v>
      </c>
      <c r="M506" s="1083"/>
      <c r="N506" s="1084"/>
    </row>
    <row r="507" spans="1:14" ht="16.5" x14ac:dyDescent="0.3">
      <c r="A507" s="572">
        <v>473</v>
      </c>
      <c r="B507" s="1087"/>
      <c r="C507" s="1088"/>
      <c r="D507" s="1499" t="s">
        <v>926</v>
      </c>
      <c r="E507" s="1090"/>
      <c r="F507" s="1090"/>
      <c r="G507" s="1091"/>
      <c r="H507" s="1092"/>
      <c r="I507" s="1611">
        <f t="shared" ref="I507:I508" si="128">SUM(J507:N507)</f>
        <v>8792</v>
      </c>
      <c r="J507" s="1083"/>
      <c r="K507" s="1083"/>
      <c r="L507" s="1620">
        <v>8792</v>
      </c>
      <c r="M507" s="1083"/>
      <c r="N507" s="1084"/>
    </row>
    <row r="508" spans="1:14" ht="16.5" x14ac:dyDescent="0.3">
      <c r="A508" s="572">
        <v>474</v>
      </c>
      <c r="B508" s="1087"/>
      <c r="C508" s="1088"/>
      <c r="D508" s="641" t="s">
        <v>927</v>
      </c>
      <c r="E508" s="1090"/>
      <c r="F508" s="1090"/>
      <c r="G508" s="1091"/>
      <c r="H508" s="1092"/>
      <c r="I508" s="1615">
        <f t="shared" si="128"/>
        <v>146751</v>
      </c>
      <c r="J508" s="1083"/>
      <c r="K508" s="1083"/>
      <c r="L508" s="1618">
        <f>SUM(L506:L507)</f>
        <v>146751</v>
      </c>
      <c r="M508" s="1083"/>
      <c r="N508" s="1084"/>
    </row>
    <row r="509" spans="1:14" ht="16.5" x14ac:dyDescent="0.3">
      <c r="A509" s="572">
        <v>475</v>
      </c>
      <c r="B509" s="171"/>
      <c r="C509" s="156">
        <v>117</v>
      </c>
      <c r="D509" s="567" t="s">
        <v>394</v>
      </c>
      <c r="E509" s="158">
        <v>4930</v>
      </c>
      <c r="F509" s="158">
        <v>2362</v>
      </c>
      <c r="G509" s="159">
        <v>2362</v>
      </c>
      <c r="H509" s="583" t="s">
        <v>24</v>
      </c>
      <c r="I509" s="1260"/>
      <c r="J509" s="1261"/>
      <c r="K509" s="1261"/>
      <c r="L509" s="1261"/>
      <c r="M509" s="1261"/>
      <c r="N509" s="1262"/>
    </row>
    <row r="510" spans="1:14" ht="16.5" x14ac:dyDescent="0.3">
      <c r="A510" s="572">
        <v>476</v>
      </c>
      <c r="B510" s="155"/>
      <c r="C510" s="156">
        <v>118</v>
      </c>
      <c r="D510" s="567" t="s">
        <v>104</v>
      </c>
      <c r="E510" s="158">
        <f>E514+E518+E522+E526+E530</f>
        <v>3250</v>
      </c>
      <c r="F510" s="158">
        <f>F514+F518+F522+F526+F530</f>
        <v>2765</v>
      </c>
      <c r="G510" s="158">
        <f>G514+G518+G522+G526+G530</f>
        <v>2765</v>
      </c>
      <c r="H510" s="583" t="s">
        <v>23</v>
      </c>
      <c r="I510" s="1260"/>
      <c r="J510" s="1261"/>
      <c r="K510" s="1261"/>
      <c r="L510" s="1261"/>
      <c r="M510" s="1261"/>
      <c r="N510" s="1262"/>
    </row>
    <row r="511" spans="1:14" ht="16.5" x14ac:dyDescent="0.3">
      <c r="A511" s="572">
        <v>477</v>
      </c>
      <c r="B511" s="1087"/>
      <c r="C511" s="1088"/>
      <c r="D511" s="1089" t="s">
        <v>292</v>
      </c>
      <c r="E511" s="1090"/>
      <c r="F511" s="1090"/>
      <c r="G511" s="1091"/>
      <c r="H511" s="1092"/>
      <c r="I511" s="1082">
        <f>SUM(J511:N511)</f>
        <v>2765</v>
      </c>
      <c r="J511" s="1105"/>
      <c r="K511" s="1105"/>
      <c r="L511" s="1105"/>
      <c r="M511" s="1105"/>
      <c r="N511" s="1084">
        <f>N515+N519+N523+N527+N531</f>
        <v>2765</v>
      </c>
    </row>
    <row r="512" spans="1:14" ht="16.5" x14ac:dyDescent="0.3">
      <c r="A512" s="572">
        <v>478</v>
      </c>
      <c r="B512" s="1087"/>
      <c r="C512" s="1088"/>
      <c r="D512" s="1499" t="s">
        <v>929</v>
      </c>
      <c r="E512" s="1090"/>
      <c r="F512" s="1090"/>
      <c r="G512" s="1091"/>
      <c r="H512" s="1092"/>
      <c r="I512" s="1611">
        <f t="shared" ref="I512:I513" si="129">SUM(J512:N512)</f>
        <v>0</v>
      </c>
      <c r="J512" s="1105"/>
      <c r="K512" s="1105"/>
      <c r="L512" s="1105"/>
      <c r="M512" s="1105"/>
      <c r="N512" s="1084">
        <f>N516+N520+N524+N528+N532</f>
        <v>0</v>
      </c>
    </row>
    <row r="513" spans="1:14" ht="16.5" x14ac:dyDescent="0.3">
      <c r="A513" s="572">
        <v>479</v>
      </c>
      <c r="B513" s="1087"/>
      <c r="C513" s="1088"/>
      <c r="D513" s="641" t="s">
        <v>927</v>
      </c>
      <c r="E513" s="1090"/>
      <c r="F513" s="1090"/>
      <c r="G513" s="1091"/>
      <c r="H513" s="1092"/>
      <c r="I513" s="1615">
        <f t="shared" si="129"/>
        <v>2765</v>
      </c>
      <c r="J513" s="1105"/>
      <c r="K513" s="1105"/>
      <c r="L513" s="1105"/>
      <c r="M513" s="1105"/>
      <c r="N513" s="1622">
        <f>SUM(N511:N512)</f>
        <v>2765</v>
      </c>
    </row>
    <row r="514" spans="1:14" ht="16.5" x14ac:dyDescent="0.3">
      <c r="A514" s="572">
        <v>480</v>
      </c>
      <c r="B514" s="165"/>
      <c r="C514" s="161"/>
      <c r="D514" s="168" t="s">
        <v>105</v>
      </c>
      <c r="E514" s="158">
        <v>650</v>
      </c>
      <c r="F514" s="166">
        <v>553</v>
      </c>
      <c r="G514" s="167">
        <v>553</v>
      </c>
      <c r="H514" s="584"/>
      <c r="I514" s="1085"/>
      <c r="J514" s="1263"/>
      <c r="K514" s="1263"/>
      <c r="L514" s="1263"/>
      <c r="M514" s="1263"/>
      <c r="N514" s="1264"/>
    </row>
    <row r="515" spans="1:14" ht="16.5" x14ac:dyDescent="0.3">
      <c r="A515" s="572">
        <v>481</v>
      </c>
      <c r="B515" s="1100"/>
      <c r="C515" s="1088"/>
      <c r="D515" s="1101" t="s">
        <v>292</v>
      </c>
      <c r="E515" s="1090"/>
      <c r="F515" s="1102"/>
      <c r="G515" s="1103"/>
      <c r="H515" s="1104"/>
      <c r="I515" s="1085">
        <f>SUM(J515:N515)</f>
        <v>553</v>
      </c>
      <c r="J515" s="1105"/>
      <c r="K515" s="1105"/>
      <c r="L515" s="1105"/>
      <c r="M515" s="1105"/>
      <c r="N515" s="1106">
        <v>553</v>
      </c>
    </row>
    <row r="516" spans="1:14" ht="16.5" x14ac:dyDescent="0.3">
      <c r="A516" s="572">
        <v>482</v>
      </c>
      <c r="B516" s="1100"/>
      <c r="C516" s="1088"/>
      <c r="D516" s="1623" t="s">
        <v>929</v>
      </c>
      <c r="E516" s="1090"/>
      <c r="F516" s="1102"/>
      <c r="G516" s="1103"/>
      <c r="H516" s="1104"/>
      <c r="I516" s="1611">
        <f t="shared" ref="I516:I517" si="130">SUM(J516:N516)</f>
        <v>0</v>
      </c>
      <c r="J516" s="1105"/>
      <c r="K516" s="1105"/>
      <c r="L516" s="1105"/>
      <c r="M516" s="1105"/>
      <c r="N516" s="1106"/>
    </row>
    <row r="517" spans="1:14" ht="16.5" x14ac:dyDescent="0.3">
      <c r="A517" s="572">
        <v>483</v>
      </c>
      <c r="B517" s="1100"/>
      <c r="C517" s="1088"/>
      <c r="D517" s="1623" t="s">
        <v>927</v>
      </c>
      <c r="E517" s="1090"/>
      <c r="F517" s="1102"/>
      <c r="G517" s="1103"/>
      <c r="H517" s="1104"/>
      <c r="I517" s="1624">
        <f t="shared" si="130"/>
        <v>553</v>
      </c>
      <c r="J517" s="1105"/>
      <c r="K517" s="1105"/>
      <c r="L517" s="1105"/>
      <c r="M517" s="1105"/>
      <c r="N517" s="1621">
        <f>SUM(N515:N516)</f>
        <v>553</v>
      </c>
    </row>
    <row r="518" spans="1:14" ht="16.5" x14ac:dyDescent="0.3">
      <c r="A518" s="572">
        <v>484</v>
      </c>
      <c r="B518" s="165"/>
      <c r="C518" s="161"/>
      <c r="D518" s="172" t="s">
        <v>106</v>
      </c>
      <c r="E518" s="158">
        <v>650</v>
      </c>
      <c r="F518" s="166">
        <v>553</v>
      </c>
      <c r="G518" s="167">
        <v>553</v>
      </c>
      <c r="H518" s="584"/>
      <c r="I518" s="1265"/>
      <c r="J518" s="1266"/>
      <c r="K518" s="1266"/>
      <c r="L518" s="1266"/>
      <c r="M518" s="1266"/>
      <c r="N518" s="1267"/>
    </row>
    <row r="519" spans="1:14" ht="16.5" x14ac:dyDescent="0.3">
      <c r="A519" s="572">
        <v>485</v>
      </c>
      <c r="B519" s="1100"/>
      <c r="C519" s="1088"/>
      <c r="D519" s="1101" t="s">
        <v>292</v>
      </c>
      <c r="E519" s="1090"/>
      <c r="F519" s="1102"/>
      <c r="G519" s="1103"/>
      <c r="H519" s="1104"/>
      <c r="I519" s="1085">
        <f>SUM(J519:N519)</f>
        <v>553</v>
      </c>
      <c r="J519" s="1105"/>
      <c r="K519" s="1105"/>
      <c r="L519" s="1105"/>
      <c r="M519" s="1105"/>
      <c r="N519" s="1106">
        <v>553</v>
      </c>
    </row>
    <row r="520" spans="1:14" ht="16.5" x14ac:dyDescent="0.3">
      <c r="A520" s="572">
        <v>486</v>
      </c>
      <c r="B520" s="1100"/>
      <c r="C520" s="1088"/>
      <c r="D520" s="1623" t="s">
        <v>929</v>
      </c>
      <c r="E520" s="1090"/>
      <c r="F520" s="1102"/>
      <c r="G520" s="1103"/>
      <c r="H520" s="1104"/>
      <c r="I520" s="1611">
        <f t="shared" ref="I520:I521" si="131">SUM(J520:N520)</f>
        <v>0</v>
      </c>
      <c r="J520" s="1105"/>
      <c r="K520" s="1105"/>
      <c r="L520" s="1105"/>
      <c r="M520" s="1105"/>
      <c r="N520" s="1106"/>
    </row>
    <row r="521" spans="1:14" ht="16.5" x14ac:dyDescent="0.3">
      <c r="A521" s="572">
        <v>487</v>
      </c>
      <c r="B521" s="1100"/>
      <c r="C521" s="1088"/>
      <c r="D521" s="1623" t="s">
        <v>927</v>
      </c>
      <c r="E521" s="1090"/>
      <c r="F521" s="1102"/>
      <c r="G521" s="1103"/>
      <c r="H521" s="1104"/>
      <c r="I521" s="1624">
        <f t="shared" si="131"/>
        <v>553</v>
      </c>
      <c r="J521" s="1105"/>
      <c r="K521" s="1105"/>
      <c r="L521" s="1105"/>
      <c r="M521" s="1105"/>
      <c r="N521" s="1621">
        <f>SUM(N519:N520)</f>
        <v>553</v>
      </c>
    </row>
    <row r="522" spans="1:14" ht="16.5" x14ac:dyDescent="0.3">
      <c r="A522" s="572">
        <v>488</v>
      </c>
      <c r="B522" s="165"/>
      <c r="C522" s="161"/>
      <c r="D522" s="172" t="s">
        <v>107</v>
      </c>
      <c r="E522" s="158">
        <v>650</v>
      </c>
      <c r="F522" s="166">
        <v>553</v>
      </c>
      <c r="G522" s="167">
        <v>553</v>
      </c>
      <c r="H522" s="584"/>
      <c r="I522" s="1265"/>
      <c r="J522" s="1266"/>
      <c r="K522" s="1266"/>
      <c r="L522" s="1266"/>
      <c r="M522" s="1266"/>
      <c r="N522" s="1267"/>
    </row>
    <row r="523" spans="1:14" ht="16.5" x14ac:dyDescent="0.3">
      <c r="A523" s="572">
        <v>489</v>
      </c>
      <c r="B523" s="1100"/>
      <c r="C523" s="1088"/>
      <c r="D523" s="1101" t="s">
        <v>292</v>
      </c>
      <c r="E523" s="1090"/>
      <c r="F523" s="1102"/>
      <c r="G523" s="1103"/>
      <c r="H523" s="1104"/>
      <c r="I523" s="1085">
        <f>SUM(J523:N523)</f>
        <v>553</v>
      </c>
      <c r="J523" s="1105"/>
      <c r="K523" s="1105"/>
      <c r="L523" s="1105"/>
      <c r="M523" s="1105"/>
      <c r="N523" s="1106">
        <v>553</v>
      </c>
    </row>
    <row r="524" spans="1:14" ht="16.5" x14ac:dyDescent="0.3">
      <c r="A524" s="572">
        <v>490</v>
      </c>
      <c r="B524" s="1100"/>
      <c r="C524" s="1088"/>
      <c r="D524" s="1623" t="s">
        <v>929</v>
      </c>
      <c r="E524" s="1090"/>
      <c r="F524" s="1102"/>
      <c r="G524" s="1103"/>
      <c r="H524" s="1104"/>
      <c r="I524" s="1611">
        <f t="shared" ref="I524:I525" si="132">SUM(J524:N524)</f>
        <v>0</v>
      </c>
      <c r="J524" s="1105"/>
      <c r="K524" s="1105"/>
      <c r="L524" s="1105"/>
      <c r="M524" s="1105"/>
      <c r="N524" s="1106"/>
    </row>
    <row r="525" spans="1:14" ht="16.5" x14ac:dyDescent="0.3">
      <c r="A525" s="572">
        <v>491</v>
      </c>
      <c r="B525" s="1100"/>
      <c r="C525" s="1088"/>
      <c r="D525" s="1623" t="s">
        <v>927</v>
      </c>
      <c r="E525" s="1090"/>
      <c r="F525" s="1102"/>
      <c r="G525" s="1103"/>
      <c r="H525" s="1104"/>
      <c r="I525" s="1624">
        <f t="shared" si="132"/>
        <v>553</v>
      </c>
      <c r="J525" s="1105"/>
      <c r="K525" s="1105"/>
      <c r="L525" s="1105"/>
      <c r="M525" s="1105"/>
      <c r="N525" s="1621">
        <f>SUM(N523:N524)</f>
        <v>553</v>
      </c>
    </row>
    <row r="526" spans="1:14" ht="16.5" x14ac:dyDescent="0.3">
      <c r="A526" s="572">
        <v>492</v>
      </c>
      <c r="B526" s="165"/>
      <c r="C526" s="161"/>
      <c r="D526" s="172" t="s">
        <v>108</v>
      </c>
      <c r="E526" s="158">
        <v>650</v>
      </c>
      <c r="F526" s="166">
        <v>553</v>
      </c>
      <c r="G526" s="167">
        <v>553</v>
      </c>
      <c r="H526" s="584"/>
      <c r="I526" s="1265"/>
      <c r="J526" s="1266"/>
      <c r="K526" s="1266"/>
      <c r="L526" s="1266"/>
      <c r="M526" s="1266"/>
      <c r="N526" s="1267"/>
    </row>
    <row r="527" spans="1:14" ht="16.5" x14ac:dyDescent="0.3">
      <c r="A527" s="572">
        <v>493</v>
      </c>
      <c r="B527" s="1100"/>
      <c r="C527" s="1088"/>
      <c r="D527" s="1101" t="s">
        <v>292</v>
      </c>
      <c r="E527" s="1090"/>
      <c r="F527" s="1102"/>
      <c r="G527" s="1103"/>
      <c r="H527" s="1104"/>
      <c r="I527" s="1085">
        <f>SUM(J527:N527)</f>
        <v>553</v>
      </c>
      <c r="J527" s="1105"/>
      <c r="K527" s="1105"/>
      <c r="L527" s="1105"/>
      <c r="M527" s="1105"/>
      <c r="N527" s="1106">
        <v>553</v>
      </c>
    </row>
    <row r="528" spans="1:14" ht="16.5" x14ac:dyDescent="0.3">
      <c r="A528" s="572">
        <v>494</v>
      </c>
      <c r="B528" s="1100"/>
      <c r="C528" s="1088"/>
      <c r="D528" s="1623" t="s">
        <v>929</v>
      </c>
      <c r="E528" s="1090"/>
      <c r="F528" s="1102"/>
      <c r="G528" s="1103"/>
      <c r="H528" s="1104"/>
      <c r="I528" s="1611">
        <f t="shared" ref="I528:I529" si="133">SUM(J528:N528)</f>
        <v>0</v>
      </c>
      <c r="J528" s="1105"/>
      <c r="K528" s="1105"/>
      <c r="L528" s="1105"/>
      <c r="M528" s="1105"/>
      <c r="N528" s="1106"/>
    </row>
    <row r="529" spans="1:14" ht="16.5" x14ac:dyDescent="0.3">
      <c r="A529" s="572">
        <v>495</v>
      </c>
      <c r="B529" s="1100"/>
      <c r="C529" s="1088"/>
      <c r="D529" s="1623" t="s">
        <v>927</v>
      </c>
      <c r="E529" s="1090"/>
      <c r="F529" s="1102"/>
      <c r="G529" s="1103"/>
      <c r="H529" s="1104"/>
      <c r="I529" s="1624">
        <f t="shared" si="133"/>
        <v>553</v>
      </c>
      <c r="J529" s="1105"/>
      <c r="K529" s="1105"/>
      <c r="L529" s="1105"/>
      <c r="M529" s="1105"/>
      <c r="N529" s="1621">
        <f>SUM(N527:N528)</f>
        <v>553</v>
      </c>
    </row>
    <row r="530" spans="1:14" ht="16.5" x14ac:dyDescent="0.3">
      <c r="A530" s="572">
        <v>496</v>
      </c>
      <c r="B530" s="165"/>
      <c r="C530" s="161"/>
      <c r="D530" s="172" t="s">
        <v>109</v>
      </c>
      <c r="E530" s="158">
        <v>650</v>
      </c>
      <c r="F530" s="166">
        <v>553</v>
      </c>
      <c r="G530" s="167">
        <v>553</v>
      </c>
      <c r="H530" s="584"/>
      <c r="I530" s="1265"/>
      <c r="J530" s="1266"/>
      <c r="K530" s="1266"/>
      <c r="L530" s="1266"/>
      <c r="M530" s="1266"/>
      <c r="N530" s="1267"/>
    </row>
    <row r="531" spans="1:14" ht="16.5" x14ac:dyDescent="0.3">
      <c r="A531" s="572">
        <v>497</v>
      </c>
      <c r="B531" s="1100"/>
      <c r="C531" s="1088"/>
      <c r="D531" s="1101" t="s">
        <v>292</v>
      </c>
      <c r="E531" s="1090"/>
      <c r="F531" s="1102"/>
      <c r="G531" s="1103"/>
      <c r="H531" s="1104"/>
      <c r="I531" s="1085">
        <f>SUM(J531:N531)</f>
        <v>553</v>
      </c>
      <c r="J531" s="1105"/>
      <c r="K531" s="1105"/>
      <c r="L531" s="1105"/>
      <c r="M531" s="1105"/>
      <c r="N531" s="1106">
        <v>553</v>
      </c>
    </row>
    <row r="532" spans="1:14" ht="16.5" x14ac:dyDescent="0.3">
      <c r="A532" s="572">
        <v>498</v>
      </c>
      <c r="B532" s="1115"/>
      <c r="C532" s="1088"/>
      <c r="D532" s="1623" t="s">
        <v>929</v>
      </c>
      <c r="E532" s="1094"/>
      <c r="F532" s="1116"/>
      <c r="G532" s="1117"/>
      <c r="H532" s="1120"/>
      <c r="I532" s="1611">
        <f t="shared" ref="I532:I533" si="134">SUM(J532:N532)</f>
        <v>0</v>
      </c>
      <c r="J532" s="1118"/>
      <c r="K532" s="1118"/>
      <c r="L532" s="1118"/>
      <c r="M532" s="1118"/>
      <c r="N532" s="1119"/>
    </row>
    <row r="533" spans="1:14" ht="16.5" x14ac:dyDescent="0.3">
      <c r="A533" s="572">
        <v>499</v>
      </c>
      <c r="B533" s="1115"/>
      <c r="C533" s="1088"/>
      <c r="D533" s="1623" t="s">
        <v>927</v>
      </c>
      <c r="E533" s="1094"/>
      <c r="F533" s="1116"/>
      <c r="G533" s="1117"/>
      <c r="H533" s="1120"/>
      <c r="I533" s="1624">
        <f t="shared" si="134"/>
        <v>553</v>
      </c>
      <c r="J533" s="1118"/>
      <c r="K533" s="1118"/>
      <c r="L533" s="1118"/>
      <c r="M533" s="1118"/>
      <c r="N533" s="1614">
        <f>SUM(N531:N532)</f>
        <v>553</v>
      </c>
    </row>
    <row r="534" spans="1:14" ht="45" x14ac:dyDescent="0.3">
      <c r="A534" s="572">
        <v>500</v>
      </c>
      <c r="B534" s="603"/>
      <c r="C534" s="549">
        <v>119</v>
      </c>
      <c r="D534" s="567" t="s">
        <v>448</v>
      </c>
      <c r="E534" s="185"/>
      <c r="F534" s="163">
        <v>3700</v>
      </c>
      <c r="G534" s="164">
        <v>0</v>
      </c>
      <c r="H534" s="585" t="s">
        <v>24</v>
      </c>
      <c r="I534" s="1082"/>
      <c r="J534" s="1268"/>
      <c r="K534" s="1268"/>
      <c r="L534" s="1258"/>
      <c r="M534" s="1268"/>
      <c r="N534" s="1269"/>
    </row>
    <row r="535" spans="1:14" ht="16.5" x14ac:dyDescent="0.3">
      <c r="A535" s="572">
        <v>501</v>
      </c>
      <c r="B535" s="630"/>
      <c r="C535" s="156">
        <v>120</v>
      </c>
      <c r="D535" s="567" t="s">
        <v>536</v>
      </c>
      <c r="E535" s="185">
        <v>344</v>
      </c>
      <c r="F535" s="163">
        <v>341</v>
      </c>
      <c r="G535" s="164">
        <v>0</v>
      </c>
      <c r="H535" s="585" t="s">
        <v>24</v>
      </c>
      <c r="I535" s="1082"/>
      <c r="J535" s="1268"/>
      <c r="K535" s="1268"/>
      <c r="L535" s="1258"/>
      <c r="M535" s="1268"/>
      <c r="N535" s="1269"/>
    </row>
    <row r="536" spans="1:14" ht="16.5" x14ac:dyDescent="0.3">
      <c r="A536" s="572">
        <v>502</v>
      </c>
      <c r="B536" s="630"/>
      <c r="C536" s="156">
        <v>121</v>
      </c>
      <c r="D536" s="567" t="s">
        <v>449</v>
      </c>
      <c r="E536" s="185">
        <v>605</v>
      </c>
      <c r="F536" s="163">
        <v>1895</v>
      </c>
      <c r="G536" s="164">
        <v>381</v>
      </c>
      <c r="H536" s="585" t="s">
        <v>24</v>
      </c>
      <c r="I536" s="1082"/>
      <c r="J536" s="1268"/>
      <c r="K536" s="1268"/>
      <c r="L536" s="1258"/>
      <c r="M536" s="1268"/>
      <c r="N536" s="1269"/>
    </row>
    <row r="537" spans="1:14" ht="16.5" x14ac:dyDescent="0.3">
      <c r="A537" s="572">
        <v>503</v>
      </c>
      <c r="B537" s="1115"/>
      <c r="C537" s="1088"/>
      <c r="D537" s="1089" t="s">
        <v>292</v>
      </c>
      <c r="E537" s="1094"/>
      <c r="F537" s="1116"/>
      <c r="G537" s="1117"/>
      <c r="H537" s="1120"/>
      <c r="I537" s="1082">
        <f>SUM(J537:N537)</f>
        <v>1600</v>
      </c>
      <c r="J537" s="1118"/>
      <c r="K537" s="1118"/>
      <c r="L537" s="1097">
        <v>1600</v>
      </c>
      <c r="M537" s="1118"/>
      <c r="N537" s="1119"/>
    </row>
    <row r="538" spans="1:14" ht="16.5" x14ac:dyDescent="0.3">
      <c r="A538" s="572">
        <v>504</v>
      </c>
      <c r="B538" s="1115"/>
      <c r="C538" s="1088"/>
      <c r="D538" s="1499" t="s">
        <v>926</v>
      </c>
      <c r="E538" s="1094"/>
      <c r="F538" s="1116"/>
      <c r="G538" s="1117"/>
      <c r="H538" s="1120"/>
      <c r="I538" s="1611">
        <f t="shared" ref="I538:I542" si="135">SUM(J538:N538)</f>
        <v>1514</v>
      </c>
      <c r="J538" s="1118"/>
      <c r="K538" s="1118"/>
      <c r="L538" s="1613">
        <v>1514</v>
      </c>
      <c r="M538" s="1118"/>
      <c r="N538" s="1119"/>
    </row>
    <row r="539" spans="1:14" ht="16.5" x14ac:dyDescent="0.3">
      <c r="A539" s="572">
        <v>505</v>
      </c>
      <c r="B539" s="1115"/>
      <c r="C539" s="1088"/>
      <c r="D539" s="641" t="s">
        <v>927</v>
      </c>
      <c r="E539" s="1094"/>
      <c r="F539" s="1116"/>
      <c r="G539" s="1117"/>
      <c r="H539" s="1120"/>
      <c r="I539" s="1615">
        <f t="shared" si="135"/>
        <v>3114</v>
      </c>
      <c r="J539" s="1118"/>
      <c r="K539" s="1118"/>
      <c r="L539" s="1616">
        <f>SUM(L537:L538)</f>
        <v>3114</v>
      </c>
      <c r="M539" s="1118"/>
      <c r="N539" s="1119"/>
    </row>
    <row r="540" spans="1:14" ht="16.5" x14ac:dyDescent="0.3">
      <c r="A540" s="572">
        <v>506</v>
      </c>
      <c r="B540" s="630"/>
      <c r="C540" s="156">
        <v>122</v>
      </c>
      <c r="D540" s="567" t="s">
        <v>626</v>
      </c>
      <c r="E540" s="185">
        <v>3000</v>
      </c>
      <c r="F540" s="163">
        <v>3000</v>
      </c>
      <c r="G540" s="164">
        <v>1704</v>
      </c>
      <c r="H540" s="585" t="s">
        <v>24</v>
      </c>
      <c r="I540" s="1082"/>
      <c r="J540" s="1268"/>
      <c r="K540" s="1268"/>
      <c r="L540" s="1258"/>
      <c r="M540" s="1268"/>
      <c r="N540" s="1269"/>
    </row>
    <row r="541" spans="1:14" ht="16.5" x14ac:dyDescent="0.3">
      <c r="A541" s="572">
        <v>507</v>
      </c>
      <c r="B541" s="630"/>
      <c r="C541" s="156"/>
      <c r="D541" s="1499" t="s">
        <v>926</v>
      </c>
      <c r="E541" s="185"/>
      <c r="F541" s="163"/>
      <c r="G541" s="164"/>
      <c r="H541" s="585"/>
      <c r="I541" s="1611">
        <f t="shared" si="135"/>
        <v>1296</v>
      </c>
      <c r="J541" s="1268"/>
      <c r="K541" s="1268"/>
      <c r="L541" s="1613">
        <v>1296</v>
      </c>
      <c r="M541" s="1268"/>
      <c r="N541" s="1269"/>
    </row>
    <row r="542" spans="1:14" ht="16.5" x14ac:dyDescent="0.3">
      <c r="A542" s="572">
        <v>508</v>
      </c>
      <c r="B542" s="630"/>
      <c r="C542" s="156"/>
      <c r="D542" s="641" t="s">
        <v>927</v>
      </c>
      <c r="E542" s="185"/>
      <c r="F542" s="163"/>
      <c r="G542" s="164"/>
      <c r="H542" s="585"/>
      <c r="I542" s="1615">
        <f t="shared" si="135"/>
        <v>1296</v>
      </c>
      <c r="J542" s="1268"/>
      <c r="K542" s="1268"/>
      <c r="L542" s="1616">
        <f>SUM(L541)</f>
        <v>1296</v>
      </c>
      <c r="M542" s="1268"/>
      <c r="N542" s="1269"/>
    </row>
    <row r="543" spans="1:14" ht="16.5" x14ac:dyDescent="0.3">
      <c r="A543" s="572">
        <v>509</v>
      </c>
      <c r="B543" s="630"/>
      <c r="C543" s="156">
        <v>123</v>
      </c>
      <c r="D543" s="567" t="s">
        <v>450</v>
      </c>
      <c r="E543" s="185"/>
      <c r="F543" s="163">
        <v>2800</v>
      </c>
      <c r="G543" s="164">
        <v>1800</v>
      </c>
      <c r="H543" s="585" t="s">
        <v>24</v>
      </c>
      <c r="I543" s="1082"/>
      <c r="J543" s="1268"/>
      <c r="K543" s="1268"/>
      <c r="L543" s="1258"/>
      <c r="M543" s="1268"/>
      <c r="N543" s="1269"/>
    </row>
    <row r="544" spans="1:14" ht="16.5" x14ac:dyDescent="0.3">
      <c r="A544" s="572">
        <v>510</v>
      </c>
      <c r="B544" s="1115"/>
      <c r="C544" s="1088"/>
      <c r="D544" s="1089" t="s">
        <v>292</v>
      </c>
      <c r="E544" s="1094"/>
      <c r="F544" s="1116"/>
      <c r="G544" s="1117"/>
      <c r="H544" s="1120"/>
      <c r="I544" s="1082">
        <f>SUM(J544:N544)</f>
        <v>2000</v>
      </c>
      <c r="J544" s="1118"/>
      <c r="K544" s="1118"/>
      <c r="L544" s="1097">
        <v>2000</v>
      </c>
      <c r="M544" s="1118"/>
      <c r="N544" s="1119"/>
    </row>
    <row r="545" spans="1:14" ht="16.5" x14ac:dyDescent="0.3">
      <c r="A545" s="572">
        <v>511</v>
      </c>
      <c r="B545" s="1115"/>
      <c r="C545" s="1088"/>
      <c r="D545" s="1499" t="s">
        <v>926</v>
      </c>
      <c r="E545" s="1094"/>
      <c r="F545" s="1116"/>
      <c r="G545" s="1117"/>
      <c r="H545" s="1120"/>
      <c r="I545" s="1611">
        <f t="shared" ref="I545:I546" si="136">SUM(J545:N545)</f>
        <v>1000</v>
      </c>
      <c r="J545" s="1118"/>
      <c r="K545" s="1118"/>
      <c r="L545" s="1613">
        <v>1000</v>
      </c>
      <c r="M545" s="1118"/>
      <c r="N545" s="1119"/>
    </row>
    <row r="546" spans="1:14" ht="16.5" x14ac:dyDescent="0.3">
      <c r="A546" s="572">
        <v>512</v>
      </c>
      <c r="B546" s="1115"/>
      <c r="C546" s="1088"/>
      <c r="D546" s="641" t="s">
        <v>927</v>
      </c>
      <c r="E546" s="1094"/>
      <c r="F546" s="1116"/>
      <c r="G546" s="1117"/>
      <c r="H546" s="1120"/>
      <c r="I546" s="1615">
        <f t="shared" si="136"/>
        <v>3000</v>
      </c>
      <c r="J546" s="1118"/>
      <c r="K546" s="1118"/>
      <c r="L546" s="1616">
        <f>SUM(L544:L545)</f>
        <v>3000</v>
      </c>
      <c r="M546" s="1118"/>
      <c r="N546" s="1119"/>
    </row>
    <row r="547" spans="1:14" ht="16.5" x14ac:dyDescent="0.3">
      <c r="A547" s="572">
        <v>513</v>
      </c>
      <c r="B547" s="174"/>
      <c r="C547" s="156">
        <v>124</v>
      </c>
      <c r="D547" s="566" t="s">
        <v>347</v>
      </c>
      <c r="E547" s="185"/>
      <c r="F547" s="163"/>
      <c r="G547" s="186"/>
      <c r="H547" s="585" t="s">
        <v>24</v>
      </c>
      <c r="I547" s="1082"/>
      <c r="J547" s="1258"/>
      <c r="K547" s="1258"/>
      <c r="L547" s="1258"/>
      <c r="M547" s="1258"/>
      <c r="N547" s="1259"/>
    </row>
    <row r="548" spans="1:14" ht="16.5" x14ac:dyDescent="0.3">
      <c r="A548" s="572">
        <v>514</v>
      </c>
      <c r="B548" s="1121"/>
      <c r="C548" s="1122"/>
      <c r="D548" s="1089" t="s">
        <v>292</v>
      </c>
      <c r="E548" s="185">
        <v>6531</v>
      </c>
      <c r="F548" s="185">
        <v>13969</v>
      </c>
      <c r="G548" s="186">
        <v>10738</v>
      </c>
      <c r="H548" s="1096"/>
      <c r="I548" s="1082">
        <f>SUM(J548:N548)</f>
        <v>12000</v>
      </c>
      <c r="J548" s="1097"/>
      <c r="K548" s="1097"/>
      <c r="L548" s="1097"/>
      <c r="M548" s="1097"/>
      <c r="N548" s="1098">
        <v>12000</v>
      </c>
    </row>
    <row r="549" spans="1:14" ht="16.5" x14ac:dyDescent="0.3">
      <c r="A549" s="572">
        <v>515</v>
      </c>
      <c r="B549" s="1121"/>
      <c r="C549" s="1122"/>
      <c r="D549" s="1499" t="s">
        <v>926</v>
      </c>
      <c r="E549" s="185"/>
      <c r="F549" s="185"/>
      <c r="G549" s="186"/>
      <c r="H549" s="1096"/>
      <c r="I549" s="1611">
        <f t="shared" ref="I549:I550" si="137">SUM(J549:N549)</f>
        <v>3231</v>
      </c>
      <c r="J549" s="1097"/>
      <c r="K549" s="1097"/>
      <c r="L549" s="1097"/>
      <c r="M549" s="1097"/>
      <c r="N549" s="1639">
        <v>3231</v>
      </c>
    </row>
    <row r="550" spans="1:14" ht="16.5" x14ac:dyDescent="0.3">
      <c r="A550" s="572">
        <v>516</v>
      </c>
      <c r="B550" s="1121"/>
      <c r="C550" s="1122"/>
      <c r="D550" s="641" t="s">
        <v>927</v>
      </c>
      <c r="E550" s="185"/>
      <c r="F550" s="185"/>
      <c r="G550" s="186"/>
      <c r="H550" s="1096"/>
      <c r="I550" s="1615">
        <f t="shared" si="137"/>
        <v>15231</v>
      </c>
      <c r="J550" s="1097"/>
      <c r="K550" s="1097"/>
      <c r="L550" s="1097"/>
      <c r="M550" s="1097"/>
      <c r="N550" s="1640">
        <f>SUM(N548:N549)</f>
        <v>15231</v>
      </c>
    </row>
    <row r="551" spans="1:14" ht="16.5" x14ac:dyDescent="0.3">
      <c r="A551" s="572">
        <v>517</v>
      </c>
      <c r="B551" s="173"/>
      <c r="C551" s="156">
        <v>125</v>
      </c>
      <c r="D551" s="566" t="s">
        <v>531</v>
      </c>
      <c r="E551" s="185"/>
      <c r="F551" s="185"/>
      <c r="G551" s="186"/>
      <c r="H551" s="585" t="s">
        <v>24</v>
      </c>
      <c r="I551" s="1082"/>
      <c r="J551" s="1258"/>
      <c r="K551" s="1258"/>
      <c r="L551" s="1258"/>
      <c r="M551" s="1258"/>
      <c r="N551" s="1259"/>
    </row>
    <row r="552" spans="1:14" ht="16.5" x14ac:dyDescent="0.3">
      <c r="A552" s="572">
        <v>518</v>
      </c>
      <c r="B552" s="1111"/>
      <c r="C552" s="1122"/>
      <c r="D552" s="1089" t="s">
        <v>292</v>
      </c>
      <c r="E552" s="185">
        <v>698</v>
      </c>
      <c r="F552" s="185">
        <v>687</v>
      </c>
      <c r="G552" s="186">
        <v>95</v>
      </c>
      <c r="H552" s="1096"/>
      <c r="I552" s="1082">
        <f>SUM(J552:N552)</f>
        <v>2000</v>
      </c>
      <c r="J552" s="1097"/>
      <c r="K552" s="1097"/>
      <c r="L552" s="1097">
        <v>2000</v>
      </c>
      <c r="M552" s="1097"/>
      <c r="N552" s="1098"/>
    </row>
    <row r="553" spans="1:14" ht="16.5" x14ac:dyDescent="0.3">
      <c r="A553" s="572">
        <v>519</v>
      </c>
      <c r="B553" s="1111"/>
      <c r="C553" s="1122"/>
      <c r="D553" s="1499" t="s">
        <v>926</v>
      </c>
      <c r="E553" s="185"/>
      <c r="F553" s="185"/>
      <c r="G553" s="186"/>
      <c r="H553" s="1096"/>
      <c r="I553" s="1611">
        <f t="shared" ref="I553:I554" si="138">SUM(J553:N553)</f>
        <v>592</v>
      </c>
      <c r="J553" s="1097"/>
      <c r="K553" s="1097"/>
      <c r="L553" s="1613">
        <v>592</v>
      </c>
      <c r="M553" s="1097"/>
      <c r="N553" s="1098"/>
    </row>
    <row r="554" spans="1:14" ht="16.5" x14ac:dyDescent="0.3">
      <c r="A554" s="572">
        <v>520</v>
      </c>
      <c r="B554" s="1111"/>
      <c r="C554" s="1122"/>
      <c r="D554" s="641" t="s">
        <v>927</v>
      </c>
      <c r="E554" s="185"/>
      <c r="F554" s="185"/>
      <c r="G554" s="186"/>
      <c r="H554" s="1096"/>
      <c r="I554" s="1615">
        <f t="shared" si="138"/>
        <v>2592</v>
      </c>
      <c r="J554" s="1097"/>
      <c r="K554" s="1097"/>
      <c r="L554" s="1616">
        <f>SUM(L552:L553)</f>
        <v>2592</v>
      </c>
      <c r="M554" s="1097"/>
      <c r="N554" s="1098"/>
    </row>
    <row r="555" spans="1:14" ht="16.5" x14ac:dyDescent="0.3">
      <c r="A555" s="572">
        <v>521</v>
      </c>
      <c r="B555" s="1111"/>
      <c r="C555" s="156">
        <v>126</v>
      </c>
      <c r="D555" s="566" t="s">
        <v>762</v>
      </c>
      <c r="E555" s="185"/>
      <c r="F555" s="185"/>
      <c r="G555" s="186"/>
      <c r="H555" s="585" t="s">
        <v>24</v>
      </c>
      <c r="I555" s="1082"/>
      <c r="J555" s="1097"/>
      <c r="K555" s="1097"/>
      <c r="L555" s="1097"/>
      <c r="M555" s="1097"/>
      <c r="N555" s="1098"/>
    </row>
    <row r="556" spans="1:14" ht="16.5" x14ac:dyDescent="0.3">
      <c r="A556" s="572">
        <v>522</v>
      </c>
      <c r="B556" s="1111"/>
      <c r="C556" s="1122"/>
      <c r="D556" s="1089" t="s">
        <v>292</v>
      </c>
      <c r="E556" s="1094"/>
      <c r="F556" s="1094"/>
      <c r="G556" s="1095"/>
      <c r="H556" s="1096"/>
      <c r="I556" s="1082">
        <f>SUM(J556:N556)</f>
        <v>1200</v>
      </c>
      <c r="J556" s="1097"/>
      <c r="K556" s="1097"/>
      <c r="L556" s="1097">
        <v>1200</v>
      </c>
      <c r="M556" s="1097"/>
      <c r="N556" s="1098"/>
    </row>
    <row r="557" spans="1:14" ht="16.5" x14ac:dyDescent="0.3">
      <c r="A557" s="572">
        <v>523</v>
      </c>
      <c r="B557" s="1111"/>
      <c r="C557" s="1122"/>
      <c r="D557" s="1499" t="s">
        <v>929</v>
      </c>
      <c r="E557" s="1094"/>
      <c r="F557" s="1094"/>
      <c r="G557" s="1095"/>
      <c r="H557" s="1096"/>
      <c r="I557" s="1611">
        <f t="shared" ref="I557:I570" si="139">SUM(J557:N557)</f>
        <v>0</v>
      </c>
      <c r="J557" s="1097"/>
      <c r="K557" s="1097"/>
      <c r="L557" s="1097"/>
      <c r="M557" s="1097"/>
      <c r="N557" s="1098"/>
    </row>
    <row r="558" spans="1:14" ht="16.5" x14ac:dyDescent="0.3">
      <c r="A558" s="572">
        <v>524</v>
      </c>
      <c r="B558" s="1111"/>
      <c r="C558" s="1122"/>
      <c r="D558" s="641" t="s">
        <v>927</v>
      </c>
      <c r="E558" s="1094"/>
      <c r="F558" s="1094"/>
      <c r="G558" s="1095"/>
      <c r="H558" s="1096"/>
      <c r="I558" s="1615">
        <f t="shared" si="139"/>
        <v>1200</v>
      </c>
      <c r="J558" s="1097"/>
      <c r="K558" s="1097"/>
      <c r="L558" s="1616">
        <f>SUM(L556:L557)</f>
        <v>1200</v>
      </c>
      <c r="M558" s="1097"/>
      <c r="N558" s="1098"/>
    </row>
    <row r="559" spans="1:14" ht="16.5" x14ac:dyDescent="0.3">
      <c r="A559" s="572">
        <v>525</v>
      </c>
      <c r="B559" s="1111"/>
      <c r="C559" s="156">
        <v>127</v>
      </c>
      <c r="D559" s="642" t="s">
        <v>1011</v>
      </c>
      <c r="E559" s="1094"/>
      <c r="F559" s="1094"/>
      <c r="G559" s="1095"/>
      <c r="H559" s="585" t="s">
        <v>24</v>
      </c>
      <c r="I559" s="1615"/>
      <c r="J559" s="1097"/>
      <c r="K559" s="1097"/>
      <c r="L559" s="1616"/>
      <c r="M559" s="1097"/>
      <c r="N559" s="1098"/>
    </row>
    <row r="560" spans="1:14" ht="16.5" x14ac:dyDescent="0.3">
      <c r="A560" s="572">
        <v>526</v>
      </c>
      <c r="B560" s="1111"/>
      <c r="C560" s="1122"/>
      <c r="D560" s="1499" t="s">
        <v>929</v>
      </c>
      <c r="E560" s="1094"/>
      <c r="F560" s="1094"/>
      <c r="G560" s="1095"/>
      <c r="H560" s="1096"/>
      <c r="I560" s="1611">
        <f t="shared" si="139"/>
        <v>2286</v>
      </c>
      <c r="J560" s="1097"/>
      <c r="K560" s="1097"/>
      <c r="L560" s="1613">
        <v>2286</v>
      </c>
      <c r="M560" s="1097"/>
      <c r="N560" s="1098"/>
    </row>
    <row r="561" spans="1:14" ht="16.5" x14ac:dyDescent="0.3">
      <c r="A561" s="572">
        <v>527</v>
      </c>
      <c r="B561" s="1111"/>
      <c r="C561" s="1122"/>
      <c r="D561" s="641" t="s">
        <v>927</v>
      </c>
      <c r="E561" s="1094"/>
      <c r="F561" s="1094"/>
      <c r="G561" s="1095"/>
      <c r="H561" s="1096"/>
      <c r="I561" s="1615">
        <f t="shared" si="139"/>
        <v>2286</v>
      </c>
      <c r="J561" s="1097"/>
      <c r="K561" s="1097"/>
      <c r="L561" s="1616">
        <f>SUM(L560)</f>
        <v>2286</v>
      </c>
      <c r="M561" s="1097"/>
      <c r="N561" s="1098"/>
    </row>
    <row r="562" spans="1:14" ht="16.5" x14ac:dyDescent="0.3">
      <c r="A562" s="572">
        <v>528</v>
      </c>
      <c r="B562" s="160"/>
      <c r="C562" s="156">
        <v>128</v>
      </c>
      <c r="D562" s="566" t="s">
        <v>262</v>
      </c>
      <c r="E562" s="158"/>
      <c r="F562" s="158">
        <v>1210</v>
      </c>
      <c r="G562" s="159">
        <v>0</v>
      </c>
      <c r="H562" s="583" t="s">
        <v>24</v>
      </c>
      <c r="I562" s="1260"/>
      <c r="J562" s="1261"/>
      <c r="K562" s="1261"/>
      <c r="L562" s="1261"/>
      <c r="M562" s="1261"/>
      <c r="N562" s="1262"/>
    </row>
    <row r="563" spans="1:14" ht="16.5" x14ac:dyDescent="0.3">
      <c r="A563" s="572">
        <v>529</v>
      </c>
      <c r="B563" s="160"/>
      <c r="C563" s="156"/>
      <c r="D563" s="1499" t="s">
        <v>926</v>
      </c>
      <c r="E563" s="158"/>
      <c r="F563" s="158"/>
      <c r="G563" s="159"/>
      <c r="H563" s="583"/>
      <c r="I563" s="1611">
        <f t="shared" si="139"/>
        <v>1210</v>
      </c>
      <c r="J563" s="1261"/>
      <c r="K563" s="1261"/>
      <c r="L563" s="1643">
        <v>1210</v>
      </c>
      <c r="M563" s="1261"/>
      <c r="N563" s="1262"/>
    </row>
    <row r="564" spans="1:14" ht="16.5" x14ac:dyDescent="0.3">
      <c r="A564" s="572">
        <v>530</v>
      </c>
      <c r="B564" s="160"/>
      <c r="C564" s="156"/>
      <c r="D564" s="641" t="s">
        <v>927</v>
      </c>
      <c r="E564" s="158"/>
      <c r="F564" s="158"/>
      <c r="G564" s="159"/>
      <c r="H564" s="583"/>
      <c r="I564" s="1615">
        <f t="shared" si="139"/>
        <v>1210</v>
      </c>
      <c r="J564" s="1261"/>
      <c r="K564" s="1261"/>
      <c r="L564" s="1644">
        <f>SUM(L563)</f>
        <v>1210</v>
      </c>
      <c r="M564" s="1261"/>
      <c r="N564" s="1262"/>
    </row>
    <row r="565" spans="1:14" ht="16.5" x14ac:dyDescent="0.3">
      <c r="A565" s="572">
        <v>531</v>
      </c>
      <c r="B565" s="160"/>
      <c r="C565" s="156">
        <v>129</v>
      </c>
      <c r="D565" s="566" t="s">
        <v>263</v>
      </c>
      <c r="E565" s="158"/>
      <c r="F565" s="158">
        <v>1254</v>
      </c>
      <c r="G565" s="159">
        <v>0</v>
      </c>
      <c r="H565" s="583" t="s">
        <v>24</v>
      </c>
      <c r="I565" s="1260"/>
      <c r="J565" s="1261"/>
      <c r="K565" s="1261"/>
      <c r="L565" s="1261"/>
      <c r="M565" s="1261"/>
      <c r="N565" s="1262"/>
    </row>
    <row r="566" spans="1:14" ht="16.5" x14ac:dyDescent="0.3">
      <c r="A566" s="572">
        <v>532</v>
      </c>
      <c r="B566" s="160"/>
      <c r="C566" s="156"/>
      <c r="D566" s="1499" t="s">
        <v>926</v>
      </c>
      <c r="E566" s="158"/>
      <c r="F566" s="158"/>
      <c r="G566" s="159"/>
      <c r="H566" s="583"/>
      <c r="I566" s="1611">
        <f t="shared" si="139"/>
        <v>1254</v>
      </c>
      <c r="J566" s="1261"/>
      <c r="K566" s="1261"/>
      <c r="L566" s="1643">
        <v>1254</v>
      </c>
      <c r="M566" s="1261"/>
      <c r="N566" s="1262"/>
    </row>
    <row r="567" spans="1:14" ht="16.5" x14ac:dyDescent="0.3">
      <c r="A567" s="572">
        <v>533</v>
      </c>
      <c r="B567" s="160"/>
      <c r="C567" s="156"/>
      <c r="D567" s="641" t="s">
        <v>927</v>
      </c>
      <c r="E567" s="158"/>
      <c r="F567" s="158"/>
      <c r="G567" s="159"/>
      <c r="H567" s="583"/>
      <c r="I567" s="1615">
        <f t="shared" si="139"/>
        <v>1254</v>
      </c>
      <c r="J567" s="1261"/>
      <c r="K567" s="1261"/>
      <c r="L567" s="1618">
        <f>SUM(L566)</f>
        <v>1254</v>
      </c>
      <c r="M567" s="1261"/>
      <c r="N567" s="1262"/>
    </row>
    <row r="568" spans="1:14" x14ac:dyDescent="0.35">
      <c r="A568" s="572">
        <v>534</v>
      </c>
      <c r="B568" s="1250"/>
      <c r="C568" s="156">
        <v>130</v>
      </c>
      <c r="D568" s="567" t="s">
        <v>771</v>
      </c>
      <c r="E568" s="1251"/>
      <c r="F568" s="185">
        <v>32172</v>
      </c>
      <c r="G568" s="185">
        <v>26352</v>
      </c>
      <c r="H568" s="1252" t="s">
        <v>24</v>
      </c>
      <c r="I568" s="1270"/>
      <c r="J568" s="1271"/>
      <c r="K568" s="1271"/>
      <c r="L568" s="1271"/>
      <c r="M568" s="1271"/>
      <c r="N568" s="1272"/>
    </row>
    <row r="569" spans="1:14" ht="16.5" x14ac:dyDescent="0.3">
      <c r="A569" s="572">
        <v>535</v>
      </c>
      <c r="B569" s="160"/>
      <c r="C569" s="156"/>
      <c r="D569" s="1499" t="s">
        <v>926</v>
      </c>
      <c r="E569" s="158"/>
      <c r="F569" s="158"/>
      <c r="G569" s="159"/>
      <c r="H569" s="583"/>
      <c r="I569" s="1611">
        <f t="shared" si="139"/>
        <v>3818</v>
      </c>
      <c r="J569" s="1261"/>
      <c r="K569" s="1261"/>
      <c r="L569" s="1617">
        <v>3818</v>
      </c>
      <c r="M569" s="1261"/>
      <c r="N569" s="1262"/>
    </row>
    <row r="570" spans="1:14" ht="16.5" x14ac:dyDescent="0.3">
      <c r="A570" s="572">
        <v>536</v>
      </c>
      <c r="B570" s="160"/>
      <c r="C570" s="156"/>
      <c r="D570" s="641" t="s">
        <v>927</v>
      </c>
      <c r="E570" s="158"/>
      <c r="F570" s="158"/>
      <c r="G570" s="159"/>
      <c r="H570" s="583"/>
      <c r="I570" s="1615">
        <f t="shared" si="139"/>
        <v>3818</v>
      </c>
      <c r="J570" s="1261"/>
      <c r="K570" s="1261"/>
      <c r="L570" s="1618">
        <f>SUM(L569)</f>
        <v>3818</v>
      </c>
      <c r="M570" s="1261"/>
      <c r="N570" s="1262"/>
    </row>
    <row r="571" spans="1:14" ht="16.5" x14ac:dyDescent="0.3">
      <c r="A571" s="572">
        <v>537</v>
      </c>
      <c r="B571" s="160"/>
      <c r="C571" s="156">
        <v>131</v>
      </c>
      <c r="D571" s="162" t="s">
        <v>419</v>
      </c>
      <c r="E571" s="158"/>
      <c r="F571" s="158">
        <v>451</v>
      </c>
      <c r="G571" s="159">
        <v>0</v>
      </c>
      <c r="H571" s="583" t="s">
        <v>24</v>
      </c>
      <c r="I571" s="1260"/>
      <c r="J571" s="1261"/>
      <c r="K571" s="1261"/>
      <c r="L571" s="1261"/>
      <c r="M571" s="1261"/>
      <c r="N571" s="1262"/>
    </row>
    <row r="572" spans="1:14" ht="16.5" x14ac:dyDescent="0.3">
      <c r="A572" s="572">
        <v>538</v>
      </c>
      <c r="B572" s="160"/>
      <c r="C572" s="156">
        <v>132</v>
      </c>
      <c r="D572" s="162" t="s">
        <v>420</v>
      </c>
      <c r="E572" s="158"/>
      <c r="F572" s="158">
        <v>259</v>
      </c>
      <c r="G572" s="159">
        <v>0</v>
      </c>
      <c r="H572" s="583" t="s">
        <v>24</v>
      </c>
      <c r="I572" s="1260"/>
      <c r="J572" s="1261"/>
      <c r="K572" s="1261"/>
      <c r="L572" s="1261"/>
      <c r="M572" s="1261"/>
      <c r="N572" s="1262"/>
    </row>
    <row r="573" spans="1:14" ht="16.5" x14ac:dyDescent="0.3">
      <c r="A573" s="572">
        <v>539</v>
      </c>
      <c r="B573" s="160"/>
      <c r="C573" s="156">
        <v>133</v>
      </c>
      <c r="D573" s="162" t="s">
        <v>533</v>
      </c>
      <c r="E573" s="158"/>
      <c r="F573" s="158">
        <v>480</v>
      </c>
      <c r="G573" s="159">
        <v>0</v>
      </c>
      <c r="H573" s="583" t="s">
        <v>24</v>
      </c>
      <c r="I573" s="1082"/>
      <c r="J573" s="1261"/>
      <c r="K573" s="1261"/>
      <c r="L573" s="1261"/>
      <c r="M573" s="1261"/>
      <c r="N573" s="1262"/>
    </row>
    <row r="574" spans="1:14" ht="16.5" x14ac:dyDescent="0.3">
      <c r="A574" s="572">
        <v>540</v>
      </c>
      <c r="B574" s="160"/>
      <c r="C574" s="156">
        <v>134</v>
      </c>
      <c r="D574" s="162" t="s">
        <v>627</v>
      </c>
      <c r="E574" s="158"/>
      <c r="F574" s="158">
        <v>362</v>
      </c>
      <c r="G574" s="159">
        <v>0</v>
      </c>
      <c r="H574" s="583" t="s">
        <v>24</v>
      </c>
      <c r="I574" s="1082"/>
      <c r="J574" s="1261"/>
      <c r="K574" s="1261"/>
      <c r="L574" s="1261"/>
      <c r="M574" s="1261"/>
      <c r="N574" s="1262"/>
    </row>
    <row r="575" spans="1:14" ht="16.5" x14ac:dyDescent="0.3">
      <c r="A575" s="572">
        <v>541</v>
      </c>
      <c r="B575" s="160"/>
      <c r="C575" s="156">
        <v>135</v>
      </c>
      <c r="D575" s="162" t="s">
        <v>534</v>
      </c>
      <c r="E575" s="158"/>
      <c r="F575" s="158">
        <v>400</v>
      </c>
      <c r="G575" s="159">
        <v>0</v>
      </c>
      <c r="H575" s="583" t="s">
        <v>24</v>
      </c>
      <c r="I575" s="1082"/>
      <c r="J575" s="1261"/>
      <c r="K575" s="1261"/>
      <c r="L575" s="1261"/>
      <c r="M575" s="1261"/>
      <c r="N575" s="1262"/>
    </row>
    <row r="576" spans="1:14" ht="16.5" x14ac:dyDescent="0.3">
      <c r="A576" s="572">
        <v>542</v>
      </c>
      <c r="B576" s="160"/>
      <c r="C576" s="156">
        <v>136</v>
      </c>
      <c r="D576" s="162" t="s">
        <v>535</v>
      </c>
      <c r="E576" s="158"/>
      <c r="F576" s="158">
        <v>738</v>
      </c>
      <c r="G576" s="159">
        <v>0</v>
      </c>
      <c r="H576" s="583" t="s">
        <v>24</v>
      </c>
      <c r="I576" s="1082"/>
      <c r="J576" s="1261"/>
      <c r="K576" s="1261"/>
      <c r="L576" s="1261"/>
      <c r="M576" s="1261"/>
      <c r="N576" s="1262"/>
    </row>
    <row r="577" spans="1:14" ht="16.5" x14ac:dyDescent="0.3">
      <c r="A577" s="572">
        <v>543</v>
      </c>
      <c r="B577" s="160"/>
      <c r="C577" s="156">
        <v>137</v>
      </c>
      <c r="D577" s="162" t="s">
        <v>453</v>
      </c>
      <c r="E577" s="158"/>
      <c r="F577" s="158">
        <v>100</v>
      </c>
      <c r="G577" s="159">
        <v>0</v>
      </c>
      <c r="H577" s="583" t="s">
        <v>24</v>
      </c>
      <c r="I577" s="1260"/>
      <c r="J577" s="1261"/>
      <c r="K577" s="1261"/>
      <c r="L577" s="1261"/>
      <c r="M577" s="1261"/>
      <c r="N577" s="1262"/>
    </row>
    <row r="578" spans="1:14" ht="16.5" x14ac:dyDescent="0.3">
      <c r="A578" s="572">
        <v>544</v>
      </c>
      <c r="B578" s="160"/>
      <c r="C578" s="156">
        <v>138</v>
      </c>
      <c r="D578" s="157" t="s">
        <v>446</v>
      </c>
      <c r="E578" s="158">
        <v>2112</v>
      </c>
      <c r="F578" s="158">
        <v>0</v>
      </c>
      <c r="G578" s="159">
        <v>159</v>
      </c>
      <c r="H578" s="583" t="s">
        <v>23</v>
      </c>
      <c r="I578" s="1082"/>
      <c r="J578" s="1255"/>
      <c r="K578" s="1255"/>
      <c r="L578" s="1255"/>
      <c r="M578" s="1255"/>
      <c r="N578" s="1256"/>
    </row>
    <row r="579" spans="1:14" ht="16.5" x14ac:dyDescent="0.3">
      <c r="A579" s="572">
        <v>545</v>
      </c>
      <c r="B579" s="174"/>
      <c r="C579" s="156">
        <v>139</v>
      </c>
      <c r="D579" s="157" t="s">
        <v>110</v>
      </c>
      <c r="E579" s="185"/>
      <c r="F579" s="185"/>
      <c r="G579" s="185">
        <v>49</v>
      </c>
      <c r="H579" s="585" t="s">
        <v>24</v>
      </c>
      <c r="I579" s="1082"/>
      <c r="J579" s="1258"/>
      <c r="K579" s="1258"/>
      <c r="L579" s="1258"/>
      <c r="M579" s="1258"/>
      <c r="N579" s="1259"/>
    </row>
    <row r="580" spans="1:14" ht="16.5" x14ac:dyDescent="0.3">
      <c r="A580" s="572">
        <v>546</v>
      </c>
      <c r="B580" s="155"/>
      <c r="C580" s="156">
        <v>140</v>
      </c>
      <c r="D580" s="157" t="s">
        <v>92</v>
      </c>
      <c r="E580" s="158">
        <v>21955</v>
      </c>
      <c r="F580" s="158">
        <v>0</v>
      </c>
      <c r="G580" s="159">
        <v>0</v>
      </c>
      <c r="H580" s="583" t="s">
        <v>24</v>
      </c>
      <c r="I580" s="1082"/>
      <c r="J580" s="1255"/>
      <c r="K580" s="1255"/>
      <c r="L580" s="1255"/>
      <c r="M580" s="1255"/>
      <c r="N580" s="1256"/>
    </row>
    <row r="581" spans="1:14" ht="16.5" x14ac:dyDescent="0.3">
      <c r="A581" s="572">
        <v>547</v>
      </c>
      <c r="B581" s="155"/>
      <c r="C581" s="156">
        <v>141</v>
      </c>
      <c r="D581" s="1367" t="s">
        <v>393</v>
      </c>
      <c r="E581" s="158">
        <v>135683</v>
      </c>
      <c r="F581" s="158">
        <v>70760</v>
      </c>
      <c r="G581" s="159">
        <v>70760</v>
      </c>
      <c r="H581" s="583" t="s">
        <v>23</v>
      </c>
      <c r="I581" s="1082"/>
      <c r="J581" s="1255"/>
      <c r="K581" s="1255"/>
      <c r="L581" s="1255"/>
      <c r="M581" s="1255"/>
      <c r="N581" s="1256"/>
    </row>
    <row r="582" spans="1:14" ht="16.5" x14ac:dyDescent="0.3">
      <c r="A582" s="572">
        <v>548</v>
      </c>
      <c r="B582" s="174"/>
      <c r="C582" s="156">
        <v>142</v>
      </c>
      <c r="D582" s="162" t="s">
        <v>581</v>
      </c>
      <c r="E582" s="185"/>
      <c r="F582" s="163">
        <v>41919</v>
      </c>
      <c r="G582" s="186">
        <v>14960</v>
      </c>
      <c r="H582" s="585" t="s">
        <v>23</v>
      </c>
      <c r="I582" s="1082"/>
      <c r="J582" s="1258"/>
      <c r="K582" s="1258"/>
      <c r="L582" s="1258"/>
      <c r="M582" s="1258"/>
      <c r="N582" s="1259"/>
    </row>
    <row r="583" spans="1:14" ht="16.5" x14ac:dyDescent="0.3">
      <c r="A583" s="572">
        <v>549</v>
      </c>
      <c r="B583" s="174"/>
      <c r="C583" s="156">
        <v>143</v>
      </c>
      <c r="D583" s="162" t="s">
        <v>418</v>
      </c>
      <c r="E583" s="185">
        <v>268</v>
      </c>
      <c r="F583" s="163">
        <v>509</v>
      </c>
      <c r="G583" s="186">
        <v>0</v>
      </c>
      <c r="H583" s="583" t="s">
        <v>24</v>
      </c>
      <c r="I583" s="1082"/>
      <c r="J583" s="1258"/>
      <c r="K583" s="1258"/>
      <c r="L583" s="1258"/>
      <c r="M583" s="1258"/>
      <c r="N583" s="1259"/>
    </row>
    <row r="584" spans="1:14" ht="16.5" x14ac:dyDescent="0.3">
      <c r="A584" s="572">
        <v>550</v>
      </c>
      <c r="B584" s="155"/>
      <c r="C584" s="156">
        <v>144</v>
      </c>
      <c r="D584" s="157" t="s">
        <v>444</v>
      </c>
      <c r="E584" s="158">
        <v>1000</v>
      </c>
      <c r="F584" s="158">
        <v>0</v>
      </c>
      <c r="G584" s="159">
        <v>0</v>
      </c>
      <c r="H584" s="583" t="s">
        <v>24</v>
      </c>
      <c r="I584" s="1260"/>
      <c r="J584" s="1261"/>
      <c r="K584" s="1261"/>
      <c r="L584" s="1261"/>
      <c r="M584" s="1261"/>
      <c r="N584" s="1262"/>
    </row>
    <row r="585" spans="1:14" thickBot="1" x14ac:dyDescent="0.35">
      <c r="A585" s="572">
        <v>551</v>
      </c>
      <c r="B585" s="173"/>
      <c r="C585" s="156">
        <v>145</v>
      </c>
      <c r="D585" s="162" t="s">
        <v>532</v>
      </c>
      <c r="E585" s="185"/>
      <c r="F585" s="185">
        <v>4000</v>
      </c>
      <c r="G585" s="186"/>
      <c r="H585" s="585" t="s">
        <v>24</v>
      </c>
      <c r="I585" s="1082"/>
      <c r="J585" s="1258"/>
      <c r="K585" s="1258"/>
      <c r="L585" s="1258"/>
      <c r="M585" s="1258"/>
      <c r="N585" s="1259"/>
    </row>
    <row r="586" spans="1:14" thickTop="1" x14ac:dyDescent="0.3">
      <c r="A586" s="572">
        <v>552</v>
      </c>
      <c r="B586" s="1645"/>
      <c r="C586" s="1646"/>
      <c r="D586" s="2052" t="s">
        <v>13</v>
      </c>
      <c r="E586" s="2053"/>
      <c r="F586" s="2053"/>
      <c r="G586" s="2054"/>
      <c r="H586" s="1647"/>
      <c r="I586" s="1648"/>
      <c r="J586" s="1648"/>
      <c r="K586" s="1648"/>
      <c r="L586" s="1648"/>
      <c r="M586" s="1648"/>
      <c r="N586" s="1649"/>
    </row>
    <row r="587" spans="1:14" ht="16.5" x14ac:dyDescent="0.3">
      <c r="A587" s="572">
        <v>553</v>
      </c>
      <c r="B587" s="565"/>
      <c r="C587" s="1650"/>
      <c r="D587" s="2055" t="s">
        <v>292</v>
      </c>
      <c r="E587" s="2056"/>
      <c r="F587" s="2056"/>
      <c r="G587" s="2057"/>
      <c r="H587" s="583"/>
      <c r="I587" s="806">
        <f>SUM(J587:N587)</f>
        <v>5426646</v>
      </c>
      <c r="J587" s="1123">
        <f>J556+J552+J548+J544+J537+J511+J506+J502+J498+J494+J490+J486+J482+J478+J474+J470+J466+J462+J458+J454+J450+J446+J442+J435+J431+J427+J423+J418+J413+J409+J405+J401+J397+J392+J388+J382+J378+J373+J369+J363+J359+J355+J351+J347+J342+J338+J334+J330+J326+J322+J317+J313+J309+J304+J300+J291+J287+J283+J279+J275+J271+J267+J263+J219+J215+J211+J207+J203+J189+J175+J171+J167+J163+J159+J155+J151+J147+J143+J139+J135+J131+J93+J88+J84+J80+J76+J60+J56+J31+J26+J22+J15+J11</f>
        <v>155795</v>
      </c>
      <c r="K587" s="1123">
        <f>K556+K552+K548+K544+K537+K511+K506+K502+K498+K494+K490+K486+K482+K478+K474+K470+K466+K462+K458+K454+K450+K446+K442+K435+K431+K427+K423+K418+K413+K409+K405+K401+K397+K392+K388+K382+K378+K373+K369+K363+K359+K355+K351+K347+K342+K338+K334+K330+K326+K322+K317+K313+K309+K304+K300+K291+K287+K283+K279+K275+K271+K267+K263+K219+K215+K211+K207+K203+K189+K175+K171+K167+K163+K159+K155+K151+K147+K143+K139+K135+K131+K93+K88+K84+K80+K76+K60+K56+K31+K26+K22+K15+K11</f>
        <v>23456</v>
      </c>
      <c r="L587" s="1123">
        <f>L556+L552+L548+L544+L537+L511+L506+L502+L498+L494+L490+L486+L482+L478+L474+L470+L466+L462+L458+L454+L450+L446+L442+L435+L431+L427+L423+L418+L413+L409+L405+L401+L397+L392+L388+L382+L378+L373+L369+L363+L359+L355+L351+L347+L342+L338+L334+L330+L326+L322+L317+L313+L309+L304+L300+L291+L287+L283+L279+L275+L271+L267+L263+L219+L215+L211+L207+L203+L189+L175+L171+L167+L163+L159+L155+L151+L147+L143+L139+L135+L131+L93+L88+L84+L80+L76+L60+L56+L31+L26+L22+L15+L11</f>
        <v>1768220</v>
      </c>
      <c r="M587" s="1123">
        <f>M556+M552+M548+M544+M537+M511+M506+M502+M498+M494+M490+M486+M482+M478+M474+M470+M466+M462+M458+M454+M450+M446+M442+M435+M431+M427+M423+M418+M413+M409+M405+M401+M397+M392+M388+M382+M378+M373+M369+M363+M359+M355+M351+M347+M342+M338+M334+M330+M326+M322+M317+M313+M309+M304+M300+M291+M287+M283+M279+M275+M271+M267+M263+M219+M215+M211+M207+M203+M189+M175+M171+M167+M163+M159+M155+M151+M147+M143+M139+M135+M131+M93+M88+M84+M80+M76+M60+M56+M31+M26+M22+M15+M11</f>
        <v>36460</v>
      </c>
      <c r="N587" s="1651">
        <f>N556+N552+N548+N544+N537+N511+N506+N502+N498+N494+N490+N486+N482+N478+N474+N470+N466+N462+N458+N454+N450+N446+N442+N435+N431+N427+N423+N418+N413+N409+N405+N401+N397+N392+N388+N382+N378+N373+N369+N363+N359+N355+N351+N347+N342+N338+N334+N330+N326+N322+N317+N313+N309+N304+N300+N291+N287+N283+N279+N275+N271+N267+N263+N219+N215+N211+N207+N203+N189+N175+N171+N167+N163+N159+N155+N151+N147+N143+N139+N135+N131+N93+N88+N84+N80+N76+N60+N56+N31+N26+N22+N15+N11</f>
        <v>3442715</v>
      </c>
    </row>
    <row r="588" spans="1:14" ht="16.5" x14ac:dyDescent="0.3">
      <c r="A588" s="572">
        <v>554</v>
      </c>
      <c r="B588" s="1652"/>
      <c r="C588" s="1653"/>
      <c r="D588" s="2058" t="s">
        <v>929</v>
      </c>
      <c r="E588" s="2059"/>
      <c r="F588" s="2059"/>
      <c r="G588" s="2060"/>
      <c r="H588" s="1654"/>
      <c r="I588" s="1624">
        <f t="shared" ref="I588:I589" si="140">SUM(J588:N588)</f>
        <v>707107</v>
      </c>
      <c r="J588" s="1655">
        <f>J557+J553+J549+J545+J538+J512+J507+J503+J499+J495+J491+J487+J483+J479+J475+J471+J467+J463+J459+J455+J451+J447+J443+J436+J432+J428+J424+J419+J414+J410+J406+J402+J398+J393+J389+J383+J379+J374+J370+J364+J360+J356+J352+J348+J343+J339+J335+J331+J327+J323+J318+J314+J310+J305+J301+J292+J288+J284+J280+J276+J272+J268+J264+J220+J216+J212+J208+J204+J190+J176+J172+J168+J164+J160+J156+J152+J148+J144+J140+J136+J132+J94+J89+J85+J81+J77+J61+J57+J32+J27+J23+J16+J12+J293+J294+J296+J394+J344+J384+J560+J541+J563+J566+J569+J64+J295+J297</f>
        <v>39699</v>
      </c>
      <c r="K588" s="1655">
        <f t="shared" ref="K588:N588" si="141">K557+K553+K549+K545+K538+K512+K507+K503+K499+K495+K491+K487+K483+K479+K475+K471+K467+K463+K459+K455+K451+K447+K443+K436+K432+K428+K424+K419+K414+K410+K406+K402+K398+K393+K389+K383+K379+K374+K370+K364+K360+K356+K352+K348+K343+K339+K335+K331+K327+K323+K318+K314+K310+K305+K301+K292+K288+K284+K280+K276+K272+K268+K264+K220+K216+K212+K208+K204+K190+K176+K172+K168+K164+K160+K156+K152+K148+K144+K140+K136+K132+K94+K89+K85+K81+K77+K61+K57+K32+K27+K23+K16+K12+K293+K294+K296+K394+K344+K384+K560+K541+K563+K566+K569+K64+K295+K297</f>
        <v>12931</v>
      </c>
      <c r="L588" s="1655">
        <f t="shared" si="141"/>
        <v>217189</v>
      </c>
      <c r="M588" s="1655">
        <f t="shared" si="141"/>
        <v>10958</v>
      </c>
      <c r="N588" s="1656">
        <f t="shared" si="141"/>
        <v>426330</v>
      </c>
    </row>
    <row r="589" spans="1:14" thickBot="1" x14ac:dyDescent="0.35">
      <c r="A589" s="572">
        <v>555</v>
      </c>
      <c r="B589" s="1657"/>
      <c r="C589" s="1658"/>
      <c r="D589" s="2061" t="s">
        <v>927</v>
      </c>
      <c r="E589" s="2062"/>
      <c r="F589" s="2062"/>
      <c r="G589" s="2063"/>
      <c r="H589" s="1659"/>
      <c r="I589" s="1615">
        <f t="shared" si="140"/>
        <v>6133753</v>
      </c>
      <c r="J589" s="1660">
        <f>SUM(J587:J588)</f>
        <v>195494</v>
      </c>
      <c r="K589" s="1660">
        <f t="shared" ref="K589:N589" si="142">SUM(K587:K588)</f>
        <v>36387</v>
      </c>
      <c r="L589" s="1660">
        <f t="shared" si="142"/>
        <v>1985409</v>
      </c>
      <c r="M589" s="1660">
        <f t="shared" si="142"/>
        <v>47418</v>
      </c>
      <c r="N589" s="1661">
        <f t="shared" si="142"/>
        <v>3869045</v>
      </c>
    </row>
    <row r="590" spans="1:14" thickTop="1" x14ac:dyDescent="0.3">
      <c r="A590" s="572">
        <v>556</v>
      </c>
      <c r="B590" s="111"/>
      <c r="C590" s="112"/>
      <c r="D590" s="2064" t="s">
        <v>111</v>
      </c>
      <c r="E590" s="2065"/>
      <c r="F590" s="2065"/>
      <c r="G590" s="2066"/>
      <c r="H590" s="586"/>
      <c r="I590" s="1662"/>
      <c r="J590" s="1273"/>
      <c r="K590" s="1273"/>
      <c r="L590" s="1273"/>
      <c r="M590" s="1273"/>
      <c r="N590" s="1349"/>
    </row>
    <row r="591" spans="1:14" ht="16.5" x14ac:dyDescent="0.3">
      <c r="A591" s="572">
        <v>557</v>
      </c>
      <c r="B591" s="1087"/>
      <c r="C591" s="1088"/>
      <c r="D591" s="2055" t="s">
        <v>292</v>
      </c>
      <c r="E591" s="2056"/>
      <c r="F591" s="2056"/>
      <c r="G591" s="2057"/>
      <c r="H591" s="1092"/>
      <c r="I591" s="806">
        <f>SUM(J591:N591)</f>
        <v>4698100</v>
      </c>
      <c r="J591" s="1083">
        <f>J511+J506+J502+J498+J490+J486+J482+J478+J474+J470+J466+J462+J458+J454+J450+J446+J442+J435+J431+J427+J423+J413+J409+J405+J401+J392+J355+J347+J338+J334+J326+J322+J300+J291+J287+J283+J279+J263+J223+J215+J211+J207+J151+J143+J11+J342+J155+J147</f>
        <v>148380</v>
      </c>
      <c r="K591" s="1083">
        <f>K511+K506+K502+K498+K490+K486+K482+K478+K474+K470+K466+K462+K458+K454+K450+K446+K442+K435+K431+K427+K423+K413+K409+K405+K401+K392+K355+K347+K338+K334+K326+K322+K300+K291+K287+K283+K279+K263+K223+K215+K211+K207+K151+K143+K11+K342+K155+K147</f>
        <v>22676</v>
      </c>
      <c r="L591" s="1083">
        <f>L511+L506+L502+L498+L490+L486+L482+L478+L474+L470+L466+L462+L458+L454+L450+L446+L442+L435+L431+L427+L423+L413+L409+L405+L401+L392+L355+L347+L338+L334+L326+L322+L300+L291+L287+L283+L279+L263+L223+L215+L211+L207+L151+L143+L11+L342+L155+L147</f>
        <v>1376129</v>
      </c>
      <c r="M591" s="1083">
        <f>M511+M506+M502+M498+M490+M486+M482+M478+M474+M470+M466+M462+M458+M454+M450+M446+M442+M435+M431+M427+M423+M413+M409+M405+M401+M392+M355+M347+M338+M334+M326+M322+M300+M291+M287+M283+M279+M263+M223+M215+M211+M207+M151+M143+M11+M342+M155+M147</f>
        <v>8600</v>
      </c>
      <c r="N591" s="1084">
        <f>N511+N506+N502+N498+N490+N486+N482+N478+N474+N470+N466+N462+N458+N454+N450+N446+N442+N435+N431+N427+N423+N413+N409+N405+N401+N392+N355+N347+N338+N334+N326+N322+N300+N291+N287+N283+N279+N263+N223+N215+N211+N207+N151+N143+N11+N342+N155+N147</f>
        <v>3142315</v>
      </c>
    </row>
    <row r="592" spans="1:14" ht="16.5" x14ac:dyDescent="0.3">
      <c r="A592" s="572">
        <v>558</v>
      </c>
      <c r="B592" s="1087"/>
      <c r="C592" s="1088"/>
      <c r="D592" s="2058" t="s">
        <v>929</v>
      </c>
      <c r="E592" s="2059"/>
      <c r="F592" s="2059"/>
      <c r="G592" s="2060"/>
      <c r="H592" s="1092"/>
      <c r="I592" s="1611">
        <f t="shared" ref="I592:I593" si="143">SUM(J592:N592)</f>
        <v>655300</v>
      </c>
      <c r="J592" s="1617">
        <f>J512+J507+J503+J499+J491+J487+J483+J479+J475+J471+J467+J463+J459+J455+J451+J447+J443+J436+J432+J428+J424+J414+J410+J406+J402+J393+J356+J348+J339+J335+J327+J323+J301+J292+J288+J284+J280+J264+J224+J216+J212+J208+J152+J144+J12+J343+J156+J148+J293+J294+J296+J394+J344+J297+J295</f>
        <v>38699</v>
      </c>
      <c r="K592" s="1617">
        <f t="shared" ref="K592:N592" si="144">K512+K507+K503+K499+K491+K487+K483+K479+K475+K471+K467+K463+K459+K455+K451+K447+K443+K436+K432+K428+K424+K414+K410+K406+K402+K393+K356+K348+K339+K335+K327+K323+K301+K292+K288+K284+K280+K264+K224+K216+K212+K208+K152+K144+K12+K343+K156+K148+K293+K294+K296+K394+K344+K297+K295</f>
        <v>12731</v>
      </c>
      <c r="L592" s="1617">
        <f t="shared" si="144"/>
        <v>176314</v>
      </c>
      <c r="M592" s="1617">
        <f t="shared" si="144"/>
        <v>2008</v>
      </c>
      <c r="N592" s="1625">
        <f t="shared" si="144"/>
        <v>425548</v>
      </c>
    </row>
    <row r="593" spans="1:14" ht="16.5" x14ac:dyDescent="0.3">
      <c r="A593" s="572">
        <v>559</v>
      </c>
      <c r="B593" s="1087"/>
      <c r="C593" s="1088"/>
      <c r="D593" s="1911" t="s">
        <v>927</v>
      </c>
      <c r="E593" s="2071"/>
      <c r="F593" s="2071"/>
      <c r="G593" s="2072"/>
      <c r="H593" s="1092"/>
      <c r="I593" s="1615">
        <f t="shared" si="143"/>
        <v>5353400</v>
      </c>
      <c r="J593" s="1618">
        <f>SUM(J591:J592)</f>
        <v>187079</v>
      </c>
      <c r="K593" s="1618">
        <f t="shared" ref="K593:N593" si="145">SUM(K591:K592)</f>
        <v>35407</v>
      </c>
      <c r="L593" s="1618">
        <f t="shared" si="145"/>
        <v>1552443</v>
      </c>
      <c r="M593" s="1618">
        <f t="shared" si="145"/>
        <v>10608</v>
      </c>
      <c r="N593" s="1622">
        <f t="shared" si="145"/>
        <v>3567863</v>
      </c>
    </row>
    <row r="594" spans="1:14" ht="16.5" x14ac:dyDescent="0.3">
      <c r="A594" s="572">
        <v>560</v>
      </c>
      <c r="B594" s="113"/>
      <c r="C594" s="114"/>
      <c r="D594" s="2073" t="s">
        <v>112</v>
      </c>
      <c r="E594" s="2056"/>
      <c r="F594" s="2056"/>
      <c r="G594" s="2057"/>
      <c r="H594" s="587"/>
      <c r="I594" s="1274"/>
      <c r="J594" s="1255"/>
      <c r="K594" s="1255"/>
      <c r="L594" s="1255"/>
      <c r="M594" s="1255"/>
      <c r="N594" s="1256"/>
    </row>
    <row r="595" spans="1:14" ht="16.5" x14ac:dyDescent="0.3">
      <c r="A595" s="572">
        <v>561</v>
      </c>
      <c r="B595" s="1087"/>
      <c r="C595" s="1088"/>
      <c r="D595" s="2055" t="s">
        <v>292</v>
      </c>
      <c r="E595" s="2056"/>
      <c r="F595" s="2056"/>
      <c r="G595" s="2057"/>
      <c r="H595" s="1092"/>
      <c r="I595" s="1274">
        <f>SUM(J595:N595)</f>
        <v>728546</v>
      </c>
      <c r="J595" s="1083">
        <f>J556+J552+J548+J544+J537+J494+J397+J388+J382+J378+J373+J369+J363+J359+J351+J330+J317+J313+J309+J304+J275+J271+J267+J259+J255+J251+J247+J243+J239+J235+J231+J227+J203+J189+J175+J171+J167+J163+J159+J139+J135+J131+J93+J88+J84+J80+J76+J60+J56+J31+J26+J22+J15+J418</f>
        <v>7415</v>
      </c>
      <c r="K595" s="1083">
        <f>K556+K552+K548+K544+K537+K494+K397+K388+K382+K378+K373+K369+K363+K359+K351+K330+K317+K313+K309+K304+K275+K271+K267+K259+K255+K251+K247+K243+K239+K235+K231+K227+K203+K189+K175+K171+K167+K163+K159+K139+K135+K131+K93+K88+K84+K80+K76+K60+K56+K31+K26+K22+K15+K418</f>
        <v>780</v>
      </c>
      <c r="L595" s="1083">
        <f>L556+L552+L548+L544+L537+L494+L397+L388+L382+L378+L373+L369+L363+L359+L351+L330+L317+L313+L309+L304+L275+L271+L267+L259+L255+L251+L247+L243+L239+L235+L231+L227+L203+L189+L175+L171+L167+L163+L159+L139+L135+L131+L93+L88+L84+L80+L76+L60+L56+L31+L26+L22+L15+L418</f>
        <v>392091</v>
      </c>
      <c r="M595" s="1083">
        <f>M556+M552+M548+M544+M537+M494+M397+M388+M382+M378+M373+M369+M363+M359+M351+M330+M317+M313+M309+M304+M275+M271+M267+M259+M255+M251+M247+M243+M239+M235+M231+M227+M203+M189+M175+M171+M167+M163+M159+M139+M135+M131+M93+M88+M84+M80+M76+M60+M56+M31+M26+M22+M15+M418</f>
        <v>27860</v>
      </c>
      <c r="N595" s="1084">
        <f>N556+N552+N548+N544+N537+N494+N397+N388+N382+N378+N373+N369+N363+N359+N351+N330+N317+N313+N309+N304+N275+N271+N267+N259+N255+N251+N247+N243+N239+N235+N231+N227+N203+N189+N175+N171+N167+N163+N159+N139+N135+N131+N93+N88+N84+N80+N76+N60+N56+N31+N26+N22+N15+N418</f>
        <v>300400</v>
      </c>
    </row>
    <row r="596" spans="1:14" ht="16.5" x14ac:dyDescent="0.3">
      <c r="A596" s="572">
        <v>562</v>
      </c>
      <c r="B596" s="1087"/>
      <c r="C596" s="1088"/>
      <c r="D596" s="2058" t="s">
        <v>929</v>
      </c>
      <c r="E596" s="2059"/>
      <c r="F596" s="2059"/>
      <c r="G596" s="2060"/>
      <c r="H596" s="1092"/>
      <c r="I596" s="1611">
        <f t="shared" ref="I596:I597" si="146">SUM(J596:N596)</f>
        <v>51807</v>
      </c>
      <c r="J596" s="1617">
        <f>J557+J553+J549+J545+J538+J495+J398+J389+J383+J379+J374+J370+J364+J360+J352+J331+J318+J314+J310+J305+J276+J272+J268+J260+J256+J252+J248+J244+J240+J236+J232+J228+J204+J190+J176+J172+J168+J164+J160+J140+J136+J132+J94+J89+J85+J81+J77+J61+J57+J32+J27+J23+J16+J419+J384+J560+J541+J563+J566+J569+J64</f>
        <v>1000</v>
      </c>
      <c r="K596" s="1617">
        <f t="shared" ref="K596:N596" si="147">K557+K553+K549+K545+K538+K495+K398+K389+K383+K379+K374+K370+K364+K360+K352+K331+K318+K314+K310+K305+K276+K272+K268+K260+K256+K252+K248+K244+K240+K236+K232+K228+K204+K190+K176+K172+K168+K164+K160+K140+K136+K132+K94+K89+K85+K81+K77+K61+K57+K32+K27+K23+K16+K419+K384+K560+K541+K563+K566+K569+K64</f>
        <v>200</v>
      </c>
      <c r="L596" s="1617">
        <f t="shared" si="147"/>
        <v>40875</v>
      </c>
      <c r="M596" s="1617">
        <f t="shared" si="147"/>
        <v>8950</v>
      </c>
      <c r="N596" s="1625">
        <f t="shared" si="147"/>
        <v>782</v>
      </c>
    </row>
    <row r="597" spans="1:14" thickBot="1" x14ac:dyDescent="0.35">
      <c r="A597" s="572">
        <v>563</v>
      </c>
      <c r="B597" s="1125"/>
      <c r="C597" s="1126"/>
      <c r="D597" s="2067" t="s">
        <v>927</v>
      </c>
      <c r="E597" s="2068"/>
      <c r="F597" s="2068"/>
      <c r="G597" s="2069"/>
      <c r="H597" s="1127"/>
      <c r="I597" s="1663">
        <f t="shared" si="146"/>
        <v>780353</v>
      </c>
      <c r="J597" s="1664">
        <f>SUM(J595:J596)</f>
        <v>8415</v>
      </c>
      <c r="K597" s="1664">
        <f t="shared" ref="K597:N597" si="148">SUM(K595:K596)</f>
        <v>980</v>
      </c>
      <c r="L597" s="1664">
        <f t="shared" si="148"/>
        <v>432966</v>
      </c>
      <c r="M597" s="1664">
        <f t="shared" si="148"/>
        <v>36810</v>
      </c>
      <c r="N597" s="1665">
        <f t="shared" si="148"/>
        <v>301182</v>
      </c>
    </row>
    <row r="598" spans="1:14" ht="16.5" x14ac:dyDescent="0.3">
      <c r="A598" s="573"/>
      <c r="B598" s="2070" t="s">
        <v>27</v>
      </c>
      <c r="C598" s="2070"/>
      <c r="D598" s="2070"/>
      <c r="E598" s="153"/>
      <c r="F598" s="153"/>
      <c r="G598" s="153"/>
      <c r="H598" s="564"/>
      <c r="I598" s="154"/>
      <c r="J598" s="153"/>
      <c r="K598" s="153"/>
      <c r="L598" s="153"/>
      <c r="M598" s="153"/>
      <c r="N598" s="153"/>
    </row>
    <row r="599" spans="1:14" ht="16.5" x14ac:dyDescent="0.3">
      <c r="A599" s="573"/>
      <c r="B599" s="604" t="s">
        <v>28</v>
      </c>
      <c r="C599" s="604"/>
      <c r="D599" s="604"/>
      <c r="E599" s="153"/>
      <c r="F599" s="153"/>
      <c r="G599" s="153"/>
      <c r="H599" s="564"/>
      <c r="I599" s="154"/>
      <c r="J599" s="153"/>
      <c r="K599" s="153"/>
      <c r="L599" s="153"/>
      <c r="M599" s="153"/>
      <c r="N599" s="153"/>
    </row>
    <row r="600" spans="1:14" ht="16.5" x14ac:dyDescent="0.3">
      <c r="A600" s="573"/>
      <c r="B600" s="2070" t="s">
        <v>29</v>
      </c>
      <c r="C600" s="2070"/>
      <c r="D600" s="2070"/>
      <c r="E600" s="153"/>
      <c r="F600" s="153"/>
      <c r="G600" s="153"/>
      <c r="H600" s="564"/>
      <c r="I600" s="154"/>
      <c r="J600" s="153"/>
      <c r="K600" s="153"/>
      <c r="L600" s="153"/>
      <c r="M600" s="153"/>
      <c r="N600" s="153"/>
    </row>
  </sheetData>
  <mergeCells count="29">
    <mergeCell ref="D596:G596"/>
    <mergeCell ref="D597:G597"/>
    <mergeCell ref="B598:D598"/>
    <mergeCell ref="B600:D600"/>
    <mergeCell ref="D591:G591"/>
    <mergeCell ref="D592:G592"/>
    <mergeCell ref="D593:G593"/>
    <mergeCell ref="D594:G594"/>
    <mergeCell ref="D595:G595"/>
    <mergeCell ref="D586:G586"/>
    <mergeCell ref="D587:G587"/>
    <mergeCell ref="D588:G588"/>
    <mergeCell ref="D589:G589"/>
    <mergeCell ref="D590:G590"/>
    <mergeCell ref="I7:I8"/>
    <mergeCell ref="J7:N7"/>
    <mergeCell ref="E7:E8"/>
    <mergeCell ref="B7:B8"/>
    <mergeCell ref="C7:C8"/>
    <mergeCell ref="G7:G8"/>
    <mergeCell ref="D7:D8"/>
    <mergeCell ref="F7:F8"/>
    <mergeCell ref="H7:H8"/>
    <mergeCell ref="B1:D1"/>
    <mergeCell ref="G1:I1"/>
    <mergeCell ref="B3:N3"/>
    <mergeCell ref="B4:N4"/>
    <mergeCell ref="M5:N5"/>
    <mergeCell ref="B2:F2"/>
  </mergeCells>
  <printOptions horizontalCentered="1"/>
  <pageMargins left="0.19685039370078741" right="0.19685039370078741" top="0.59055118110236227" bottom="0.59055118110236227" header="0.51181102362204722" footer="0.51181102362204722"/>
  <pageSetup paperSize="9" scale="66" fitToHeight="0" orientation="landscape" r:id="rId1"/>
  <headerFooter alignWithMargins="0">
    <oddFooter>&amp;C-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7"/>
  <sheetViews>
    <sheetView view="pageBreakPreview" zoomScaleNormal="100" zoomScaleSheetLayoutView="100" workbookViewId="0">
      <selection activeCell="B2" sqref="B2:F2"/>
    </sheetView>
  </sheetViews>
  <sheetFormatPr defaultColWidth="9.140625" defaultRowHeight="14.25" x14ac:dyDescent="0.2"/>
  <cols>
    <col min="1" max="1" width="3.7109375" style="633" customWidth="1"/>
    <col min="2" max="2" width="79.85546875" style="272" bestFit="1" customWidth="1"/>
    <col min="3" max="3" width="12.7109375" style="272" customWidth="1"/>
    <col min="4" max="4" width="9.140625" style="272"/>
    <col min="5" max="5" width="90.42578125" style="272" customWidth="1"/>
    <col min="6" max="16384" width="9.140625" style="272"/>
  </cols>
  <sheetData>
    <row r="1" spans="1:10" s="446" customFormat="1" ht="16.5" x14ac:dyDescent="0.2">
      <c r="A1" s="913"/>
      <c r="B1" s="914" t="s">
        <v>909</v>
      </c>
      <c r="C1" s="915"/>
    </row>
    <row r="2" spans="1:10" s="141" customFormat="1" ht="16.5" x14ac:dyDescent="0.3">
      <c r="A2" s="126"/>
      <c r="B2" s="1896"/>
      <c r="C2" s="1896"/>
      <c r="D2" s="1896"/>
      <c r="E2" s="1896"/>
      <c r="F2" s="1896"/>
      <c r="G2" s="118"/>
      <c r="H2" s="118"/>
      <c r="I2" s="118"/>
      <c r="J2" s="282"/>
    </row>
    <row r="3" spans="1:10" ht="19.899999999999999" customHeight="1" x14ac:dyDescent="0.2">
      <c r="A3" s="913"/>
      <c r="B3" s="2034" t="s">
        <v>113</v>
      </c>
      <c r="C3" s="2034"/>
    </row>
    <row r="4" spans="1:10" ht="19.899999999999999" customHeight="1" x14ac:dyDescent="0.2">
      <c r="A4" s="913"/>
      <c r="B4" s="2034" t="s">
        <v>297</v>
      </c>
      <c r="C4" s="2034"/>
    </row>
    <row r="5" spans="1:10" ht="33.75" customHeight="1" x14ac:dyDescent="0.2">
      <c r="A5" s="913"/>
      <c r="B5" s="2078" t="s">
        <v>820</v>
      </c>
      <c r="C5" s="2078"/>
    </row>
    <row r="6" spans="1:10" s="916" customFormat="1" ht="19.899999999999999" customHeight="1" x14ac:dyDescent="0.3">
      <c r="A6" s="912"/>
      <c r="B6" s="2079" t="s">
        <v>0</v>
      </c>
      <c r="C6" s="2079"/>
    </row>
    <row r="7" spans="1:10" s="139" customFormat="1" ht="15" thickBot="1" x14ac:dyDescent="0.25">
      <c r="A7" s="632"/>
      <c r="B7" s="880" t="s">
        <v>1</v>
      </c>
      <c r="C7" s="879" t="s">
        <v>3</v>
      </c>
    </row>
    <row r="8" spans="1:10" ht="19.899999999999999" customHeight="1" x14ac:dyDescent="0.2">
      <c r="A8" s="188"/>
      <c r="B8" s="2074" t="s">
        <v>302</v>
      </c>
      <c r="C8" s="2076" t="s">
        <v>298</v>
      </c>
    </row>
    <row r="9" spans="1:10" ht="19.899999999999999" customHeight="1" thickBot="1" x14ac:dyDescent="0.25">
      <c r="A9" s="188"/>
      <c r="B9" s="2075"/>
      <c r="C9" s="2077"/>
    </row>
    <row r="10" spans="1:10" s="273" customFormat="1" ht="18" customHeight="1" thickTop="1" x14ac:dyDescent="0.2">
      <c r="A10" s="187">
        <v>1</v>
      </c>
      <c r="B10" s="180" t="s">
        <v>569</v>
      </c>
      <c r="C10" s="181">
        <v>1250</v>
      </c>
      <c r="D10" s="274"/>
      <c r="E10" s="275"/>
    </row>
    <row r="11" spans="1:10" s="273" customFormat="1" ht="18" customHeight="1" x14ac:dyDescent="0.2">
      <c r="A11" s="187">
        <v>2</v>
      </c>
      <c r="B11" s="180" t="s">
        <v>570</v>
      </c>
      <c r="C11" s="181">
        <v>1250</v>
      </c>
      <c r="D11" s="274"/>
      <c r="E11" s="275"/>
    </row>
    <row r="12" spans="1:10" s="273" customFormat="1" ht="18" customHeight="1" x14ac:dyDescent="0.2">
      <c r="A12" s="187">
        <v>3</v>
      </c>
      <c r="B12" s="180" t="s">
        <v>571</v>
      </c>
      <c r="C12" s="181">
        <v>800</v>
      </c>
      <c r="D12" s="274"/>
      <c r="E12" s="275"/>
    </row>
    <row r="13" spans="1:10" s="273" customFormat="1" ht="18" customHeight="1" x14ac:dyDescent="0.2">
      <c r="A13" s="187">
        <v>4</v>
      </c>
      <c r="B13" s="180" t="s">
        <v>456</v>
      </c>
      <c r="C13" s="181">
        <v>500</v>
      </c>
      <c r="D13" s="274"/>
      <c r="E13" s="275"/>
    </row>
    <row r="14" spans="1:10" s="273" customFormat="1" ht="18" customHeight="1" x14ac:dyDescent="0.2">
      <c r="A14" s="187">
        <v>5</v>
      </c>
      <c r="B14" s="180" t="s">
        <v>349</v>
      </c>
      <c r="C14" s="181">
        <v>25000</v>
      </c>
      <c r="D14" s="274"/>
      <c r="E14" s="275"/>
    </row>
    <row r="15" spans="1:10" s="273" customFormat="1" ht="18" customHeight="1" x14ac:dyDescent="0.2">
      <c r="A15" s="187">
        <v>6</v>
      </c>
      <c r="B15" s="180" t="s">
        <v>299</v>
      </c>
      <c r="C15" s="181">
        <v>2500</v>
      </c>
      <c r="D15" s="274"/>
      <c r="E15" s="275"/>
    </row>
    <row r="16" spans="1:10" s="273" customFormat="1" ht="18" customHeight="1" x14ac:dyDescent="0.2">
      <c r="A16" s="187">
        <v>7</v>
      </c>
      <c r="B16" s="180" t="s">
        <v>797</v>
      </c>
      <c r="C16" s="181">
        <v>12000</v>
      </c>
      <c r="D16" s="274"/>
      <c r="E16" s="275"/>
    </row>
    <row r="17" spans="1:5" s="273" customFormat="1" ht="18" customHeight="1" x14ac:dyDescent="0.2">
      <c r="A17" s="187">
        <v>8</v>
      </c>
      <c r="B17" s="180" t="s">
        <v>421</v>
      </c>
      <c r="C17" s="181">
        <v>60000</v>
      </c>
      <c r="D17" s="526"/>
      <c r="E17" s="275"/>
    </row>
    <row r="18" spans="1:5" ht="30" customHeight="1" x14ac:dyDescent="0.3">
      <c r="A18" s="187">
        <v>9</v>
      </c>
      <c r="B18" s="1666" t="s">
        <v>64</v>
      </c>
      <c r="C18" s="181"/>
    </row>
    <row r="19" spans="1:5" ht="16.5" x14ac:dyDescent="0.2">
      <c r="A19" s="187">
        <v>10</v>
      </c>
      <c r="B19" s="1667" t="s">
        <v>1012</v>
      </c>
      <c r="C19" s="1668">
        <v>12500</v>
      </c>
    </row>
    <row r="20" spans="1:5" ht="16.5" x14ac:dyDescent="0.2">
      <c r="A20" s="187">
        <v>11</v>
      </c>
      <c r="B20" s="180" t="s">
        <v>1013</v>
      </c>
      <c r="C20" s="181">
        <v>15000</v>
      </c>
    </row>
    <row r="21" spans="1:5" ht="16.5" x14ac:dyDescent="0.2">
      <c r="A21" s="187">
        <v>12</v>
      </c>
      <c r="B21" s="180" t="s">
        <v>1014</v>
      </c>
      <c r="C21" s="181">
        <v>8500</v>
      </c>
    </row>
    <row r="22" spans="1:5" ht="16.5" x14ac:dyDescent="0.2">
      <c r="A22" s="187">
        <v>13</v>
      </c>
      <c r="B22" s="180" t="s">
        <v>1015</v>
      </c>
      <c r="C22" s="181">
        <v>25000</v>
      </c>
    </row>
    <row r="23" spans="1:5" ht="16.5" x14ac:dyDescent="0.2">
      <c r="A23" s="187">
        <v>14</v>
      </c>
      <c r="B23" s="180" t="s">
        <v>1016</v>
      </c>
      <c r="C23" s="181">
        <v>3000</v>
      </c>
    </row>
    <row r="24" spans="1:5" ht="16.5" x14ac:dyDescent="0.2">
      <c r="A24" s="187">
        <v>15</v>
      </c>
      <c r="B24" s="180" t="s">
        <v>1017</v>
      </c>
      <c r="C24" s="181">
        <v>1500</v>
      </c>
    </row>
    <row r="25" spans="1:5" ht="16.5" x14ac:dyDescent="0.2">
      <c r="A25" s="187">
        <v>16</v>
      </c>
      <c r="B25" s="180" t="s">
        <v>1018</v>
      </c>
      <c r="C25" s="181">
        <v>1750</v>
      </c>
    </row>
    <row r="26" spans="1:5" ht="16.5" x14ac:dyDescent="0.2">
      <c r="A26" s="187">
        <v>17</v>
      </c>
      <c r="B26" s="180" t="s">
        <v>1019</v>
      </c>
      <c r="C26" s="181">
        <v>3000</v>
      </c>
    </row>
    <row r="27" spans="1:5" ht="16.5" x14ac:dyDescent="0.2">
      <c r="A27" s="187">
        <v>18</v>
      </c>
      <c r="B27" s="180" t="s">
        <v>1020</v>
      </c>
      <c r="C27" s="181">
        <v>2500</v>
      </c>
    </row>
    <row r="28" spans="1:5" ht="16.5" x14ac:dyDescent="0.2">
      <c r="A28" s="187">
        <v>19</v>
      </c>
      <c r="B28" s="180" t="s">
        <v>1021</v>
      </c>
      <c r="C28" s="181">
        <v>1600</v>
      </c>
    </row>
    <row r="29" spans="1:5" ht="16.5" x14ac:dyDescent="0.2">
      <c r="A29" s="187">
        <v>20</v>
      </c>
      <c r="B29" s="180" t="s">
        <v>1022</v>
      </c>
      <c r="C29" s="181">
        <v>500</v>
      </c>
    </row>
    <row r="30" spans="1:5" ht="16.5" x14ac:dyDescent="0.2">
      <c r="A30" s="187">
        <v>21</v>
      </c>
      <c r="B30" s="180" t="s">
        <v>1023</v>
      </c>
      <c r="C30" s="181">
        <v>4750</v>
      </c>
    </row>
    <row r="31" spans="1:5" ht="16.5" x14ac:dyDescent="0.2">
      <c r="A31" s="187">
        <v>22</v>
      </c>
      <c r="B31" s="180" t="s">
        <v>1024</v>
      </c>
      <c r="C31" s="181">
        <v>1500</v>
      </c>
    </row>
    <row r="32" spans="1:5" ht="16.5" x14ac:dyDescent="0.2">
      <c r="A32" s="187">
        <v>23</v>
      </c>
      <c r="B32" s="180" t="s">
        <v>1025</v>
      </c>
      <c r="C32" s="181">
        <v>500</v>
      </c>
    </row>
    <row r="33" spans="1:3" ht="16.5" x14ac:dyDescent="0.2">
      <c r="A33" s="187">
        <v>24</v>
      </c>
      <c r="B33" s="180" t="s">
        <v>1026</v>
      </c>
      <c r="C33" s="181">
        <v>500</v>
      </c>
    </row>
    <row r="34" spans="1:3" ht="16.5" x14ac:dyDescent="0.2">
      <c r="A34" s="187">
        <v>25</v>
      </c>
      <c r="B34" s="180" t="s">
        <v>1027</v>
      </c>
      <c r="C34" s="181">
        <v>400</v>
      </c>
    </row>
    <row r="35" spans="1:3" ht="16.5" x14ac:dyDescent="0.2">
      <c r="A35" s="187">
        <v>26</v>
      </c>
      <c r="B35" s="180" t="s">
        <v>1028</v>
      </c>
      <c r="C35" s="181">
        <v>400</v>
      </c>
    </row>
    <row r="36" spans="1:3" ht="16.5" x14ac:dyDescent="0.2">
      <c r="A36" s="187">
        <v>27</v>
      </c>
      <c r="B36" s="180" t="s">
        <v>1029</v>
      </c>
      <c r="C36" s="181">
        <v>400</v>
      </c>
    </row>
    <row r="37" spans="1:3" ht="16.5" x14ac:dyDescent="0.2">
      <c r="A37" s="187">
        <v>28</v>
      </c>
      <c r="B37" s="180" t="s">
        <v>1030</v>
      </c>
      <c r="C37" s="181">
        <v>200</v>
      </c>
    </row>
    <row r="38" spans="1:3" ht="16.5" x14ac:dyDescent="0.2">
      <c r="A38" s="187">
        <v>29</v>
      </c>
      <c r="B38" s="180" t="s">
        <v>1031</v>
      </c>
      <c r="C38" s="181">
        <v>200</v>
      </c>
    </row>
    <row r="39" spans="1:3" ht="16.5" x14ac:dyDescent="0.2">
      <c r="A39" s="187">
        <v>30</v>
      </c>
      <c r="B39" s="180" t="s">
        <v>1032</v>
      </c>
      <c r="C39" s="181">
        <v>200</v>
      </c>
    </row>
    <row r="40" spans="1:3" ht="16.5" x14ac:dyDescent="0.2">
      <c r="A40" s="187">
        <v>31</v>
      </c>
      <c r="B40" s="180" t="s">
        <v>1033</v>
      </c>
      <c r="C40" s="181">
        <v>200</v>
      </c>
    </row>
    <row r="41" spans="1:3" ht="16.5" x14ac:dyDescent="0.2">
      <c r="A41" s="187">
        <v>32</v>
      </c>
      <c r="B41" s="180" t="s">
        <v>1034</v>
      </c>
      <c r="C41" s="181">
        <v>200</v>
      </c>
    </row>
    <row r="42" spans="1:3" ht="16.5" x14ac:dyDescent="0.2">
      <c r="A42" s="187">
        <v>33</v>
      </c>
      <c r="B42" s="180" t="s">
        <v>1035</v>
      </c>
      <c r="C42" s="181">
        <v>150</v>
      </c>
    </row>
    <row r="43" spans="1:3" ht="16.5" x14ac:dyDescent="0.2">
      <c r="A43" s="187">
        <v>34</v>
      </c>
      <c r="B43" s="180" t="s">
        <v>1036</v>
      </c>
      <c r="C43" s="181">
        <v>150</v>
      </c>
    </row>
    <row r="44" spans="1:3" ht="16.5" x14ac:dyDescent="0.2">
      <c r="A44" s="187">
        <v>35</v>
      </c>
      <c r="B44" s="180" t="s">
        <v>1037</v>
      </c>
      <c r="C44" s="181">
        <v>150</v>
      </c>
    </row>
    <row r="45" spans="1:3" ht="16.5" x14ac:dyDescent="0.2">
      <c r="A45" s="187">
        <v>36</v>
      </c>
      <c r="B45" s="180" t="s">
        <v>1038</v>
      </c>
      <c r="C45" s="181">
        <v>100</v>
      </c>
    </row>
    <row r="46" spans="1:3" ht="16.5" x14ac:dyDescent="0.2">
      <c r="A46" s="187">
        <v>37</v>
      </c>
      <c r="B46" s="180" t="s">
        <v>1039</v>
      </c>
      <c r="C46" s="181">
        <v>100</v>
      </c>
    </row>
    <row r="47" spans="1:3" ht="16.5" x14ac:dyDescent="0.2">
      <c r="A47" s="187">
        <v>38</v>
      </c>
      <c r="B47" s="180" t="s">
        <v>1040</v>
      </c>
      <c r="C47" s="181">
        <v>100</v>
      </c>
    </row>
    <row r="48" spans="1:3" ht="16.5" x14ac:dyDescent="0.2">
      <c r="A48" s="187">
        <v>39</v>
      </c>
      <c r="B48" s="180" t="s">
        <v>1041</v>
      </c>
      <c r="C48" s="181">
        <v>100</v>
      </c>
    </row>
    <row r="49" spans="1:3" ht="16.5" x14ac:dyDescent="0.2">
      <c r="A49" s="187">
        <v>40</v>
      </c>
      <c r="B49" s="180" t="s">
        <v>1042</v>
      </c>
      <c r="C49" s="181">
        <v>100</v>
      </c>
    </row>
    <row r="50" spans="1:3" ht="16.5" x14ac:dyDescent="0.2">
      <c r="A50" s="187">
        <v>41</v>
      </c>
      <c r="B50" s="180" t="s">
        <v>1043</v>
      </c>
      <c r="C50" s="181">
        <v>100</v>
      </c>
    </row>
    <row r="51" spans="1:3" ht="16.5" x14ac:dyDescent="0.2">
      <c r="A51" s="187">
        <v>42</v>
      </c>
      <c r="B51" s="180" t="s">
        <v>1044</v>
      </c>
      <c r="C51" s="181">
        <v>100</v>
      </c>
    </row>
    <row r="52" spans="1:3" ht="16.5" x14ac:dyDescent="0.2">
      <c r="A52" s="187">
        <v>43</v>
      </c>
      <c r="B52" s="180" t="s">
        <v>1045</v>
      </c>
      <c r="C52" s="181">
        <v>100</v>
      </c>
    </row>
    <row r="53" spans="1:3" ht="16.5" x14ac:dyDescent="0.2">
      <c r="A53" s="187">
        <v>44</v>
      </c>
      <c r="B53" s="180" t="s">
        <v>1046</v>
      </c>
      <c r="C53" s="181">
        <v>100</v>
      </c>
    </row>
    <row r="54" spans="1:3" ht="16.5" x14ac:dyDescent="0.2">
      <c r="A54" s="187">
        <v>45</v>
      </c>
      <c r="B54" s="180" t="s">
        <v>1047</v>
      </c>
      <c r="C54" s="181">
        <v>100</v>
      </c>
    </row>
    <row r="55" spans="1:3" ht="16.5" x14ac:dyDescent="0.2">
      <c r="A55" s="187">
        <v>46</v>
      </c>
      <c r="B55" s="180" t="s">
        <v>1048</v>
      </c>
      <c r="C55" s="181">
        <v>100</v>
      </c>
    </row>
    <row r="56" spans="1:3" ht="16.5" x14ac:dyDescent="0.2">
      <c r="A56" s="187">
        <v>47</v>
      </c>
      <c r="B56" s="180" t="s">
        <v>1049</v>
      </c>
      <c r="C56" s="181">
        <v>100</v>
      </c>
    </row>
    <row r="57" spans="1:3" ht="16.5" x14ac:dyDescent="0.2">
      <c r="A57" s="187">
        <v>48</v>
      </c>
      <c r="B57" s="180" t="s">
        <v>1050</v>
      </c>
      <c r="C57" s="181">
        <v>100</v>
      </c>
    </row>
    <row r="58" spans="1:3" ht="16.5" x14ac:dyDescent="0.2">
      <c r="A58" s="187">
        <v>49</v>
      </c>
      <c r="B58" s="180" t="s">
        <v>1051</v>
      </c>
      <c r="C58" s="181">
        <v>100</v>
      </c>
    </row>
    <row r="59" spans="1:3" ht="16.5" x14ac:dyDescent="0.2">
      <c r="A59" s="187">
        <v>50</v>
      </c>
      <c r="B59" s="180" t="s">
        <v>1052</v>
      </c>
      <c r="C59" s="181">
        <v>100</v>
      </c>
    </row>
    <row r="60" spans="1:3" ht="16.5" x14ac:dyDescent="0.2">
      <c r="A60" s="187">
        <v>51</v>
      </c>
      <c r="B60" s="180" t="s">
        <v>1053</v>
      </c>
      <c r="C60" s="181">
        <v>100</v>
      </c>
    </row>
    <row r="61" spans="1:3" ht="16.5" x14ac:dyDescent="0.2">
      <c r="A61" s="187">
        <v>52</v>
      </c>
      <c r="B61" s="180" t="s">
        <v>1054</v>
      </c>
      <c r="C61" s="181">
        <v>100</v>
      </c>
    </row>
    <row r="62" spans="1:3" ht="17.25" x14ac:dyDescent="0.35">
      <c r="A62" s="187">
        <v>53</v>
      </c>
      <c r="B62" s="1669" t="s">
        <v>1055</v>
      </c>
      <c r="C62" s="1668"/>
    </row>
    <row r="63" spans="1:3" ht="16.5" x14ac:dyDescent="0.2">
      <c r="A63" s="187">
        <v>54</v>
      </c>
      <c r="B63" s="180" t="s">
        <v>1031</v>
      </c>
      <c r="C63" s="181">
        <v>1100</v>
      </c>
    </row>
    <row r="64" spans="1:3" ht="16.5" x14ac:dyDescent="0.2">
      <c r="A64" s="187">
        <v>55</v>
      </c>
      <c r="B64" s="180" t="s">
        <v>1019</v>
      </c>
      <c r="C64" s="181">
        <v>200</v>
      </c>
    </row>
    <row r="65" spans="1:3" ht="16.5" x14ac:dyDescent="0.2">
      <c r="A65" s="187">
        <v>56</v>
      </c>
      <c r="B65" s="180" t="s">
        <v>1052</v>
      </c>
      <c r="C65" s="181">
        <v>200</v>
      </c>
    </row>
    <row r="66" spans="1:3" ht="16.5" x14ac:dyDescent="0.2">
      <c r="A66" s="187">
        <v>57</v>
      </c>
      <c r="B66" s="180" t="s">
        <v>1033</v>
      </c>
      <c r="C66" s="181">
        <v>250</v>
      </c>
    </row>
    <row r="67" spans="1:3" ht="16.5" x14ac:dyDescent="0.2">
      <c r="A67" s="187">
        <v>58</v>
      </c>
      <c r="B67" s="180" t="s">
        <v>1054</v>
      </c>
      <c r="C67" s="181">
        <v>300</v>
      </c>
    </row>
    <row r="68" spans="1:3" ht="16.5" x14ac:dyDescent="0.2">
      <c r="A68" s="187">
        <v>59</v>
      </c>
      <c r="B68" s="180" t="s">
        <v>1056</v>
      </c>
      <c r="C68" s="181">
        <v>90</v>
      </c>
    </row>
    <row r="69" spans="1:3" ht="16.5" x14ac:dyDescent="0.2">
      <c r="A69" s="187">
        <v>60</v>
      </c>
      <c r="B69" s="180" t="s">
        <v>1057</v>
      </c>
      <c r="C69" s="181">
        <v>5000</v>
      </c>
    </row>
    <row r="70" spans="1:3" ht="16.5" x14ac:dyDescent="0.2">
      <c r="A70" s="187">
        <v>61</v>
      </c>
      <c r="B70" s="180" t="s">
        <v>1058</v>
      </c>
      <c r="C70" s="181">
        <v>300</v>
      </c>
    </row>
    <row r="71" spans="1:3" ht="16.5" x14ac:dyDescent="0.2">
      <c r="A71" s="187">
        <v>62</v>
      </c>
      <c r="B71" s="180" t="s">
        <v>1039</v>
      </c>
      <c r="C71" s="181">
        <v>225</v>
      </c>
    </row>
    <row r="72" spans="1:3" ht="16.5" x14ac:dyDescent="0.2">
      <c r="A72" s="187">
        <v>63</v>
      </c>
      <c r="B72" s="180" t="s">
        <v>1059</v>
      </c>
      <c r="C72" s="181">
        <v>350</v>
      </c>
    </row>
    <row r="73" spans="1:3" ht="16.5" x14ac:dyDescent="0.2">
      <c r="A73" s="187">
        <v>64</v>
      </c>
      <c r="B73" s="180" t="s">
        <v>1036</v>
      </c>
      <c r="C73" s="181">
        <v>250</v>
      </c>
    </row>
    <row r="74" spans="1:3" ht="16.5" x14ac:dyDescent="0.2">
      <c r="A74" s="187">
        <v>65</v>
      </c>
      <c r="B74" s="180" t="s">
        <v>1060</v>
      </c>
      <c r="C74" s="181">
        <v>500</v>
      </c>
    </row>
    <row r="75" spans="1:3" ht="16.5" x14ac:dyDescent="0.2">
      <c r="A75" s="187">
        <v>66</v>
      </c>
      <c r="B75" s="180" t="s">
        <v>1024</v>
      </c>
      <c r="C75" s="181">
        <v>500</v>
      </c>
    </row>
    <row r="76" spans="1:3" ht="16.5" x14ac:dyDescent="0.2">
      <c r="A76" s="187">
        <v>67</v>
      </c>
      <c r="B76" s="180" t="s">
        <v>1040</v>
      </c>
      <c r="C76" s="181">
        <v>150</v>
      </c>
    </row>
    <row r="77" spans="1:3" ht="17.25" x14ac:dyDescent="0.35">
      <c r="A77" s="187">
        <v>68</v>
      </c>
      <c r="B77" s="1669" t="s">
        <v>1061</v>
      </c>
      <c r="C77" s="181"/>
    </row>
    <row r="78" spans="1:3" ht="16.5" x14ac:dyDescent="0.2">
      <c r="A78" s="187">
        <v>69</v>
      </c>
      <c r="B78" s="180" t="s">
        <v>1062</v>
      </c>
      <c r="C78" s="181">
        <v>1000</v>
      </c>
    </row>
    <row r="79" spans="1:3" ht="16.5" x14ac:dyDescent="0.2">
      <c r="A79" s="187">
        <v>70</v>
      </c>
      <c r="B79" s="180" t="s">
        <v>1063</v>
      </c>
      <c r="C79" s="181">
        <v>1000</v>
      </c>
    </row>
    <row r="80" spans="1:3" ht="16.5" x14ac:dyDescent="0.2">
      <c r="A80" s="187">
        <v>71</v>
      </c>
      <c r="B80" s="180" t="s">
        <v>1064</v>
      </c>
      <c r="C80" s="181">
        <v>1000</v>
      </c>
    </row>
    <row r="81" spans="1:3" ht="16.5" x14ac:dyDescent="0.2">
      <c r="A81" s="187">
        <v>72</v>
      </c>
      <c r="B81" s="180" t="s">
        <v>1065</v>
      </c>
      <c r="C81" s="181">
        <v>1000</v>
      </c>
    </row>
    <row r="82" spans="1:3" ht="16.5" x14ac:dyDescent="0.2">
      <c r="A82" s="187">
        <v>73</v>
      </c>
      <c r="B82" s="180" t="s">
        <v>1066</v>
      </c>
      <c r="C82" s="181">
        <v>1000</v>
      </c>
    </row>
    <row r="83" spans="1:3" ht="16.5" x14ac:dyDescent="0.2">
      <c r="A83" s="187">
        <v>74</v>
      </c>
      <c r="B83" s="180" t="s">
        <v>1067</v>
      </c>
      <c r="C83" s="181">
        <v>2500</v>
      </c>
    </row>
    <row r="84" spans="1:3" ht="16.5" x14ac:dyDescent="0.2">
      <c r="A84" s="187">
        <v>75</v>
      </c>
      <c r="B84" s="180" t="s">
        <v>1068</v>
      </c>
      <c r="C84" s="181">
        <v>2500</v>
      </c>
    </row>
    <row r="85" spans="1:3" ht="16.5" x14ac:dyDescent="0.3">
      <c r="A85" s="187">
        <v>76</v>
      </c>
      <c r="B85" s="1670" t="s">
        <v>1069</v>
      </c>
      <c r="C85" s="1671">
        <v>3000</v>
      </c>
    </row>
    <row r="86" spans="1:3" ht="17.25" thickBot="1" x14ac:dyDescent="0.25">
      <c r="A86" s="187">
        <v>77</v>
      </c>
      <c r="B86" s="1672" t="s">
        <v>1070</v>
      </c>
      <c r="C86" s="1673">
        <v>2000</v>
      </c>
    </row>
    <row r="87" spans="1:3" ht="18" thickBot="1" x14ac:dyDescent="0.25">
      <c r="A87" s="187"/>
      <c r="B87" s="182" t="s">
        <v>13</v>
      </c>
      <c r="C87" s="183">
        <f>SUM(C10:C86)</f>
        <v>214165</v>
      </c>
    </row>
  </sheetData>
  <mergeCells count="7">
    <mergeCell ref="B8:B9"/>
    <mergeCell ref="C8:C9"/>
    <mergeCell ref="B2:F2"/>
    <mergeCell ref="B3:C3"/>
    <mergeCell ref="B4:C4"/>
    <mergeCell ref="B5:C5"/>
    <mergeCell ref="B6:C6"/>
  </mergeCells>
  <printOptions horizontalCentered="1"/>
  <pageMargins left="0.19685039370078741" right="0.19685039370078741" top="0.59055118110236227" bottom="0.59055118110236227" header="0.51181102362204722" footer="0.51181102362204722"/>
  <pageSetup paperSize="9" fitToHeight="0" orientation="portrait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22</vt:i4>
      </vt:variant>
      <vt:variant>
        <vt:lpstr>Névvel ellátott tartományok</vt:lpstr>
      </vt:variant>
      <vt:variant>
        <vt:i4>36</vt:i4>
      </vt:variant>
    </vt:vector>
  </HeadingPairs>
  <TitlesOfParts>
    <vt:vector size="58" baseType="lpstr">
      <vt:lpstr>1.Onbe</vt:lpstr>
      <vt:lpstr>1.A Norm</vt:lpstr>
      <vt:lpstr>2.Onki</vt:lpstr>
      <vt:lpstr>3.Inbe </vt:lpstr>
      <vt:lpstr>3.A Inbe</vt:lpstr>
      <vt:lpstr>4.Inki</vt:lpstr>
      <vt:lpstr>5.Infelhki</vt:lpstr>
      <vt:lpstr>6.Önk.műk.</vt:lpstr>
      <vt:lpstr>6.A Alapítv</vt:lpstr>
      <vt:lpstr>7.Beruh.</vt:lpstr>
      <vt:lpstr>8.Felúj.</vt:lpstr>
      <vt:lpstr>9.Projekt</vt:lpstr>
      <vt:lpstr>10.MVP és hazai</vt:lpstr>
      <vt:lpstr>11.EKF</vt:lpstr>
      <vt:lpstr>12.Mérleg</vt:lpstr>
      <vt:lpstr>13.Létszám</vt:lpstr>
      <vt:lpstr>14. Többéves</vt:lpstr>
      <vt:lpstr>15.Hitel állomány</vt:lpstr>
      <vt:lpstr>15.A Beruh.hitel</vt:lpstr>
      <vt:lpstr>15.B Beruh.hitel</vt:lpstr>
      <vt:lpstr>16.EU</vt:lpstr>
      <vt:lpstr>17.Közv.tám.</vt:lpstr>
      <vt:lpstr>'1.Onbe'!Nyomtatási_cím</vt:lpstr>
      <vt:lpstr>'10.MVP és hazai'!Nyomtatási_cím</vt:lpstr>
      <vt:lpstr>'11.EKF'!Nyomtatási_cím</vt:lpstr>
      <vt:lpstr>'13.Létszám'!Nyomtatási_cím</vt:lpstr>
      <vt:lpstr>'14. Többéves'!Nyomtatási_cím</vt:lpstr>
      <vt:lpstr>'16.EU'!Nyomtatási_cím</vt:lpstr>
      <vt:lpstr>'2.Onki'!Nyomtatási_cím</vt:lpstr>
      <vt:lpstr>'3.A Inbe'!Nyomtatási_cím</vt:lpstr>
      <vt:lpstr>'3.Inbe '!Nyomtatási_cím</vt:lpstr>
      <vt:lpstr>'4.Inki'!Nyomtatási_cím</vt:lpstr>
      <vt:lpstr>'5.Infelhki'!Nyomtatási_cím</vt:lpstr>
      <vt:lpstr>'6.A Alapítv'!Nyomtatási_cím</vt:lpstr>
      <vt:lpstr>'6.Önk.műk.'!Nyomtatási_cím</vt:lpstr>
      <vt:lpstr>'7.Beruh.'!Nyomtatási_cím</vt:lpstr>
      <vt:lpstr>'8.Felúj.'!Nyomtatási_cím</vt:lpstr>
      <vt:lpstr>'9.Projekt'!Nyomtatási_cím</vt:lpstr>
      <vt:lpstr>'1.A Norm'!Nyomtatási_terület</vt:lpstr>
      <vt:lpstr>'1.Onbe'!Nyomtatási_terület</vt:lpstr>
      <vt:lpstr>'10.MVP és hazai'!Nyomtatási_terület</vt:lpstr>
      <vt:lpstr>'11.EKF'!Nyomtatási_terület</vt:lpstr>
      <vt:lpstr>'12.Mérleg'!Nyomtatási_terület</vt:lpstr>
      <vt:lpstr>'13.Létszám'!Nyomtatási_terület</vt:lpstr>
      <vt:lpstr>'14. Többéves'!Nyomtatási_terület</vt:lpstr>
      <vt:lpstr>'15.A Beruh.hitel'!Nyomtatási_terület</vt:lpstr>
      <vt:lpstr>'15.B Beruh.hitel'!Nyomtatási_terület</vt:lpstr>
      <vt:lpstr>'15.Hitel állomány'!Nyomtatási_terület</vt:lpstr>
      <vt:lpstr>'2.Onki'!Nyomtatási_terület</vt:lpstr>
      <vt:lpstr>'3.A Inbe'!Nyomtatási_terület</vt:lpstr>
      <vt:lpstr>'3.Inbe '!Nyomtatási_terület</vt:lpstr>
      <vt:lpstr>'4.Inki'!Nyomtatási_terület</vt:lpstr>
      <vt:lpstr>'5.Infelhki'!Nyomtatási_terület</vt:lpstr>
      <vt:lpstr>'6.A Alapítv'!Nyomtatási_terület</vt:lpstr>
      <vt:lpstr>'6.Önk.műk.'!Nyomtatási_terület</vt:lpstr>
      <vt:lpstr>'7.Beruh.'!Nyomtatási_terület</vt:lpstr>
      <vt:lpstr>'8.Felúj.'!Nyomtatási_terület</vt:lpstr>
      <vt:lpstr>'9.Projekt'!Nyomtatási_terület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Schumacher Judit</dc:creator>
  <cp:lastModifiedBy>Lohonyai Dr. Bernadett</cp:lastModifiedBy>
  <cp:lastPrinted>2021-02-19T06:45:52Z</cp:lastPrinted>
  <dcterms:created xsi:type="dcterms:W3CDTF">2015-02-11T07:38:58Z</dcterms:created>
  <dcterms:modified xsi:type="dcterms:W3CDTF">2021-04-29T10:37:13Z</dcterms:modified>
</cp:coreProperties>
</file>