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codeName="ThisWorkbook" defaultThemeVersion="124226"/>
  <mc:AlternateContent xmlns:mc="http://schemas.openxmlformats.org/markup-compatibility/2006">
    <mc:Choice Requires="x15">
      <x15ac:absPath xmlns:x15ac="http://schemas.microsoft.com/office/spreadsheetml/2010/11/ac" url="P:\Költségvetés\Private\2019\Rendeletmódosítás\Egységes szerkezet\Decemberi egységes\"/>
    </mc:Choice>
  </mc:AlternateContent>
  <xr:revisionPtr revIDLastSave="0" documentId="13_ncr:1_{CF42F7BA-E83E-4D2E-AAEF-4C36606536A1}" xr6:coauthVersionLast="45" xr6:coauthVersionMax="45" xr10:uidLastSave="{00000000-0000-0000-0000-000000000000}"/>
  <bookViews>
    <workbookView xWindow="-120" yWindow="-120" windowWidth="20730" windowHeight="11160" tabRatio="899" firstSheet="16" activeTab="23" xr2:uid="{00000000-000D-0000-FFFF-FFFF00000000}"/>
  </bookViews>
  <sheets>
    <sheet name="1 bevétel (kötelező,önként)" sheetId="328" r:id="rId1"/>
    <sheet name="2 kiadás (kötelező, önként)" sheetId="329" r:id="rId2"/>
    <sheet name="3 bevétel(szűkített)" sheetId="330" r:id="rId3"/>
    <sheet name="4 kiadás(szűkített)" sheetId="331" r:id="rId4"/>
    <sheet name="5 egyenleg" sheetId="332" r:id="rId5"/>
    <sheet name="6normatíva" sheetId="281" r:id="rId6"/>
    <sheet name="7int.bevétel " sheetId="333" r:id="rId7"/>
    <sheet name="8int.kiadás " sheetId="334" r:id="rId8"/>
    <sheet name="9álláshely" sheetId="319" r:id="rId9"/>
    <sheet name="10 ök kiadás" sheetId="335" r:id="rId10"/>
    <sheet name="11melléklet" sheetId="336" r:id="rId11"/>
    <sheet name="12 Fejlesztés" sheetId="337" r:id="rId12"/>
    <sheet name="13 Lakáselidegenítés" sheetId="279" r:id="rId13"/>
    <sheet name=" 14 Int.felúj " sheetId="338" r:id="rId14"/>
    <sheet name="15 épületek fentartási költs" sheetId="262" r:id="rId15"/>
    <sheet name="16működési és felhalm " sheetId="339" r:id="rId16"/>
    <sheet name="17előirányzat felhasz." sheetId="340" r:id="rId17"/>
    <sheet name="18többéves" sheetId="341" r:id="rId18"/>
    <sheet name="19projektek " sheetId="311" r:id="rId19"/>
    <sheet name="20 közvetett támogatások" sheetId="236" r:id="rId20"/>
    <sheet name="21 kiemelt" sheetId="269" r:id="rId21"/>
    <sheet name="22TFA" sheetId="274" r:id="rId22"/>
    <sheet name="23Környezetvéd.alap" sheetId="342" r:id="rId23"/>
    <sheet name="24Turisztikai Alap" sheetId="264" r:id="rId24"/>
  </sheets>
  <externalReferences>
    <externalReference r:id="rId25"/>
    <externalReference r:id="rId26"/>
    <externalReference r:id="rId27"/>
    <externalReference r:id="rId28"/>
    <externalReference r:id="rId29"/>
  </externalReferences>
  <definedNames>
    <definedName name="_____________b00001" localSheetId="13">[1]Munka3!#REF!</definedName>
    <definedName name="_____________b00001" localSheetId="10">[1]Munka3!#REF!</definedName>
    <definedName name="_____________b00001" localSheetId="11">[1]Munka3!#REF!</definedName>
    <definedName name="_____________b00001" localSheetId="16">[2]Munka3!#REF!</definedName>
    <definedName name="_____________b00001" localSheetId="17">[1]Munka3!#REF!</definedName>
    <definedName name="_____________b00001" localSheetId="18">[1]Munka3!#REF!</definedName>
    <definedName name="_____________b00001" localSheetId="22">[1]Munka3!#REF!</definedName>
    <definedName name="_____________b00001">[1]Munka3!#REF!</definedName>
    <definedName name="_____________e00001" localSheetId="13">[1]Munka3!#REF!</definedName>
    <definedName name="_____________e00001" localSheetId="11">[1]Munka3!#REF!</definedName>
    <definedName name="_____________e00001" localSheetId="16">[2]Munka3!#REF!</definedName>
    <definedName name="_____________e00001" localSheetId="22">[1]Munka3!#REF!</definedName>
    <definedName name="_____________e00001">[1]Munka3!#REF!</definedName>
    <definedName name="____________b00001" localSheetId="13">[1]Munka3!#REF!</definedName>
    <definedName name="____________b00001" localSheetId="10">[1]Munka3!#REF!</definedName>
    <definedName name="____________b00001" localSheetId="11">[1]Munka3!#REF!</definedName>
    <definedName name="____________b00001" localSheetId="16">[2]Munka3!#REF!</definedName>
    <definedName name="____________b00001" localSheetId="17">[2]Munka3!#REF!</definedName>
    <definedName name="____________b00001" localSheetId="22">[1]Munka3!#REF!</definedName>
    <definedName name="____________b00001">[1]Munka3!#REF!</definedName>
    <definedName name="____________e00001" localSheetId="13">[1]Munka3!#REF!</definedName>
    <definedName name="____________e00001" localSheetId="10">[1]Munka3!#REF!</definedName>
    <definedName name="____________e00001" localSheetId="11">[1]Munka3!#REF!</definedName>
    <definedName name="____________e00001" localSheetId="16">[2]Munka3!#REF!</definedName>
    <definedName name="____________e00001" localSheetId="17">[2]Munka3!#REF!</definedName>
    <definedName name="____________e00001" localSheetId="22">[1]Munka3!#REF!</definedName>
    <definedName name="____________e00001">[1]Munka3!#REF!</definedName>
    <definedName name="___________b00001" localSheetId="13">[1]Munka3!#REF!</definedName>
    <definedName name="___________b00001" localSheetId="10">[1]Munka3!#REF!</definedName>
    <definedName name="___________b00001" localSheetId="11">[1]Munka3!#REF!</definedName>
    <definedName name="___________b00001" localSheetId="16">[2]Munka3!#REF!</definedName>
    <definedName name="___________b00001" localSheetId="17">[2]Munka3!#REF!</definedName>
    <definedName name="___________b00001" localSheetId="22">[1]Munka3!#REF!</definedName>
    <definedName name="___________b00001">[1]Munka3!#REF!</definedName>
    <definedName name="___________e00001" localSheetId="13">[1]Munka3!#REF!</definedName>
    <definedName name="___________e00001" localSheetId="10">[1]Munka3!#REF!</definedName>
    <definedName name="___________e00001" localSheetId="11">[1]Munka3!#REF!</definedName>
    <definedName name="___________e00001" localSheetId="16">[2]Munka3!#REF!</definedName>
    <definedName name="___________e00001" localSheetId="17">[2]Munka3!#REF!</definedName>
    <definedName name="___________e00001" localSheetId="22">[1]Munka3!#REF!</definedName>
    <definedName name="___________e00001">[1]Munka3!#REF!</definedName>
    <definedName name="__________b00001" localSheetId="13">[1]Munka3!#REF!</definedName>
    <definedName name="__________b00001" localSheetId="10">[1]Munka3!#REF!</definedName>
    <definedName name="__________b00001" localSheetId="11">[1]Munka3!#REF!</definedName>
    <definedName name="__________b00001" localSheetId="16">[2]Munka3!#REF!</definedName>
    <definedName name="__________b00001" localSheetId="17">[2]Munka3!#REF!</definedName>
    <definedName name="__________b00001" localSheetId="22">[1]Munka3!#REF!</definedName>
    <definedName name="__________b00001">[1]Munka3!#REF!</definedName>
    <definedName name="__________e00001" localSheetId="13">[1]Munka3!#REF!</definedName>
    <definedName name="__________e00001" localSheetId="10">[1]Munka3!#REF!</definedName>
    <definedName name="__________e00001" localSheetId="11">[1]Munka3!#REF!</definedName>
    <definedName name="__________e00001" localSheetId="16">[2]Munka3!#REF!</definedName>
    <definedName name="__________e00001" localSheetId="22">[1]Munka3!#REF!</definedName>
    <definedName name="__________e00001">[1]Munka3!#REF!</definedName>
    <definedName name="_________b00001" localSheetId="13">[1]Munka3!#REF!</definedName>
    <definedName name="_________b00001" localSheetId="10">[1]Munka3!#REF!</definedName>
    <definedName name="_________b00001" localSheetId="11">[1]Munka3!#REF!</definedName>
    <definedName name="_________b00001" localSheetId="16">[2]Munka3!#REF!</definedName>
    <definedName name="_________b00001" localSheetId="22">[1]Munka3!#REF!</definedName>
    <definedName name="_________b00001">[1]Munka3!#REF!</definedName>
    <definedName name="_________e00001" localSheetId="13">[1]Munka3!#REF!</definedName>
    <definedName name="_________e00001" localSheetId="10">[1]Munka3!#REF!</definedName>
    <definedName name="_________e00001" localSheetId="11">[1]Munka3!#REF!</definedName>
    <definedName name="_________e00001" localSheetId="16">[2]Munka3!#REF!</definedName>
    <definedName name="_________e00001" localSheetId="22">[1]Munka3!#REF!</definedName>
    <definedName name="_________e00001">[1]Munka3!#REF!</definedName>
    <definedName name="________b00001" localSheetId="13">[1]Munka3!#REF!</definedName>
    <definedName name="________b00001" localSheetId="10">[1]Munka3!#REF!</definedName>
    <definedName name="________b00001" localSheetId="11">[1]Munka3!#REF!</definedName>
    <definedName name="________b00001" localSheetId="16">[2]Munka3!#REF!</definedName>
    <definedName name="________b00001" localSheetId="22">[1]Munka3!#REF!</definedName>
    <definedName name="________b00001">[1]Munka3!#REF!</definedName>
    <definedName name="________e00001" localSheetId="13">[1]Munka3!#REF!</definedName>
    <definedName name="________e00001" localSheetId="10">[1]Munka3!#REF!</definedName>
    <definedName name="________e00001" localSheetId="11">[1]Munka3!#REF!</definedName>
    <definedName name="________e00001" localSheetId="16">[2]Munka3!#REF!</definedName>
    <definedName name="________e00001" localSheetId="22">[1]Munka3!#REF!</definedName>
    <definedName name="________e00001">[1]Munka3!#REF!</definedName>
    <definedName name="_______b00001" localSheetId="13">[1]Munka3!#REF!</definedName>
    <definedName name="_______b00001" localSheetId="10">[1]Munka3!#REF!</definedName>
    <definedName name="_______b00001" localSheetId="11">[1]Munka3!#REF!</definedName>
    <definedName name="_______b00001" localSheetId="16">[2]Munka3!#REF!</definedName>
    <definedName name="_______b00001" localSheetId="22">[1]Munka3!#REF!</definedName>
    <definedName name="_______b00001">[1]Munka3!#REF!</definedName>
    <definedName name="_______e00001" localSheetId="13">[1]Munka3!#REF!</definedName>
    <definedName name="_______e00001" localSheetId="10">[1]Munka3!#REF!</definedName>
    <definedName name="_______e00001" localSheetId="11">[1]Munka3!#REF!</definedName>
    <definedName name="_______e00001" localSheetId="16">[2]Munka3!#REF!</definedName>
    <definedName name="_______e00001" localSheetId="22">[1]Munka3!#REF!</definedName>
    <definedName name="_______e00001">[1]Munka3!#REF!</definedName>
    <definedName name="______b00001" localSheetId="13">[1]Munka3!#REF!</definedName>
    <definedName name="______b00001" localSheetId="10">[1]Munka3!#REF!</definedName>
    <definedName name="______b00001" localSheetId="11">[1]Munka3!#REF!</definedName>
    <definedName name="______b00001" localSheetId="16">[2]Munka3!#REF!</definedName>
    <definedName name="______b00001" localSheetId="22">[1]Munka3!#REF!</definedName>
    <definedName name="______b00001">[1]Munka3!#REF!</definedName>
    <definedName name="______e00001" localSheetId="13">[1]Munka3!#REF!</definedName>
    <definedName name="______e00001" localSheetId="10">[1]Munka3!#REF!</definedName>
    <definedName name="______e00001" localSheetId="11">[1]Munka3!#REF!</definedName>
    <definedName name="______e00001" localSheetId="16">[2]Munka3!#REF!</definedName>
    <definedName name="______e00001" localSheetId="22">[1]Munka3!#REF!</definedName>
    <definedName name="______e00001">[1]Munka3!#REF!</definedName>
    <definedName name="_____b00001" localSheetId="13">[1]Munka3!#REF!</definedName>
    <definedName name="_____b00001" localSheetId="10">[1]Munka3!#REF!</definedName>
    <definedName name="_____b00001" localSheetId="11">[1]Munka3!#REF!</definedName>
    <definedName name="_____b00001" localSheetId="16">[2]Munka3!#REF!</definedName>
    <definedName name="_____b00001" localSheetId="22">[1]Munka3!#REF!</definedName>
    <definedName name="_____b00001">[1]Munka3!#REF!</definedName>
    <definedName name="_____e00001" localSheetId="13">[1]Munka3!#REF!</definedName>
    <definedName name="_____e00001" localSheetId="10">[1]Munka3!#REF!</definedName>
    <definedName name="_____e00001" localSheetId="11">[1]Munka3!#REF!</definedName>
    <definedName name="_____e00001" localSheetId="16">[2]Munka3!#REF!</definedName>
    <definedName name="_____e00001" localSheetId="22">[1]Munka3!#REF!</definedName>
    <definedName name="_____e00001">[1]Munka3!#REF!</definedName>
    <definedName name="____b00001" localSheetId="13">[1]Munka3!#REF!</definedName>
    <definedName name="____b00001" localSheetId="10">[1]Munka3!#REF!</definedName>
    <definedName name="____b00001" localSheetId="11">[1]Munka3!#REF!</definedName>
    <definedName name="____b00001" localSheetId="16">[2]Munka3!#REF!</definedName>
    <definedName name="____b00001" localSheetId="22">[1]Munka3!#REF!</definedName>
    <definedName name="____b00001">[1]Munka3!#REF!</definedName>
    <definedName name="____e00001" localSheetId="13">[1]Munka3!#REF!</definedName>
    <definedName name="____e00001" localSheetId="10">[1]Munka3!#REF!</definedName>
    <definedName name="____e00001" localSheetId="11">[1]Munka3!#REF!</definedName>
    <definedName name="____e00001" localSheetId="16">[2]Munka3!#REF!</definedName>
    <definedName name="____e00001" localSheetId="22">[1]Munka3!#REF!</definedName>
    <definedName name="____e00001">[1]Munka3!#REF!</definedName>
    <definedName name="___b00001" localSheetId="13">[1]Munka3!#REF!</definedName>
    <definedName name="___b00001" localSheetId="10">[1]Munka3!#REF!</definedName>
    <definedName name="___b00001" localSheetId="11">[1]Munka3!#REF!</definedName>
    <definedName name="___b00001" localSheetId="16">[2]Munka3!#REF!</definedName>
    <definedName name="___b00001" localSheetId="22">[1]Munka3!#REF!</definedName>
    <definedName name="___b00001">[1]Munka3!#REF!</definedName>
    <definedName name="___e00001" localSheetId="13">[1]Munka3!#REF!</definedName>
    <definedName name="___e00001" localSheetId="10">[1]Munka3!#REF!</definedName>
    <definedName name="___e00001" localSheetId="11">[1]Munka3!#REF!</definedName>
    <definedName name="___e00001" localSheetId="16">[2]Munka3!#REF!</definedName>
    <definedName name="___e00001" localSheetId="22">[1]Munka3!#REF!</definedName>
    <definedName name="___e00001">[1]Munka3!#REF!</definedName>
    <definedName name="__b00001" localSheetId="13">[1]Munka3!#REF!</definedName>
    <definedName name="__b00001" localSheetId="10">[1]Munka3!#REF!</definedName>
    <definedName name="__b00001" localSheetId="11">[1]Munka3!#REF!</definedName>
    <definedName name="__b00001" localSheetId="16">[2]Munka3!#REF!</definedName>
    <definedName name="__b00001" localSheetId="18">[2]Munka3!#REF!</definedName>
    <definedName name="__b00001" localSheetId="22">[1]Munka3!#REF!</definedName>
    <definedName name="__b00001">[1]Munka3!#REF!</definedName>
    <definedName name="__e00001" localSheetId="13">[1]Munka3!#REF!</definedName>
    <definedName name="__e00001" localSheetId="10">[1]Munka3!#REF!</definedName>
    <definedName name="__e00001" localSheetId="11">[1]Munka3!#REF!</definedName>
    <definedName name="__e00001" localSheetId="16">[2]Munka3!#REF!</definedName>
    <definedName name="__e00001" localSheetId="18">[2]Munka3!#REF!</definedName>
    <definedName name="__e00001" localSheetId="22">[1]Munka3!#REF!</definedName>
    <definedName name="__e00001">[1]Munka3!#REF!</definedName>
    <definedName name="_b00001" localSheetId="13">[1]Munka3!#REF!</definedName>
    <definedName name="_b00001" localSheetId="10">[1]Munka3!#REF!</definedName>
    <definedName name="_b00001" localSheetId="11">[1]Munka3!#REF!</definedName>
    <definedName name="_b00001" localSheetId="16">[2]Munka3!#REF!</definedName>
    <definedName name="_b00001" localSheetId="18">[2]Munka3!#REF!</definedName>
    <definedName name="_b00001" localSheetId="22">[1]Munka3!#REF!</definedName>
    <definedName name="_b00001">[1]Munka3!#REF!</definedName>
    <definedName name="_e00001" localSheetId="13">[1]Munka3!#REF!</definedName>
    <definedName name="_e00001" localSheetId="10">[1]Munka3!#REF!</definedName>
    <definedName name="_e00001" localSheetId="11">[1]Munka3!#REF!</definedName>
    <definedName name="_e00001" localSheetId="16">[2]Munka3!#REF!</definedName>
    <definedName name="_e00001" localSheetId="18">[2]Munka3!#REF!</definedName>
    <definedName name="_e00001" localSheetId="22">[1]Munka3!#REF!</definedName>
    <definedName name="_e00001">[1]Munka3!#REF!</definedName>
    <definedName name="aa">[1]Munka3!#REF!</definedName>
    <definedName name="aaa">[1]Munka3!#REF!</definedName>
    <definedName name="b0000" localSheetId="10">[2]Munka3!#REF!</definedName>
    <definedName name="b0000" localSheetId="12">[2]Munka3!#REF!</definedName>
    <definedName name="b0000" localSheetId="14">[2]Munka3!#REF!</definedName>
    <definedName name="b0000" localSheetId="16">[2]Munka3!#REF!</definedName>
    <definedName name="b0000" localSheetId="18">[3]Munka3!#REF!</definedName>
    <definedName name="b0000" localSheetId="22">[2]Munka3!#REF!</definedName>
    <definedName name="b0000">[2]Munka3!#REF!</definedName>
    <definedName name="b00000" localSheetId="0">[1]Munka3!#REF!</definedName>
    <definedName name="b00000" localSheetId="9">[1]Munka3!#REF!</definedName>
    <definedName name="b00000" localSheetId="10">[2]Munka3!#REF!</definedName>
    <definedName name="b00000" localSheetId="12">[2]Munka3!#REF!</definedName>
    <definedName name="b00000" localSheetId="14">[2]Munka3!#REF!</definedName>
    <definedName name="b00000" localSheetId="15">[4]Munka3!#REF!</definedName>
    <definedName name="b00000" localSheetId="16">[2]Munka3!#REF!</definedName>
    <definedName name="b00000" localSheetId="18">[3]Munka3!#REF!</definedName>
    <definedName name="b00000" localSheetId="1">[1]Munka3!#REF!</definedName>
    <definedName name="b00000" localSheetId="22">[2]Munka3!#REF!</definedName>
    <definedName name="b00000">[2]Munka3!#REF!</definedName>
    <definedName name="c00000" localSheetId="10">[2]Munka3!#REF!</definedName>
    <definedName name="c00000" localSheetId="12">[2]Munka3!#REF!</definedName>
    <definedName name="c00000" localSheetId="14">[2]Munka3!#REF!</definedName>
    <definedName name="c00000" localSheetId="16">[2]Munka3!#REF!</definedName>
    <definedName name="c00000" localSheetId="22">[2]Munka3!#REF!</definedName>
    <definedName name="c00000">[2]Munka3!#REF!</definedName>
    <definedName name="e_00002" localSheetId="22">[1]Munka3!#REF!</definedName>
    <definedName name="e_00002">[1]Munka3!#REF!</definedName>
    <definedName name="E00000" localSheetId="0">[1]Munka3!#REF!</definedName>
    <definedName name="E00000" localSheetId="9">[1]Munka3!#REF!</definedName>
    <definedName name="E00000" localSheetId="10">[2]Munka3!#REF!</definedName>
    <definedName name="E00000" localSheetId="12">[2]Munka3!#REF!</definedName>
    <definedName name="E00000" localSheetId="14">[2]Munka3!#REF!</definedName>
    <definedName name="E00000" localSheetId="15">[4]Munka3!#REF!</definedName>
    <definedName name="E00000" localSheetId="16">[2]Munka3!#REF!</definedName>
    <definedName name="E00000" localSheetId="18">[3]Munka3!#REF!</definedName>
    <definedName name="E00000" localSheetId="1">[1]Munka3!#REF!</definedName>
    <definedName name="E00000" localSheetId="22">[2]Munka3!#REF!</definedName>
    <definedName name="E00000">[2]Munka3!#REF!</definedName>
    <definedName name="este" localSheetId="22">[1]Munka3!#REF!</definedName>
    <definedName name="este">[1]Munka3!#REF!</definedName>
    <definedName name="jav_előirányzatfelhasz" localSheetId="22">[1]Munka3!#REF!</definedName>
    <definedName name="jav_előirányzatfelhasz">[1]Munka3!#REF!</definedName>
    <definedName name="javítás" localSheetId="22">[1]Munka3!#REF!</definedName>
    <definedName name="javítás">[1]Munka3!#REF!</definedName>
    <definedName name="létszám" localSheetId="10">[2]Munka3!#REF!</definedName>
    <definedName name="létszám" localSheetId="12">[2]Munka3!#REF!</definedName>
    <definedName name="létszám" localSheetId="14">[2]Munka3!#REF!</definedName>
    <definedName name="létszám" localSheetId="16">[2]Munka3!#REF!</definedName>
    <definedName name="létszám" localSheetId="18">[3]Munka3!#REF!</definedName>
    <definedName name="létszám" localSheetId="22">[2]Munka3!#REF!</definedName>
    <definedName name="létszám">[2]Munka3!#REF!</definedName>
    <definedName name="Norm.2014" localSheetId="13">[2]Munka3!#REF!</definedName>
    <definedName name="Norm.2014" localSheetId="0">[1]Munka3!#REF!</definedName>
    <definedName name="Norm.2014" localSheetId="9">[1]Munka3!#REF!</definedName>
    <definedName name="Norm.2014" localSheetId="10">[2]Munka3!#REF!</definedName>
    <definedName name="Norm.2014" localSheetId="11">[2]Munka3!#REF!</definedName>
    <definedName name="Norm.2014" localSheetId="15">[1]Munka3!#REF!</definedName>
    <definedName name="Norm.2014" localSheetId="16">[2]Munka3!#REF!</definedName>
    <definedName name="Norm.2014" localSheetId="17">[2]Munka3!#REF!</definedName>
    <definedName name="Norm.2014" localSheetId="18">[2]Munka3!#REF!</definedName>
    <definedName name="Norm.2014" localSheetId="1">[1]Munka3!#REF!</definedName>
    <definedName name="Norm.2014" localSheetId="22">[2]Munka3!#REF!</definedName>
    <definedName name="Norm.2014" localSheetId="2">[1]Munka3!#REF!</definedName>
    <definedName name="Norm.2014" localSheetId="3">[1]Munka3!#REF!</definedName>
    <definedName name="Norm.2014" localSheetId="4">[1]Munka3!#REF!</definedName>
    <definedName name="Norm.2014" localSheetId="8">[1]Munka3!#REF!</definedName>
    <definedName name="Norm.2014">[2]Munka3!#REF!</definedName>
    <definedName name="_xlnm.Print_Titles" localSheetId="13">' 14 Int.felúj '!$1:$4</definedName>
    <definedName name="_xlnm.Print_Titles" localSheetId="0">'1 bevétel (kötelező,önként)'!$A:$B,'1 bevétel (kötelező,önként)'!$1:$8</definedName>
    <definedName name="_xlnm.Print_Titles" localSheetId="9">'10 ök kiadás'!$1:$6</definedName>
    <definedName name="_xlnm.Print_Titles" localSheetId="10">'11melléklet'!$1:$3</definedName>
    <definedName name="_xlnm.Print_Titles" localSheetId="11">'12 Fejlesztés'!$1:$4</definedName>
    <definedName name="_xlnm.Print_Titles" localSheetId="18">'19projektek '!$A:$B,'19projektek '!$1:$7</definedName>
    <definedName name="_xlnm.Print_Titles" localSheetId="1">'2 kiadás (kötelező, önként)'!$A:$B</definedName>
    <definedName name="_xlnm.Print_Titles" localSheetId="19">'20 közvetett támogatások'!$1:$1</definedName>
    <definedName name="_xlnm.Print_Titles" localSheetId="20">'21 kiemelt'!$5:$5</definedName>
    <definedName name="_xlnm.Print_Titles" localSheetId="2">'3 bevétel(szűkített)'!$1:$8</definedName>
    <definedName name="_xlnm.Print_Titles" localSheetId="6">'7int.bevétel '!$A:$B,'7int.bevétel '!$3:$6</definedName>
    <definedName name="_xlnm.Print_Titles" localSheetId="7">'8int.kiadás '!$A:$O,'8int.kiadás '!$4:$6</definedName>
    <definedName name="_xlnm.Print_Area" localSheetId="0">'1 bevétel (kötelező,önként)'!$A$1:$AL$61</definedName>
    <definedName name="_xlnm.Print_Area" localSheetId="9">'10 ök kiadás'!$A$1:$P$360</definedName>
    <definedName name="_xlnm.Print_Area" localSheetId="10">'11melléklet'!$A$1:$K$278</definedName>
    <definedName name="_xlnm.Print_Area" localSheetId="16">'17előirányzat felhasz.'!$A$1:$N$33</definedName>
    <definedName name="_xlnm.Print_Area" localSheetId="19">'20 közvetett támogatások'!$A$1:$F$30</definedName>
    <definedName name="_xlnm.Print_Area" localSheetId="20">'21 kiemelt'!$A$1:$E$46</definedName>
    <definedName name="_xlnm.Print_Area" localSheetId="3">'4 kiadás(szűkített)'!$A$1:$K$27</definedName>
    <definedName name="_xlnm.Print_Area" localSheetId="6">'7int.bevétel '!$A$1:$O$513</definedName>
    <definedName name="_xlnm.Print_Area" localSheetId="7">'8int.kiadás '!$A$1:$O$542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3" i="342" l="1"/>
  <c r="C15" i="342"/>
  <c r="C26" i="342" s="1"/>
  <c r="F32" i="341"/>
  <c r="E32" i="341"/>
  <c r="D32" i="341"/>
  <c r="C32" i="341"/>
  <c r="B32" i="341"/>
  <c r="G31" i="341"/>
  <c r="G32" i="341" s="1"/>
  <c r="F28" i="341"/>
  <c r="E28" i="341"/>
  <c r="D28" i="341"/>
  <c r="C28" i="341"/>
  <c r="B28" i="341"/>
  <c r="G27" i="341"/>
  <c r="G26" i="341"/>
  <c r="G28" i="341" s="1"/>
  <c r="F23" i="341"/>
  <c r="F33" i="341" s="1"/>
  <c r="E23" i="341"/>
  <c r="E33" i="341" s="1"/>
  <c r="D23" i="341"/>
  <c r="D33" i="341" s="1"/>
  <c r="G22" i="341"/>
  <c r="G21" i="341"/>
  <c r="G20" i="341"/>
  <c r="C19" i="341"/>
  <c r="C23" i="341" s="1"/>
  <c r="C33" i="341" s="1"/>
  <c r="B19" i="341"/>
  <c r="G19" i="341" s="1"/>
  <c r="G18" i="341"/>
  <c r="G17" i="341"/>
  <c r="G16" i="341"/>
  <c r="G15" i="341"/>
  <c r="C14" i="341"/>
  <c r="B14" i="341"/>
  <c r="G14" i="341" s="1"/>
  <c r="G13" i="341"/>
  <c r="G12" i="341"/>
  <c r="G11" i="341"/>
  <c r="G10" i="341"/>
  <c r="G9" i="341"/>
  <c r="G23" i="341" s="1"/>
  <c r="G33" i="341" s="1"/>
  <c r="B28" i="340"/>
  <c r="K26" i="340"/>
  <c r="J26" i="340"/>
  <c r="I26" i="340"/>
  <c r="H26" i="340"/>
  <c r="G26" i="340"/>
  <c r="F26" i="340"/>
  <c r="E26" i="340"/>
  <c r="D26" i="340"/>
  <c r="C26" i="340"/>
  <c r="B26" i="340"/>
  <c r="P25" i="340"/>
  <c r="N25" i="340"/>
  <c r="N24" i="340"/>
  <c r="P24" i="340" s="1"/>
  <c r="P23" i="340"/>
  <c r="N23" i="340"/>
  <c r="O22" i="340"/>
  <c r="M22" i="340"/>
  <c r="L22" i="340"/>
  <c r="N22" i="340" s="1"/>
  <c r="M21" i="340"/>
  <c r="L21" i="340"/>
  <c r="N21" i="340" s="1"/>
  <c r="P21" i="340" s="1"/>
  <c r="Q21" i="340" s="1"/>
  <c r="M20" i="340"/>
  <c r="M26" i="340" s="1"/>
  <c r="L20" i="340"/>
  <c r="O19" i="340"/>
  <c r="P19" i="340" s="1"/>
  <c r="Q19" i="340" s="1"/>
  <c r="M19" i="340"/>
  <c r="L19" i="340"/>
  <c r="N19" i="340" s="1"/>
  <c r="M18" i="340"/>
  <c r="L18" i="340"/>
  <c r="L26" i="340" s="1"/>
  <c r="O15" i="340"/>
  <c r="M15" i="340"/>
  <c r="M29" i="340" s="1"/>
  <c r="I15" i="340"/>
  <c r="I29" i="340" s="1"/>
  <c r="P14" i="340"/>
  <c r="N14" i="340"/>
  <c r="E13" i="340"/>
  <c r="E15" i="340" s="1"/>
  <c r="E29" i="340" s="1"/>
  <c r="N12" i="340"/>
  <c r="P12" i="340" s="1"/>
  <c r="Q12" i="340" s="1"/>
  <c r="M11" i="340"/>
  <c r="G11" i="340"/>
  <c r="F11" i="340"/>
  <c r="D11" i="340"/>
  <c r="N11" i="340" s="1"/>
  <c r="P11" i="340" s="1"/>
  <c r="B11" i="340"/>
  <c r="N10" i="340"/>
  <c r="P10" i="340" s="1"/>
  <c r="M10" i="340"/>
  <c r="M9" i="340"/>
  <c r="L9" i="340"/>
  <c r="K9" i="340"/>
  <c r="J9" i="340"/>
  <c r="J15" i="340" s="1"/>
  <c r="J29" i="340" s="1"/>
  <c r="I9" i="340"/>
  <c r="H9" i="340"/>
  <c r="G9" i="340"/>
  <c r="F9" i="340"/>
  <c r="E9" i="340"/>
  <c r="D9" i="340"/>
  <c r="C9" i="340"/>
  <c r="C15" i="340" s="1"/>
  <c r="C29" i="340" s="1"/>
  <c r="B9" i="340"/>
  <c r="B15" i="340" s="1"/>
  <c r="B29" i="340" s="1"/>
  <c r="B30" i="340" s="1"/>
  <c r="C28" i="340" s="1"/>
  <c r="C30" i="340" s="1"/>
  <c r="D28" i="340" s="1"/>
  <c r="D30" i="340" s="1"/>
  <c r="E28" i="340" s="1"/>
  <c r="E30" i="340" s="1"/>
  <c r="F28" i="340" s="1"/>
  <c r="M8" i="340"/>
  <c r="L8" i="340"/>
  <c r="N8" i="340" s="1"/>
  <c r="P8" i="340" s="1"/>
  <c r="M7" i="340"/>
  <c r="N7" i="340" s="1"/>
  <c r="P7" i="340" s="1"/>
  <c r="M6" i="340"/>
  <c r="L6" i="340"/>
  <c r="L15" i="340" s="1"/>
  <c r="K6" i="340"/>
  <c r="K15" i="340" s="1"/>
  <c r="K29" i="340" s="1"/>
  <c r="H6" i="340"/>
  <c r="H15" i="340" s="1"/>
  <c r="H29" i="340" s="1"/>
  <c r="G6" i="340"/>
  <c r="G15" i="340" s="1"/>
  <c r="G29" i="340" s="1"/>
  <c r="F6" i="340"/>
  <c r="F15" i="340" s="1"/>
  <c r="F29" i="340" s="1"/>
  <c r="E6" i="340"/>
  <c r="D6" i="340"/>
  <c r="D15" i="340" s="1"/>
  <c r="D29" i="340" s="1"/>
  <c r="E36" i="339"/>
  <c r="E44" i="339" s="1"/>
  <c r="E33" i="339"/>
  <c r="B33" i="339"/>
  <c r="B36" i="339" s="1"/>
  <c r="F30" i="339"/>
  <c r="E30" i="339"/>
  <c r="B30" i="339"/>
  <c r="B41" i="339" s="1"/>
  <c r="E17" i="339"/>
  <c r="E15" i="339"/>
  <c r="E19" i="339" s="1"/>
  <c r="E12" i="339"/>
  <c r="E41" i="339" s="1"/>
  <c r="F41" i="339" s="1"/>
  <c r="B12" i="339"/>
  <c r="D110" i="338"/>
  <c r="E110" i="338" s="1"/>
  <c r="C110" i="338"/>
  <c r="E109" i="338"/>
  <c r="D107" i="338"/>
  <c r="E107" i="338" s="1"/>
  <c r="C107" i="338"/>
  <c r="E106" i="338"/>
  <c r="D104" i="338"/>
  <c r="E104" i="338" s="1"/>
  <c r="C104" i="338"/>
  <c r="E103" i="338"/>
  <c r="D101" i="338"/>
  <c r="D112" i="338" s="1"/>
  <c r="C101" i="338"/>
  <c r="C112" i="338" s="1"/>
  <c r="E112" i="338" s="1"/>
  <c r="E100" i="338"/>
  <c r="E98" i="338"/>
  <c r="E96" i="338"/>
  <c r="D96" i="338"/>
  <c r="D94" i="338"/>
  <c r="C94" i="338"/>
  <c r="E94" i="338" s="1"/>
  <c r="E93" i="338"/>
  <c r="D91" i="338"/>
  <c r="C91" i="338"/>
  <c r="E91" i="338" s="1"/>
  <c r="E90" i="338"/>
  <c r="E89" i="338"/>
  <c r="E88" i="338"/>
  <c r="E86" i="338"/>
  <c r="D86" i="338"/>
  <c r="C86" i="338"/>
  <c r="E85" i="338"/>
  <c r="E84" i="338"/>
  <c r="D82" i="338"/>
  <c r="C82" i="338"/>
  <c r="E82" i="338" s="1"/>
  <c r="E81" i="338"/>
  <c r="D79" i="338"/>
  <c r="C79" i="338"/>
  <c r="E79" i="338" s="1"/>
  <c r="E78" i="338"/>
  <c r="E77" i="338"/>
  <c r="D75" i="338"/>
  <c r="C75" i="338"/>
  <c r="E75" i="338" s="1"/>
  <c r="E74" i="338"/>
  <c r="D72" i="338"/>
  <c r="C72" i="338"/>
  <c r="E72" i="338" s="1"/>
  <c r="E71" i="338"/>
  <c r="D69" i="338"/>
  <c r="C69" i="338"/>
  <c r="E69" i="338" s="1"/>
  <c r="E68" i="338"/>
  <c r="D66" i="338"/>
  <c r="C66" i="338"/>
  <c r="E66" i="338" s="1"/>
  <c r="E65" i="338"/>
  <c r="D63" i="338"/>
  <c r="C63" i="338"/>
  <c r="E63" i="338" s="1"/>
  <c r="E62" i="338"/>
  <c r="D60" i="338"/>
  <c r="C60" i="338"/>
  <c r="E60" i="338" s="1"/>
  <c r="E59" i="338"/>
  <c r="D57" i="338"/>
  <c r="C57" i="338"/>
  <c r="E57" i="338" s="1"/>
  <c r="E56" i="338"/>
  <c r="D54" i="338"/>
  <c r="C54" i="338"/>
  <c r="E54" i="338" s="1"/>
  <c r="E53" i="338"/>
  <c r="D51" i="338"/>
  <c r="C51" i="338"/>
  <c r="E51" i="338" s="1"/>
  <c r="E50" i="338"/>
  <c r="D48" i="338"/>
  <c r="C48" i="338"/>
  <c r="E48" i="338" s="1"/>
  <c r="E47" i="338"/>
  <c r="C45" i="338"/>
  <c r="E44" i="338"/>
  <c r="D43" i="338"/>
  <c r="D45" i="338" s="1"/>
  <c r="E41" i="338"/>
  <c r="D41" i="338"/>
  <c r="C41" i="338"/>
  <c r="E40" i="338"/>
  <c r="E38" i="338"/>
  <c r="D38" i="338"/>
  <c r="C38" i="338"/>
  <c r="E37" i="338"/>
  <c r="E36" i="338"/>
  <c r="D34" i="338"/>
  <c r="C34" i="338"/>
  <c r="E34" i="338" s="1"/>
  <c r="E33" i="338"/>
  <c r="D31" i="338"/>
  <c r="C31" i="338"/>
  <c r="E31" i="338" s="1"/>
  <c r="E30" i="338"/>
  <c r="D28" i="338"/>
  <c r="C28" i="338"/>
  <c r="E28" i="338" s="1"/>
  <c r="E27" i="338"/>
  <c r="D25" i="338"/>
  <c r="C25" i="338"/>
  <c r="E25" i="338" s="1"/>
  <c r="E24" i="338"/>
  <c r="D22" i="338"/>
  <c r="C22" i="338"/>
  <c r="E22" i="338" s="1"/>
  <c r="E21" i="338"/>
  <c r="D19" i="338"/>
  <c r="C19" i="338"/>
  <c r="E19" i="338" s="1"/>
  <c r="E18" i="338"/>
  <c r="D16" i="338"/>
  <c r="C16" i="338"/>
  <c r="E16" i="338" s="1"/>
  <c r="E15" i="338"/>
  <c r="D13" i="338"/>
  <c r="C13" i="338"/>
  <c r="E13" i="338" s="1"/>
  <c r="E12" i="338"/>
  <c r="E11" i="338"/>
  <c r="E10" i="338"/>
  <c r="E9" i="338"/>
  <c r="E8" i="338"/>
  <c r="E7" i="338"/>
  <c r="E6" i="338"/>
  <c r="D129" i="337"/>
  <c r="C129" i="337"/>
  <c r="B129" i="337"/>
  <c r="D128" i="337"/>
  <c r="D127" i="337"/>
  <c r="D126" i="337"/>
  <c r="D125" i="337"/>
  <c r="D124" i="337"/>
  <c r="D123" i="337"/>
  <c r="D122" i="337"/>
  <c r="D121" i="337"/>
  <c r="D120" i="337"/>
  <c r="D119" i="337"/>
  <c r="D118" i="337"/>
  <c r="D117" i="337"/>
  <c r="D116" i="337"/>
  <c r="D115" i="337"/>
  <c r="D114" i="337"/>
  <c r="D113" i="337"/>
  <c r="D112" i="337"/>
  <c r="D111" i="337"/>
  <c r="B108" i="337"/>
  <c r="B131" i="337" s="1"/>
  <c r="D107" i="337"/>
  <c r="D106" i="337"/>
  <c r="D105" i="337"/>
  <c r="D104" i="337"/>
  <c r="D103" i="337"/>
  <c r="D102" i="337"/>
  <c r="D101" i="337"/>
  <c r="D100" i="337"/>
  <c r="D99" i="337"/>
  <c r="D98" i="337"/>
  <c r="D97" i="337"/>
  <c r="D96" i="337"/>
  <c r="D95" i="337"/>
  <c r="C95" i="337"/>
  <c r="C108" i="337" s="1"/>
  <c r="D94" i="337"/>
  <c r="C89" i="337"/>
  <c r="B89" i="337"/>
  <c r="D89" i="337" s="1"/>
  <c r="D88" i="337"/>
  <c r="D87" i="337"/>
  <c r="D86" i="337"/>
  <c r="D85" i="337"/>
  <c r="D84" i="337"/>
  <c r="D83" i="337"/>
  <c r="D82" i="337"/>
  <c r="D81" i="337"/>
  <c r="D80" i="337"/>
  <c r="D79" i="337"/>
  <c r="D78" i="337"/>
  <c r="D77" i="337"/>
  <c r="D76" i="337"/>
  <c r="D75" i="337"/>
  <c r="D74" i="337"/>
  <c r="D73" i="337"/>
  <c r="D72" i="337"/>
  <c r="D71" i="337"/>
  <c r="D70" i="337"/>
  <c r="D69" i="337"/>
  <c r="D68" i="337"/>
  <c r="D67" i="337"/>
  <c r="D66" i="337"/>
  <c r="D65" i="337"/>
  <c r="D64" i="337"/>
  <c r="D63" i="337"/>
  <c r="D62" i="337"/>
  <c r="D61" i="337"/>
  <c r="D60" i="337"/>
  <c r="D59" i="337"/>
  <c r="D58" i="337"/>
  <c r="D57" i="337"/>
  <c r="D56" i="337"/>
  <c r="D55" i="337"/>
  <c r="D54" i="337"/>
  <c r="D53" i="337"/>
  <c r="D52" i="337"/>
  <c r="D51" i="337"/>
  <c r="D50" i="337"/>
  <c r="C47" i="337"/>
  <c r="B47" i="337"/>
  <c r="D46" i="337"/>
  <c r="D45" i="337"/>
  <c r="D44" i="337"/>
  <c r="D43" i="337"/>
  <c r="D42" i="337"/>
  <c r="D41" i="337"/>
  <c r="D47" i="337" s="1"/>
  <c r="D40" i="337"/>
  <c r="B37" i="337"/>
  <c r="D37" i="337" s="1"/>
  <c r="D36" i="337"/>
  <c r="D34" i="337"/>
  <c r="D30" i="337"/>
  <c r="D29" i="337"/>
  <c r="D28" i="337"/>
  <c r="D27" i="337"/>
  <c r="D26" i="337"/>
  <c r="D25" i="337"/>
  <c r="D24" i="337"/>
  <c r="D23" i="337"/>
  <c r="D22" i="337"/>
  <c r="D21" i="337"/>
  <c r="D20" i="337"/>
  <c r="D19" i="337"/>
  <c r="D18" i="337"/>
  <c r="D17" i="337"/>
  <c r="D16" i="337"/>
  <c r="D15" i="337"/>
  <c r="D14" i="337"/>
  <c r="D13" i="337"/>
  <c r="D12" i="337"/>
  <c r="C12" i="337"/>
  <c r="C37" i="337" s="1"/>
  <c r="C91" i="337" s="1"/>
  <c r="B12" i="337"/>
  <c r="D9" i="337"/>
  <c r="C9" i="337"/>
  <c r="B9" i="337"/>
  <c r="D8" i="337"/>
  <c r="D7" i="337"/>
  <c r="G277" i="336"/>
  <c r="D277" i="336"/>
  <c r="E277" i="336" s="1"/>
  <c r="H276" i="336"/>
  <c r="G276" i="336"/>
  <c r="D276" i="336"/>
  <c r="E276" i="336" s="1"/>
  <c r="H275" i="336"/>
  <c r="G275" i="336"/>
  <c r="D275" i="336"/>
  <c r="E275" i="336" s="1"/>
  <c r="H274" i="336"/>
  <c r="G274" i="336"/>
  <c r="D274" i="336"/>
  <c r="E274" i="336" s="1"/>
  <c r="H273" i="336"/>
  <c r="G273" i="336"/>
  <c r="D273" i="336"/>
  <c r="E273" i="336" s="1"/>
  <c r="E272" i="336"/>
  <c r="E271" i="336"/>
  <c r="E270" i="336"/>
  <c r="E269" i="336"/>
  <c r="H268" i="336"/>
  <c r="E268" i="336"/>
  <c r="H267" i="336"/>
  <c r="G267" i="336"/>
  <c r="E267" i="336"/>
  <c r="H266" i="336"/>
  <c r="H263" i="336" s="1"/>
  <c r="E266" i="336"/>
  <c r="H265" i="336"/>
  <c r="G265" i="336"/>
  <c r="E265" i="336"/>
  <c r="D265" i="336"/>
  <c r="H264" i="336"/>
  <c r="G264" i="336"/>
  <c r="E264" i="336"/>
  <c r="D264" i="336"/>
  <c r="G263" i="336"/>
  <c r="F263" i="336"/>
  <c r="D263" i="336"/>
  <c r="E263" i="336" s="1"/>
  <c r="H262" i="336"/>
  <c r="G262" i="336"/>
  <c r="D262" i="336"/>
  <c r="E262" i="336" s="1"/>
  <c r="E260" i="336"/>
  <c r="H259" i="336"/>
  <c r="G259" i="336"/>
  <c r="E259" i="336"/>
  <c r="D259" i="336"/>
  <c r="H258" i="336"/>
  <c r="F258" i="336"/>
  <c r="E258" i="336"/>
  <c r="G257" i="336"/>
  <c r="E257" i="336"/>
  <c r="E256" i="336"/>
  <c r="G255" i="336"/>
  <c r="G251" i="336" s="1"/>
  <c r="E255" i="336"/>
  <c r="E254" i="336"/>
  <c r="E253" i="336"/>
  <c r="E252" i="336"/>
  <c r="H251" i="336"/>
  <c r="F251" i="336"/>
  <c r="E251" i="336"/>
  <c r="D251" i="336"/>
  <c r="C251" i="336"/>
  <c r="E250" i="336"/>
  <c r="E249" i="336"/>
  <c r="E248" i="336"/>
  <c r="E247" i="336"/>
  <c r="E246" i="336"/>
  <c r="G245" i="336"/>
  <c r="E245" i="336"/>
  <c r="E244" i="336"/>
  <c r="G243" i="336"/>
  <c r="E243" i="336"/>
  <c r="E242" i="336"/>
  <c r="E241" i="336"/>
  <c r="E240" i="336"/>
  <c r="E239" i="336"/>
  <c r="E238" i="336"/>
  <c r="G237" i="336"/>
  <c r="E237" i="336"/>
  <c r="E236" i="336"/>
  <c r="E235" i="336"/>
  <c r="E234" i="336"/>
  <c r="E233" i="336"/>
  <c r="G232" i="336"/>
  <c r="E232" i="336"/>
  <c r="G231" i="336"/>
  <c r="E231" i="336"/>
  <c r="E230" i="336"/>
  <c r="E229" i="336"/>
  <c r="E228" i="336"/>
  <c r="E227" i="336"/>
  <c r="E226" i="336"/>
  <c r="E225" i="336"/>
  <c r="E224" i="336"/>
  <c r="G223" i="336"/>
  <c r="E223" i="336"/>
  <c r="E222" i="336"/>
  <c r="E221" i="336"/>
  <c r="E220" i="336"/>
  <c r="H219" i="336"/>
  <c r="G219" i="336"/>
  <c r="F219" i="336"/>
  <c r="E219" i="336"/>
  <c r="D219" i="336"/>
  <c r="C219" i="336"/>
  <c r="G218" i="336"/>
  <c r="E218" i="336"/>
  <c r="E217" i="336"/>
  <c r="E216" i="336"/>
  <c r="E215" i="336"/>
  <c r="E214" i="336"/>
  <c r="E213" i="336"/>
  <c r="E212" i="336"/>
  <c r="E211" i="336"/>
  <c r="E210" i="336"/>
  <c r="G209" i="336"/>
  <c r="E209" i="336"/>
  <c r="G208" i="336"/>
  <c r="E208" i="336"/>
  <c r="G207" i="336"/>
  <c r="F207" i="336"/>
  <c r="E207" i="336"/>
  <c r="H206" i="336"/>
  <c r="H204" i="336" s="1"/>
  <c r="H115" i="336" s="1"/>
  <c r="E206" i="336"/>
  <c r="H205" i="336"/>
  <c r="E205" i="336"/>
  <c r="G204" i="336"/>
  <c r="F204" i="336"/>
  <c r="D204" i="336"/>
  <c r="E204" i="336" s="1"/>
  <c r="E203" i="336"/>
  <c r="E202" i="336"/>
  <c r="E201" i="336"/>
  <c r="E200" i="336"/>
  <c r="E199" i="336"/>
  <c r="E198" i="336"/>
  <c r="E197" i="336"/>
  <c r="G196" i="336"/>
  <c r="E196" i="336"/>
  <c r="E195" i="336"/>
  <c r="E194" i="336"/>
  <c r="E193" i="336"/>
  <c r="H192" i="336"/>
  <c r="E192" i="336"/>
  <c r="E191" i="336"/>
  <c r="E190" i="336"/>
  <c r="E189" i="336"/>
  <c r="E188" i="336"/>
  <c r="E187" i="336"/>
  <c r="G186" i="336"/>
  <c r="E186" i="336"/>
  <c r="H185" i="336"/>
  <c r="G185" i="336"/>
  <c r="E185" i="336"/>
  <c r="E183" i="336"/>
  <c r="E182" i="336"/>
  <c r="E181" i="336"/>
  <c r="E180" i="336"/>
  <c r="E179" i="336"/>
  <c r="E178" i="336"/>
  <c r="E177" i="336"/>
  <c r="G176" i="336"/>
  <c r="E176" i="336"/>
  <c r="E175" i="336"/>
  <c r="E174" i="336"/>
  <c r="E173" i="336"/>
  <c r="E172" i="336"/>
  <c r="E171" i="336"/>
  <c r="E170" i="336"/>
  <c r="E169" i="336"/>
  <c r="G168" i="336"/>
  <c r="E168" i="336"/>
  <c r="G167" i="336"/>
  <c r="E167" i="336"/>
  <c r="E166" i="336"/>
  <c r="G165" i="336"/>
  <c r="E165" i="336"/>
  <c r="E164" i="336"/>
  <c r="E163" i="336"/>
  <c r="E162" i="336"/>
  <c r="E161" i="336"/>
  <c r="E160" i="336"/>
  <c r="E159" i="336"/>
  <c r="E158" i="336"/>
  <c r="E157" i="336"/>
  <c r="E156" i="336"/>
  <c r="E155" i="336"/>
  <c r="E154" i="336"/>
  <c r="G153" i="336"/>
  <c r="E153" i="336"/>
  <c r="E152" i="336"/>
  <c r="E151" i="336"/>
  <c r="E150" i="336"/>
  <c r="E148" i="336"/>
  <c r="F147" i="336"/>
  <c r="E147" i="336"/>
  <c r="G146" i="336"/>
  <c r="E146" i="336"/>
  <c r="H144" i="336"/>
  <c r="G144" i="336"/>
  <c r="F144" i="336"/>
  <c r="E144" i="336"/>
  <c r="D144" i="336"/>
  <c r="E143" i="336"/>
  <c r="E142" i="336"/>
  <c r="E141" i="336"/>
  <c r="E140" i="336"/>
  <c r="E139" i="336"/>
  <c r="H138" i="336"/>
  <c r="E138" i="336"/>
  <c r="E137" i="336"/>
  <c r="E136" i="336"/>
  <c r="G135" i="336"/>
  <c r="E135" i="336"/>
  <c r="G134" i="336"/>
  <c r="E134" i="336"/>
  <c r="E133" i="336"/>
  <c r="E132" i="336"/>
  <c r="H131" i="336"/>
  <c r="G131" i="336"/>
  <c r="E131" i="336"/>
  <c r="E130" i="336"/>
  <c r="G129" i="336"/>
  <c r="E129" i="336"/>
  <c r="E128" i="336"/>
  <c r="G127" i="336"/>
  <c r="E127" i="336"/>
  <c r="E126" i="336"/>
  <c r="G125" i="336"/>
  <c r="E125" i="336"/>
  <c r="E124" i="336"/>
  <c r="F123" i="336"/>
  <c r="E123" i="336"/>
  <c r="G122" i="336"/>
  <c r="E122" i="336"/>
  <c r="E121" i="336"/>
  <c r="E120" i="336"/>
  <c r="E119" i="336"/>
  <c r="E118" i="336"/>
  <c r="E117" i="336"/>
  <c r="G116" i="336"/>
  <c r="F116" i="336"/>
  <c r="F115" i="336" s="1"/>
  <c r="E116" i="336"/>
  <c r="D116" i="336"/>
  <c r="G115" i="336"/>
  <c r="C115" i="336"/>
  <c r="E114" i="336"/>
  <c r="E113" i="336"/>
  <c r="G112" i="336"/>
  <c r="E112" i="336"/>
  <c r="E111" i="336"/>
  <c r="E110" i="336"/>
  <c r="G109" i="336"/>
  <c r="E109" i="336"/>
  <c r="G108" i="336"/>
  <c r="E108" i="336"/>
  <c r="E107" i="336"/>
  <c r="G106" i="336"/>
  <c r="G105" i="336" s="1"/>
  <c r="E106" i="336"/>
  <c r="H105" i="336"/>
  <c r="F105" i="336"/>
  <c r="D105" i="336"/>
  <c r="C105" i="336"/>
  <c r="E105" i="336" s="1"/>
  <c r="F104" i="336"/>
  <c r="F98" i="336" s="1"/>
  <c r="E104" i="336"/>
  <c r="E103" i="336"/>
  <c r="G102" i="336"/>
  <c r="E102" i="336"/>
  <c r="G101" i="336"/>
  <c r="C101" i="336"/>
  <c r="E101" i="336" s="1"/>
  <c r="E100" i="336"/>
  <c r="G99" i="336"/>
  <c r="D99" i="336"/>
  <c r="E99" i="336" s="1"/>
  <c r="H98" i="336"/>
  <c r="G98" i="336"/>
  <c r="D98" i="336"/>
  <c r="C98" i="336"/>
  <c r="E98" i="336" s="1"/>
  <c r="E97" i="336"/>
  <c r="G96" i="336"/>
  <c r="E96" i="336"/>
  <c r="G95" i="336"/>
  <c r="F95" i="336"/>
  <c r="D95" i="336"/>
  <c r="E95" i="336" s="1"/>
  <c r="G94" i="336"/>
  <c r="D94" i="336"/>
  <c r="E94" i="336" s="1"/>
  <c r="H93" i="336"/>
  <c r="G93" i="336"/>
  <c r="F93" i="336"/>
  <c r="D93" i="336"/>
  <c r="C93" i="336"/>
  <c r="E93" i="336" s="1"/>
  <c r="G92" i="336"/>
  <c r="E92" i="336"/>
  <c r="G91" i="336"/>
  <c r="E91" i="336"/>
  <c r="E90" i="336"/>
  <c r="H89" i="336"/>
  <c r="G89" i="336"/>
  <c r="F89" i="336"/>
  <c r="D89" i="336"/>
  <c r="C89" i="336"/>
  <c r="E89" i="336" s="1"/>
  <c r="E88" i="336"/>
  <c r="E87" i="336"/>
  <c r="E86" i="336"/>
  <c r="E85" i="336"/>
  <c r="E84" i="336"/>
  <c r="E83" i="336"/>
  <c r="G82" i="336"/>
  <c r="E82" i="336"/>
  <c r="G81" i="336"/>
  <c r="E81" i="336"/>
  <c r="G80" i="336"/>
  <c r="E80" i="336"/>
  <c r="G79" i="336"/>
  <c r="F79" i="336"/>
  <c r="E79" i="336"/>
  <c r="E78" i="336"/>
  <c r="E77" i="336"/>
  <c r="E76" i="336"/>
  <c r="F75" i="336"/>
  <c r="E75" i="336"/>
  <c r="H74" i="336"/>
  <c r="G74" i="336"/>
  <c r="F74" i="336"/>
  <c r="E74" i="336"/>
  <c r="D74" i="336"/>
  <c r="E73" i="336"/>
  <c r="E72" i="336"/>
  <c r="E71" i="336"/>
  <c r="E70" i="336"/>
  <c r="E69" i="336"/>
  <c r="E68" i="336"/>
  <c r="E67" i="336"/>
  <c r="E66" i="336"/>
  <c r="E65" i="336"/>
  <c r="G64" i="336"/>
  <c r="E64" i="336"/>
  <c r="E63" i="336"/>
  <c r="E62" i="336"/>
  <c r="E61" i="336"/>
  <c r="E60" i="336"/>
  <c r="E59" i="336"/>
  <c r="E58" i="336"/>
  <c r="E57" i="336"/>
  <c r="G56" i="336"/>
  <c r="E56" i="336"/>
  <c r="E55" i="336"/>
  <c r="E54" i="336"/>
  <c r="E53" i="336"/>
  <c r="E52" i="336"/>
  <c r="E51" i="336"/>
  <c r="E50" i="336"/>
  <c r="E49" i="336"/>
  <c r="E48" i="336"/>
  <c r="E47" i="336"/>
  <c r="E46" i="336"/>
  <c r="E45" i="336"/>
  <c r="E44" i="336"/>
  <c r="E43" i="336"/>
  <c r="E42" i="336"/>
  <c r="E41" i="336"/>
  <c r="E40" i="336"/>
  <c r="E39" i="336"/>
  <c r="E38" i="336"/>
  <c r="E37" i="336"/>
  <c r="G36" i="336"/>
  <c r="E36" i="336"/>
  <c r="E35" i="336"/>
  <c r="E34" i="336"/>
  <c r="G33" i="336"/>
  <c r="E33" i="336"/>
  <c r="E32" i="336"/>
  <c r="E31" i="336"/>
  <c r="E30" i="336"/>
  <c r="E29" i="336"/>
  <c r="G28" i="336"/>
  <c r="E28" i="336"/>
  <c r="E27" i="336"/>
  <c r="E26" i="336"/>
  <c r="E25" i="336"/>
  <c r="E24" i="336"/>
  <c r="E23" i="336"/>
  <c r="E22" i="336"/>
  <c r="G21" i="336"/>
  <c r="E21" i="336"/>
  <c r="E20" i="336"/>
  <c r="E19" i="336"/>
  <c r="G18" i="336"/>
  <c r="E18" i="336"/>
  <c r="E17" i="336"/>
  <c r="E16" i="336"/>
  <c r="E15" i="336"/>
  <c r="F14" i="336"/>
  <c r="E14" i="336"/>
  <c r="E13" i="336"/>
  <c r="G12" i="336"/>
  <c r="E12" i="336"/>
  <c r="E11" i="336"/>
  <c r="G10" i="336"/>
  <c r="G9" i="336" s="1"/>
  <c r="G4" i="336" s="1"/>
  <c r="G261" i="336" s="1"/>
  <c r="G278" i="336" s="1"/>
  <c r="F10" i="336"/>
  <c r="E10" i="336"/>
  <c r="D10" i="336"/>
  <c r="H9" i="336"/>
  <c r="H4" i="336" s="1"/>
  <c r="H261" i="336" s="1"/>
  <c r="F9" i="336"/>
  <c r="F4" i="336" s="1"/>
  <c r="F261" i="336" s="1"/>
  <c r="F278" i="336" s="1"/>
  <c r="D9" i="336"/>
  <c r="D4" i="336" s="1"/>
  <c r="C9" i="336"/>
  <c r="E9" i="336" s="1"/>
  <c r="E8" i="336"/>
  <c r="E7" i="336"/>
  <c r="G6" i="336"/>
  <c r="F6" i="336"/>
  <c r="E6" i="336"/>
  <c r="H5" i="336"/>
  <c r="G5" i="336"/>
  <c r="F5" i="336"/>
  <c r="E5" i="336"/>
  <c r="D5" i="336"/>
  <c r="C5" i="336"/>
  <c r="C4" i="336"/>
  <c r="N359" i="335"/>
  <c r="M359" i="335"/>
  <c r="O359" i="335" s="1"/>
  <c r="P359" i="335" s="1"/>
  <c r="O357" i="335"/>
  <c r="P357" i="335" s="1"/>
  <c r="O354" i="335"/>
  <c r="P354" i="335" s="1"/>
  <c r="N354" i="335"/>
  <c r="P353" i="335"/>
  <c r="O353" i="335"/>
  <c r="P352" i="335"/>
  <c r="O352" i="335"/>
  <c r="P351" i="335"/>
  <c r="O351" i="335"/>
  <c r="P350" i="335"/>
  <c r="O350" i="335"/>
  <c r="P349" i="335"/>
  <c r="O349" i="335"/>
  <c r="P348" i="335"/>
  <c r="O348" i="335"/>
  <c r="P347" i="335"/>
  <c r="O347" i="335"/>
  <c r="P344" i="335"/>
  <c r="O344" i="335"/>
  <c r="P343" i="335"/>
  <c r="O343" i="335"/>
  <c r="P340" i="335"/>
  <c r="O340" i="335"/>
  <c r="P339" i="335"/>
  <c r="O339" i="335"/>
  <c r="P338" i="335"/>
  <c r="O338" i="335"/>
  <c r="P337" i="335"/>
  <c r="O337" i="335"/>
  <c r="P334" i="335"/>
  <c r="L334" i="335"/>
  <c r="H334" i="335"/>
  <c r="L331" i="335"/>
  <c r="P331" i="335" s="1"/>
  <c r="H331" i="335"/>
  <c r="L330" i="335"/>
  <c r="H330" i="335"/>
  <c r="P330" i="335" s="1"/>
  <c r="L329" i="335"/>
  <c r="P329" i="335" s="1"/>
  <c r="H329" i="335"/>
  <c r="P328" i="335"/>
  <c r="L328" i="335"/>
  <c r="H328" i="335"/>
  <c r="L327" i="335"/>
  <c r="P327" i="335" s="1"/>
  <c r="H327" i="335"/>
  <c r="P324" i="335"/>
  <c r="O324" i="335"/>
  <c r="P323" i="335"/>
  <c r="O323" i="335"/>
  <c r="P322" i="335"/>
  <c r="O322" i="335"/>
  <c r="P321" i="335"/>
  <c r="O320" i="335"/>
  <c r="P320" i="335" s="1"/>
  <c r="O319" i="335"/>
  <c r="P319" i="335" s="1"/>
  <c r="O318" i="335"/>
  <c r="P318" i="335" s="1"/>
  <c r="P317" i="335"/>
  <c r="P315" i="335"/>
  <c r="O315" i="335"/>
  <c r="L312" i="335"/>
  <c r="H312" i="335"/>
  <c r="P312" i="335" s="1"/>
  <c r="O309" i="335"/>
  <c r="P309" i="335" s="1"/>
  <c r="O308" i="335"/>
  <c r="P308" i="335" s="1"/>
  <c r="O307" i="335"/>
  <c r="P307" i="335" s="1"/>
  <c r="O306" i="335"/>
  <c r="P306" i="335" s="1"/>
  <c r="O305" i="335"/>
  <c r="P305" i="335" s="1"/>
  <c r="O304" i="335"/>
  <c r="P304" i="335" s="1"/>
  <c r="O303" i="335"/>
  <c r="P303" i="335" s="1"/>
  <c r="O302" i="335"/>
  <c r="P302" i="335" s="1"/>
  <c r="O301" i="335"/>
  <c r="P301" i="335" s="1"/>
  <c r="O300" i="335"/>
  <c r="P300" i="335" s="1"/>
  <c r="O299" i="335"/>
  <c r="P299" i="335" s="1"/>
  <c r="O298" i="335"/>
  <c r="P298" i="335" s="1"/>
  <c r="O297" i="335"/>
  <c r="P297" i="335" s="1"/>
  <c r="O296" i="335"/>
  <c r="P296" i="335" s="1"/>
  <c r="O295" i="335"/>
  <c r="P295" i="335" s="1"/>
  <c r="O294" i="335"/>
  <c r="P294" i="335" s="1"/>
  <c r="O293" i="335"/>
  <c r="P293" i="335" s="1"/>
  <c r="O290" i="335"/>
  <c r="O360" i="335" s="1"/>
  <c r="O362" i="335" s="1"/>
  <c r="N290" i="335"/>
  <c r="N360" i="335" s="1"/>
  <c r="N362" i="335" s="1"/>
  <c r="M290" i="335"/>
  <c r="M360" i="335" s="1"/>
  <c r="M362" i="335" s="1"/>
  <c r="K290" i="335"/>
  <c r="K360" i="335" s="1"/>
  <c r="K362" i="335" s="1"/>
  <c r="F290" i="335"/>
  <c r="F360" i="335" s="1"/>
  <c r="F362" i="335" s="1"/>
  <c r="D290" i="335"/>
  <c r="D360" i="335" s="1"/>
  <c r="D362" i="335" s="1"/>
  <c r="C290" i="335"/>
  <c r="C360" i="335" s="1"/>
  <c r="C362" i="335" s="1"/>
  <c r="P288" i="335"/>
  <c r="L288" i="335"/>
  <c r="H288" i="335"/>
  <c r="P287" i="335"/>
  <c r="L287" i="335"/>
  <c r="H287" i="335"/>
  <c r="L286" i="335"/>
  <c r="P286" i="335" s="1"/>
  <c r="H286" i="335"/>
  <c r="L285" i="335"/>
  <c r="H285" i="335"/>
  <c r="P285" i="335" s="1"/>
  <c r="P284" i="335"/>
  <c r="L284" i="335"/>
  <c r="H284" i="335"/>
  <c r="P283" i="335"/>
  <c r="L283" i="335"/>
  <c r="H283" i="335"/>
  <c r="L282" i="335"/>
  <c r="P282" i="335" s="1"/>
  <c r="H282" i="335"/>
  <c r="L281" i="335"/>
  <c r="H281" i="335"/>
  <c r="P281" i="335" s="1"/>
  <c r="P280" i="335"/>
  <c r="L280" i="335"/>
  <c r="H280" i="335"/>
  <c r="P279" i="335"/>
  <c r="L279" i="335"/>
  <c r="H279" i="335"/>
  <c r="L278" i="335"/>
  <c r="P278" i="335" s="1"/>
  <c r="H278" i="335"/>
  <c r="L277" i="335"/>
  <c r="H277" i="335"/>
  <c r="P277" i="335" s="1"/>
  <c r="P276" i="335"/>
  <c r="L276" i="335"/>
  <c r="H276" i="335"/>
  <c r="P275" i="335"/>
  <c r="L275" i="335"/>
  <c r="H275" i="335"/>
  <c r="L274" i="335"/>
  <c r="P274" i="335" s="1"/>
  <c r="H274" i="335"/>
  <c r="L273" i="335"/>
  <c r="H273" i="335"/>
  <c r="P273" i="335" s="1"/>
  <c r="P272" i="335"/>
  <c r="L272" i="335"/>
  <c r="H272" i="335"/>
  <c r="P271" i="335"/>
  <c r="L271" i="335"/>
  <c r="H271" i="335"/>
  <c r="L270" i="335"/>
  <c r="P270" i="335" s="1"/>
  <c r="H270" i="335"/>
  <c r="L269" i="335"/>
  <c r="H269" i="335"/>
  <c r="P269" i="335" s="1"/>
  <c r="P268" i="335"/>
  <c r="L268" i="335"/>
  <c r="H268" i="335"/>
  <c r="P267" i="335"/>
  <c r="L267" i="335"/>
  <c r="H267" i="335"/>
  <c r="L266" i="335"/>
  <c r="P266" i="335" s="1"/>
  <c r="H266" i="335"/>
  <c r="L265" i="335"/>
  <c r="H265" i="335"/>
  <c r="P265" i="335" s="1"/>
  <c r="P264" i="335"/>
  <c r="L264" i="335"/>
  <c r="H264" i="335"/>
  <c r="P263" i="335"/>
  <c r="L263" i="335"/>
  <c r="H263" i="335"/>
  <c r="L262" i="335"/>
  <c r="P262" i="335" s="1"/>
  <c r="H262" i="335"/>
  <c r="L261" i="335"/>
  <c r="H261" i="335"/>
  <c r="P261" i="335" s="1"/>
  <c r="P260" i="335"/>
  <c r="L260" i="335"/>
  <c r="H260" i="335"/>
  <c r="P259" i="335"/>
  <c r="L259" i="335"/>
  <c r="H259" i="335"/>
  <c r="L258" i="335"/>
  <c r="P258" i="335" s="1"/>
  <c r="H258" i="335"/>
  <c r="L257" i="335"/>
  <c r="H257" i="335"/>
  <c r="P257" i="335" s="1"/>
  <c r="P256" i="335"/>
  <c r="L256" i="335"/>
  <c r="H256" i="335"/>
  <c r="P254" i="335"/>
  <c r="L254" i="335"/>
  <c r="H254" i="335"/>
  <c r="L251" i="335"/>
  <c r="P251" i="335" s="1"/>
  <c r="H251" i="335"/>
  <c r="L250" i="335"/>
  <c r="H250" i="335"/>
  <c r="P250" i="335" s="1"/>
  <c r="L248" i="335"/>
  <c r="G248" i="335"/>
  <c r="G290" i="335" s="1"/>
  <c r="G360" i="335" s="1"/>
  <c r="G362" i="335" s="1"/>
  <c r="E248" i="335"/>
  <c r="H248" i="335" s="1"/>
  <c r="P248" i="335" s="1"/>
  <c r="L246" i="335"/>
  <c r="H246" i="335"/>
  <c r="P246" i="335" s="1"/>
  <c r="P245" i="335"/>
  <c r="L245" i="335"/>
  <c r="H245" i="335"/>
  <c r="P243" i="335"/>
  <c r="L243" i="335"/>
  <c r="H243" i="335"/>
  <c r="L240" i="335"/>
  <c r="P240" i="335" s="1"/>
  <c r="H240" i="335"/>
  <c r="L237" i="335"/>
  <c r="H237" i="335"/>
  <c r="P237" i="335" s="1"/>
  <c r="P233" i="335"/>
  <c r="L233" i="335"/>
  <c r="H233" i="335"/>
  <c r="P228" i="335"/>
  <c r="L228" i="335"/>
  <c r="H228" i="335"/>
  <c r="L226" i="335"/>
  <c r="P226" i="335" s="1"/>
  <c r="H226" i="335"/>
  <c r="O224" i="335"/>
  <c r="L224" i="335"/>
  <c r="P224" i="335" s="1"/>
  <c r="H224" i="335"/>
  <c r="L223" i="335"/>
  <c r="H223" i="335"/>
  <c r="P223" i="335" s="1"/>
  <c r="P220" i="335"/>
  <c r="L220" i="335"/>
  <c r="H220" i="335"/>
  <c r="P218" i="335"/>
  <c r="L218" i="335"/>
  <c r="H218" i="335"/>
  <c r="L216" i="335"/>
  <c r="P216" i="335" s="1"/>
  <c r="H216" i="335"/>
  <c r="L212" i="335"/>
  <c r="H212" i="335"/>
  <c r="P212" i="335" s="1"/>
  <c r="P209" i="335"/>
  <c r="L209" i="335"/>
  <c r="H209" i="335"/>
  <c r="P205" i="335"/>
  <c r="L205" i="335"/>
  <c r="H205" i="335"/>
  <c r="L202" i="335"/>
  <c r="P202" i="335" s="1"/>
  <c r="H202" i="335"/>
  <c r="L197" i="335"/>
  <c r="H197" i="335"/>
  <c r="P197" i="335" s="1"/>
  <c r="P196" i="335"/>
  <c r="L196" i="335"/>
  <c r="H196" i="335"/>
  <c r="P195" i="335"/>
  <c r="L195" i="335"/>
  <c r="H195" i="335"/>
  <c r="L192" i="335"/>
  <c r="P192" i="335" s="1"/>
  <c r="H192" i="335"/>
  <c r="L191" i="335"/>
  <c r="H191" i="335"/>
  <c r="P191" i="335" s="1"/>
  <c r="P189" i="335"/>
  <c r="L189" i="335"/>
  <c r="H189" i="335"/>
  <c r="P188" i="335"/>
  <c r="L188" i="335"/>
  <c r="H188" i="335"/>
  <c r="L186" i="335"/>
  <c r="P186" i="335" s="1"/>
  <c r="H186" i="335"/>
  <c r="L183" i="335"/>
  <c r="H183" i="335"/>
  <c r="P183" i="335" s="1"/>
  <c r="P181" i="335"/>
  <c r="L181" i="335"/>
  <c r="H181" i="335"/>
  <c r="P179" i="335"/>
  <c r="L179" i="335"/>
  <c r="H179" i="335"/>
  <c r="L176" i="335"/>
  <c r="P176" i="335" s="1"/>
  <c r="H176" i="335"/>
  <c r="L175" i="335"/>
  <c r="H175" i="335"/>
  <c r="P175" i="335" s="1"/>
  <c r="P172" i="335"/>
  <c r="L172" i="335"/>
  <c r="H172" i="335"/>
  <c r="P170" i="335"/>
  <c r="L170" i="335"/>
  <c r="H170" i="335"/>
  <c r="L169" i="335"/>
  <c r="P169" i="335" s="1"/>
  <c r="H169" i="335"/>
  <c r="L164" i="335"/>
  <c r="H164" i="335"/>
  <c r="P164" i="335" s="1"/>
  <c r="P160" i="335"/>
  <c r="L160" i="335"/>
  <c r="H160" i="335"/>
  <c r="P157" i="335"/>
  <c r="L157" i="335"/>
  <c r="H157" i="335"/>
  <c r="L153" i="335"/>
  <c r="P153" i="335" s="1"/>
  <c r="H153" i="335"/>
  <c r="L150" i="335"/>
  <c r="H150" i="335"/>
  <c r="P150" i="335" s="1"/>
  <c r="P144" i="335"/>
  <c r="L144" i="335"/>
  <c r="H144" i="335"/>
  <c r="P141" i="335"/>
  <c r="L141" i="335"/>
  <c r="H141" i="335"/>
  <c r="L140" i="335"/>
  <c r="P140" i="335" s="1"/>
  <c r="H140" i="335"/>
  <c r="L137" i="335"/>
  <c r="H137" i="335"/>
  <c r="P137" i="335" s="1"/>
  <c r="P134" i="335"/>
  <c r="L134" i="335"/>
  <c r="H134" i="335"/>
  <c r="P129" i="335"/>
  <c r="L129" i="335"/>
  <c r="H129" i="335"/>
  <c r="L125" i="335"/>
  <c r="P125" i="335" s="1"/>
  <c r="I125" i="335"/>
  <c r="H125" i="335"/>
  <c r="L122" i="335"/>
  <c r="P122" i="335" s="1"/>
  <c r="H122" i="335"/>
  <c r="E122" i="335"/>
  <c r="L118" i="335"/>
  <c r="P118" i="335" s="1"/>
  <c r="H118" i="335"/>
  <c r="L117" i="335"/>
  <c r="H117" i="335"/>
  <c r="P117" i="335" s="1"/>
  <c r="P116" i="335"/>
  <c r="L116" i="335"/>
  <c r="H116" i="335"/>
  <c r="L115" i="335"/>
  <c r="J115" i="335"/>
  <c r="I115" i="335"/>
  <c r="H115" i="335"/>
  <c r="P115" i="335" s="1"/>
  <c r="L114" i="335"/>
  <c r="I114" i="335"/>
  <c r="H114" i="335"/>
  <c r="P114" i="335" s="1"/>
  <c r="E114" i="335"/>
  <c r="E290" i="335" s="1"/>
  <c r="E360" i="335" s="1"/>
  <c r="E362" i="335" s="1"/>
  <c r="J113" i="335"/>
  <c r="J290" i="335" s="1"/>
  <c r="J360" i="335" s="1"/>
  <c r="J362" i="335" s="1"/>
  <c r="I113" i="335"/>
  <c r="I290" i="335" s="1"/>
  <c r="I360" i="335" s="1"/>
  <c r="I362" i="335" s="1"/>
  <c r="H113" i="335"/>
  <c r="L112" i="335"/>
  <c r="P112" i="335" s="1"/>
  <c r="H112" i="335"/>
  <c r="L111" i="335"/>
  <c r="H111" i="335"/>
  <c r="P111" i="335" s="1"/>
  <c r="P110" i="335"/>
  <c r="L110" i="335"/>
  <c r="H110" i="335"/>
  <c r="P109" i="335"/>
  <c r="L109" i="335"/>
  <c r="H109" i="335"/>
  <c r="L108" i="335"/>
  <c r="P108" i="335" s="1"/>
  <c r="H108" i="335"/>
  <c r="L107" i="335"/>
  <c r="H107" i="335"/>
  <c r="P107" i="335" s="1"/>
  <c r="P106" i="335"/>
  <c r="L106" i="335"/>
  <c r="H106" i="335"/>
  <c r="P103" i="335"/>
  <c r="L103" i="335"/>
  <c r="H103" i="335"/>
  <c r="L102" i="335"/>
  <c r="P102" i="335" s="1"/>
  <c r="H102" i="335"/>
  <c r="L101" i="335"/>
  <c r="H101" i="335"/>
  <c r="P101" i="335" s="1"/>
  <c r="P100" i="335"/>
  <c r="L100" i="335"/>
  <c r="H100" i="335"/>
  <c r="P99" i="335"/>
  <c r="L99" i="335"/>
  <c r="H99" i="335"/>
  <c r="L98" i="335"/>
  <c r="P98" i="335" s="1"/>
  <c r="H98" i="335"/>
  <c r="L97" i="335"/>
  <c r="H97" i="335"/>
  <c r="P97" i="335" s="1"/>
  <c r="P96" i="335"/>
  <c r="L96" i="335"/>
  <c r="H96" i="335"/>
  <c r="P95" i="335"/>
  <c r="L95" i="335"/>
  <c r="H95" i="335"/>
  <c r="L92" i="335"/>
  <c r="P92" i="335" s="1"/>
  <c r="H92" i="335"/>
  <c r="L91" i="335"/>
  <c r="H91" i="335"/>
  <c r="P91" i="335" s="1"/>
  <c r="P90" i="335"/>
  <c r="L90" i="335"/>
  <c r="H90" i="335"/>
  <c r="P89" i="335"/>
  <c r="L89" i="335"/>
  <c r="H89" i="335"/>
  <c r="L86" i="335"/>
  <c r="P86" i="335" s="1"/>
  <c r="H86" i="335"/>
  <c r="L82" i="335"/>
  <c r="H82" i="335"/>
  <c r="P82" i="335" s="1"/>
  <c r="P81" i="335"/>
  <c r="L81" i="335"/>
  <c r="H81" i="335"/>
  <c r="P78" i="335"/>
  <c r="L78" i="335"/>
  <c r="H78" i="335"/>
  <c r="L77" i="335"/>
  <c r="P77" i="335" s="1"/>
  <c r="H77" i="335"/>
  <c r="L76" i="335"/>
  <c r="H76" i="335"/>
  <c r="P76" i="335" s="1"/>
  <c r="P75" i="335"/>
  <c r="L75" i="335"/>
  <c r="H75" i="335"/>
  <c r="P74" i="335"/>
  <c r="L74" i="335"/>
  <c r="H74" i="335"/>
  <c r="L73" i="335"/>
  <c r="P73" i="335" s="1"/>
  <c r="H73" i="335"/>
  <c r="L72" i="335"/>
  <c r="H72" i="335"/>
  <c r="P72" i="335" s="1"/>
  <c r="P71" i="335"/>
  <c r="L71" i="335"/>
  <c r="H71" i="335"/>
  <c r="P70" i="335"/>
  <c r="L70" i="335"/>
  <c r="H70" i="335"/>
  <c r="L69" i="335"/>
  <c r="P69" i="335" s="1"/>
  <c r="H69" i="335"/>
  <c r="L66" i="335"/>
  <c r="H66" i="335"/>
  <c r="P66" i="335" s="1"/>
  <c r="P65" i="335"/>
  <c r="L65" i="335"/>
  <c r="H65" i="335"/>
  <c r="P64" i="335"/>
  <c r="L64" i="335"/>
  <c r="H64" i="335"/>
  <c r="L63" i="335"/>
  <c r="P63" i="335" s="1"/>
  <c r="H63" i="335"/>
  <c r="L62" i="335"/>
  <c r="H62" i="335"/>
  <c r="P62" i="335" s="1"/>
  <c r="P61" i="335"/>
  <c r="L61" i="335"/>
  <c r="H61" i="335"/>
  <c r="P60" i="335"/>
  <c r="L60" i="335"/>
  <c r="H60" i="335"/>
  <c r="L59" i="335"/>
  <c r="P59" i="335" s="1"/>
  <c r="H59" i="335"/>
  <c r="L56" i="335"/>
  <c r="H56" i="335"/>
  <c r="P56" i="335" s="1"/>
  <c r="P51" i="335"/>
  <c r="L51" i="335"/>
  <c r="H51" i="335"/>
  <c r="P49" i="335"/>
  <c r="L49" i="335"/>
  <c r="H49" i="335"/>
  <c r="L46" i="335"/>
  <c r="P46" i="335" s="1"/>
  <c r="H46" i="335"/>
  <c r="L42" i="335"/>
  <c r="H42" i="335"/>
  <c r="P42" i="335" s="1"/>
  <c r="P40" i="335"/>
  <c r="L40" i="335"/>
  <c r="H40" i="335"/>
  <c r="P37" i="335"/>
  <c r="L37" i="335"/>
  <c r="H37" i="335"/>
  <c r="L33" i="335"/>
  <c r="P33" i="335" s="1"/>
  <c r="H33" i="335"/>
  <c r="L32" i="335"/>
  <c r="H32" i="335"/>
  <c r="P32" i="335" s="1"/>
  <c r="P29" i="335"/>
  <c r="L29" i="335"/>
  <c r="H29" i="335"/>
  <c r="P28" i="335"/>
  <c r="L28" i="335"/>
  <c r="H28" i="335"/>
  <c r="L27" i="335"/>
  <c r="P27" i="335" s="1"/>
  <c r="H27" i="335"/>
  <c r="L24" i="335"/>
  <c r="H24" i="335"/>
  <c r="P24" i="335" s="1"/>
  <c r="P20" i="335"/>
  <c r="L20" i="335"/>
  <c r="H20" i="335"/>
  <c r="P18" i="335"/>
  <c r="L18" i="335"/>
  <c r="H18" i="335"/>
  <c r="L16" i="335"/>
  <c r="P16" i="335" s="1"/>
  <c r="H16" i="335"/>
  <c r="O10" i="335"/>
  <c r="L10" i="335"/>
  <c r="P10" i="335" s="1"/>
  <c r="H10" i="335"/>
  <c r="H290" i="335" s="1"/>
  <c r="H360" i="335" s="1"/>
  <c r="H362" i="335" s="1"/>
  <c r="O9" i="335"/>
  <c r="L9" i="335"/>
  <c r="P9" i="335" s="1"/>
  <c r="H9" i="335"/>
  <c r="O8" i="335"/>
  <c r="L8" i="335"/>
  <c r="P8" i="335" s="1"/>
  <c r="H8" i="335"/>
  <c r="K555" i="334"/>
  <c r="G555" i="334"/>
  <c r="C555" i="334"/>
  <c r="N538" i="334"/>
  <c r="N555" i="334" s="1"/>
  <c r="K538" i="334"/>
  <c r="J538" i="334"/>
  <c r="J555" i="334" s="1"/>
  <c r="I538" i="334"/>
  <c r="I555" i="334" s="1"/>
  <c r="G538" i="334"/>
  <c r="F538" i="334"/>
  <c r="F555" i="334" s="1"/>
  <c r="E538" i="334"/>
  <c r="E555" i="334" s="1"/>
  <c r="D538" i="334"/>
  <c r="D555" i="334" s="1"/>
  <c r="C538" i="334"/>
  <c r="N536" i="334"/>
  <c r="K536" i="334"/>
  <c r="J536" i="334"/>
  <c r="I536" i="334"/>
  <c r="G536" i="334"/>
  <c r="F536" i="334"/>
  <c r="E536" i="334"/>
  <c r="D536" i="334"/>
  <c r="C536" i="334"/>
  <c r="N535" i="334"/>
  <c r="L535" i="334"/>
  <c r="K535" i="334"/>
  <c r="J535" i="334"/>
  <c r="I535" i="334"/>
  <c r="H535" i="334"/>
  <c r="G535" i="334"/>
  <c r="F535" i="334"/>
  <c r="E535" i="334"/>
  <c r="D535" i="334"/>
  <c r="C535" i="334"/>
  <c r="N534" i="334"/>
  <c r="K534" i="334"/>
  <c r="J534" i="334"/>
  <c r="I534" i="334"/>
  <c r="G534" i="334"/>
  <c r="F534" i="334"/>
  <c r="E534" i="334"/>
  <c r="D534" i="334"/>
  <c r="C534" i="334"/>
  <c r="N533" i="334"/>
  <c r="K533" i="334"/>
  <c r="J533" i="334"/>
  <c r="I533" i="334"/>
  <c r="G533" i="334"/>
  <c r="F533" i="334"/>
  <c r="E533" i="334"/>
  <c r="D533" i="334"/>
  <c r="C533" i="334"/>
  <c r="N532" i="334"/>
  <c r="K532" i="334"/>
  <c r="J532" i="334"/>
  <c r="I532" i="334"/>
  <c r="G532" i="334"/>
  <c r="F532" i="334"/>
  <c r="E532" i="334"/>
  <c r="D532" i="334"/>
  <c r="C532" i="334"/>
  <c r="N531" i="334"/>
  <c r="K531" i="334"/>
  <c r="J531" i="334"/>
  <c r="I531" i="334"/>
  <c r="G531" i="334"/>
  <c r="F531" i="334"/>
  <c r="E531" i="334"/>
  <c r="D531" i="334"/>
  <c r="C531" i="334"/>
  <c r="N530" i="334"/>
  <c r="K530" i="334"/>
  <c r="J530" i="334"/>
  <c r="I530" i="334"/>
  <c r="G530" i="334"/>
  <c r="F530" i="334"/>
  <c r="E530" i="334"/>
  <c r="D530" i="334"/>
  <c r="C530" i="334"/>
  <c r="N529" i="334"/>
  <c r="K529" i="334"/>
  <c r="J529" i="334"/>
  <c r="I529" i="334"/>
  <c r="G529" i="334"/>
  <c r="F529" i="334"/>
  <c r="E529" i="334"/>
  <c r="D529" i="334"/>
  <c r="C529" i="334"/>
  <c r="N528" i="334"/>
  <c r="K528" i="334"/>
  <c r="J528" i="334"/>
  <c r="I528" i="334"/>
  <c r="G528" i="334"/>
  <c r="F528" i="334"/>
  <c r="E528" i="334"/>
  <c r="D528" i="334"/>
  <c r="C528" i="334"/>
  <c r="N527" i="334"/>
  <c r="K527" i="334"/>
  <c r="J527" i="334"/>
  <c r="I527" i="334"/>
  <c r="G527" i="334"/>
  <c r="F527" i="334"/>
  <c r="E527" i="334"/>
  <c r="D527" i="334"/>
  <c r="D554" i="334" s="1"/>
  <c r="C527" i="334"/>
  <c r="N526" i="334"/>
  <c r="K526" i="334"/>
  <c r="J526" i="334"/>
  <c r="I526" i="334"/>
  <c r="G526" i="334"/>
  <c r="F526" i="334"/>
  <c r="E526" i="334"/>
  <c r="D526" i="334"/>
  <c r="C526" i="334"/>
  <c r="N525" i="334"/>
  <c r="K525" i="334"/>
  <c r="J525" i="334"/>
  <c r="I525" i="334"/>
  <c r="G525" i="334"/>
  <c r="F525" i="334"/>
  <c r="E525" i="334"/>
  <c r="D525" i="334"/>
  <c r="C525" i="334"/>
  <c r="N524" i="334"/>
  <c r="K524" i="334"/>
  <c r="J524" i="334"/>
  <c r="I524" i="334"/>
  <c r="G524" i="334"/>
  <c r="F524" i="334"/>
  <c r="E524" i="334"/>
  <c r="D524" i="334"/>
  <c r="C524" i="334"/>
  <c r="N523" i="334"/>
  <c r="K523" i="334"/>
  <c r="J523" i="334"/>
  <c r="J554" i="334" s="1"/>
  <c r="I523" i="334"/>
  <c r="I554" i="334" s="1"/>
  <c r="G523" i="334"/>
  <c r="F523" i="334"/>
  <c r="F554" i="334" s="1"/>
  <c r="E523" i="334"/>
  <c r="E554" i="334" s="1"/>
  <c r="D523" i="334"/>
  <c r="C523" i="334"/>
  <c r="N521" i="334"/>
  <c r="K521" i="334"/>
  <c r="J521" i="334"/>
  <c r="I521" i="334"/>
  <c r="G521" i="334"/>
  <c r="F521" i="334"/>
  <c r="E521" i="334"/>
  <c r="D521" i="334"/>
  <c r="C521" i="334"/>
  <c r="N520" i="334"/>
  <c r="K520" i="334"/>
  <c r="J520" i="334"/>
  <c r="I520" i="334"/>
  <c r="G520" i="334"/>
  <c r="F520" i="334"/>
  <c r="E520" i="334"/>
  <c r="D520" i="334"/>
  <c r="C520" i="334"/>
  <c r="N519" i="334"/>
  <c r="K519" i="334"/>
  <c r="J519" i="334"/>
  <c r="I519" i="334"/>
  <c r="G519" i="334"/>
  <c r="F519" i="334"/>
  <c r="E519" i="334"/>
  <c r="D519" i="334"/>
  <c r="C519" i="334"/>
  <c r="N518" i="334"/>
  <c r="L518" i="334"/>
  <c r="K518" i="334"/>
  <c r="J518" i="334"/>
  <c r="I518" i="334"/>
  <c r="G518" i="334"/>
  <c r="F518" i="334"/>
  <c r="E518" i="334"/>
  <c r="D518" i="334"/>
  <c r="C518" i="334"/>
  <c r="N517" i="334"/>
  <c r="K517" i="334"/>
  <c r="J517" i="334"/>
  <c r="I517" i="334"/>
  <c r="G517" i="334"/>
  <c r="F517" i="334"/>
  <c r="E517" i="334"/>
  <c r="D517" i="334"/>
  <c r="C517" i="334"/>
  <c r="N516" i="334"/>
  <c r="K516" i="334"/>
  <c r="J516" i="334"/>
  <c r="I516" i="334"/>
  <c r="G516" i="334"/>
  <c r="F516" i="334"/>
  <c r="E516" i="334"/>
  <c r="D516" i="334"/>
  <c r="C516" i="334"/>
  <c r="N515" i="334"/>
  <c r="K515" i="334"/>
  <c r="J515" i="334"/>
  <c r="I515" i="334"/>
  <c r="G515" i="334"/>
  <c r="F515" i="334"/>
  <c r="E515" i="334"/>
  <c r="D515" i="334"/>
  <c r="C515" i="334"/>
  <c r="N514" i="334"/>
  <c r="K514" i="334"/>
  <c r="J514" i="334"/>
  <c r="I514" i="334"/>
  <c r="G514" i="334"/>
  <c r="F514" i="334"/>
  <c r="E514" i="334"/>
  <c r="D514" i="334"/>
  <c r="C514" i="334"/>
  <c r="N513" i="334"/>
  <c r="K513" i="334"/>
  <c r="J513" i="334"/>
  <c r="I513" i="334"/>
  <c r="G513" i="334"/>
  <c r="F513" i="334"/>
  <c r="E513" i="334"/>
  <c r="D513" i="334"/>
  <c r="C513" i="334"/>
  <c r="N512" i="334"/>
  <c r="K512" i="334"/>
  <c r="J512" i="334"/>
  <c r="I512" i="334"/>
  <c r="G512" i="334"/>
  <c r="F512" i="334"/>
  <c r="E512" i="334"/>
  <c r="D512" i="334"/>
  <c r="C512" i="334"/>
  <c r="N511" i="334"/>
  <c r="K511" i="334"/>
  <c r="J511" i="334"/>
  <c r="I511" i="334"/>
  <c r="G511" i="334"/>
  <c r="F511" i="334"/>
  <c r="E511" i="334"/>
  <c r="D511" i="334"/>
  <c r="C511" i="334"/>
  <c r="N510" i="334"/>
  <c r="K510" i="334"/>
  <c r="J510" i="334"/>
  <c r="I510" i="334"/>
  <c r="G510" i="334"/>
  <c r="F510" i="334"/>
  <c r="E510" i="334"/>
  <c r="D510" i="334"/>
  <c r="C510" i="334"/>
  <c r="N509" i="334"/>
  <c r="K509" i="334"/>
  <c r="J509" i="334"/>
  <c r="I509" i="334"/>
  <c r="G509" i="334"/>
  <c r="F509" i="334"/>
  <c r="E509" i="334"/>
  <c r="D509" i="334"/>
  <c r="C509" i="334"/>
  <c r="N508" i="334"/>
  <c r="K508" i="334"/>
  <c r="J508" i="334"/>
  <c r="I508" i="334"/>
  <c r="H508" i="334"/>
  <c r="G508" i="334"/>
  <c r="F508" i="334"/>
  <c r="E508" i="334"/>
  <c r="D508" i="334"/>
  <c r="C508" i="334"/>
  <c r="N507" i="334"/>
  <c r="K507" i="334"/>
  <c r="J507" i="334"/>
  <c r="I507" i="334"/>
  <c r="G507" i="334"/>
  <c r="F507" i="334"/>
  <c r="E507" i="334"/>
  <c r="D507" i="334"/>
  <c r="C507" i="334"/>
  <c r="N506" i="334"/>
  <c r="K506" i="334"/>
  <c r="J506" i="334"/>
  <c r="J553" i="334" s="1"/>
  <c r="J552" i="334" s="1"/>
  <c r="I506" i="334"/>
  <c r="I553" i="334" s="1"/>
  <c r="I552" i="334" s="1"/>
  <c r="G506" i="334"/>
  <c r="G553" i="334" s="1"/>
  <c r="F506" i="334"/>
  <c r="E506" i="334"/>
  <c r="D506" i="334"/>
  <c r="C506" i="334"/>
  <c r="C553" i="334" s="1"/>
  <c r="N504" i="334"/>
  <c r="K504" i="334"/>
  <c r="J504" i="334"/>
  <c r="I504" i="334"/>
  <c r="I539" i="334" s="1"/>
  <c r="G504" i="334"/>
  <c r="G539" i="334" s="1"/>
  <c r="F504" i="334"/>
  <c r="N502" i="334"/>
  <c r="N542" i="334" s="1"/>
  <c r="N549" i="334" s="1"/>
  <c r="M502" i="334"/>
  <c r="M542" i="334" s="1"/>
  <c r="M549" i="334" s="1"/>
  <c r="M559" i="334" s="1"/>
  <c r="K502" i="334"/>
  <c r="K542" i="334" s="1"/>
  <c r="K549" i="334" s="1"/>
  <c r="J502" i="334"/>
  <c r="J542" i="334" s="1"/>
  <c r="J549" i="334" s="1"/>
  <c r="J559" i="334" s="1"/>
  <c r="I502" i="334"/>
  <c r="I542" i="334" s="1"/>
  <c r="I549" i="334" s="1"/>
  <c r="I559" i="334" s="1"/>
  <c r="G502" i="334"/>
  <c r="G542" i="334" s="1"/>
  <c r="G549" i="334" s="1"/>
  <c r="F502" i="334"/>
  <c r="F542" i="334" s="1"/>
  <c r="F549" i="334" s="1"/>
  <c r="F559" i="334" s="1"/>
  <c r="E502" i="334"/>
  <c r="E542" i="334" s="1"/>
  <c r="E549" i="334" s="1"/>
  <c r="E559" i="334" s="1"/>
  <c r="D502" i="334"/>
  <c r="D542" i="334" s="1"/>
  <c r="D549" i="334" s="1"/>
  <c r="D559" i="334" s="1"/>
  <c r="C502" i="334"/>
  <c r="C542" i="334" s="1"/>
  <c r="C549" i="334" s="1"/>
  <c r="C559" i="334" s="1"/>
  <c r="N501" i="334"/>
  <c r="K501" i="334"/>
  <c r="J501" i="334"/>
  <c r="I501" i="334"/>
  <c r="G501" i="334"/>
  <c r="F501" i="334"/>
  <c r="E501" i="334"/>
  <c r="D501" i="334"/>
  <c r="C501" i="334"/>
  <c r="O500" i="334"/>
  <c r="N500" i="334"/>
  <c r="L500" i="334"/>
  <c r="K500" i="334"/>
  <c r="J500" i="334"/>
  <c r="I500" i="334"/>
  <c r="H500" i="334"/>
  <c r="G500" i="334"/>
  <c r="F500" i="334"/>
  <c r="E500" i="334"/>
  <c r="D500" i="334"/>
  <c r="C500" i="334"/>
  <c r="N499" i="334"/>
  <c r="M499" i="334"/>
  <c r="K499" i="334"/>
  <c r="J499" i="334"/>
  <c r="I499" i="334"/>
  <c r="G499" i="334"/>
  <c r="F499" i="334"/>
  <c r="E499" i="334"/>
  <c r="D499" i="334"/>
  <c r="C499" i="334"/>
  <c r="O498" i="334"/>
  <c r="O538" i="334" s="1"/>
  <c r="O555" i="334" s="1"/>
  <c r="M498" i="334"/>
  <c r="M538" i="334" s="1"/>
  <c r="M555" i="334" s="1"/>
  <c r="L498" i="334"/>
  <c r="L538" i="334" s="1"/>
  <c r="L555" i="334" s="1"/>
  <c r="H498" i="334"/>
  <c r="H538" i="334" s="1"/>
  <c r="H555" i="334" s="1"/>
  <c r="O496" i="334"/>
  <c r="O536" i="334" s="1"/>
  <c r="M496" i="334"/>
  <c r="M536" i="334" s="1"/>
  <c r="L496" i="334"/>
  <c r="L536" i="334" s="1"/>
  <c r="H496" i="334"/>
  <c r="H536" i="334" s="1"/>
  <c r="O495" i="334"/>
  <c r="O534" i="334" s="1"/>
  <c r="M495" i="334"/>
  <c r="M534" i="334" s="1"/>
  <c r="L495" i="334"/>
  <c r="L534" i="334" s="1"/>
  <c r="H495" i="334"/>
  <c r="H534" i="334" s="1"/>
  <c r="O493" i="334"/>
  <c r="O520" i="334" s="1"/>
  <c r="M493" i="334"/>
  <c r="M520" i="334" s="1"/>
  <c r="L493" i="334"/>
  <c r="L520" i="334" s="1"/>
  <c r="H493" i="334"/>
  <c r="H520" i="334" s="1"/>
  <c r="O492" i="334"/>
  <c r="O519" i="334" s="1"/>
  <c r="M492" i="334"/>
  <c r="M519" i="334" s="1"/>
  <c r="L492" i="334"/>
  <c r="L519" i="334" s="1"/>
  <c r="H492" i="334"/>
  <c r="H519" i="334" s="1"/>
  <c r="O491" i="334"/>
  <c r="M491" i="334"/>
  <c r="L491" i="334"/>
  <c r="H491" i="334"/>
  <c r="O489" i="334"/>
  <c r="O502" i="334" s="1"/>
  <c r="O542" i="334" s="1"/>
  <c r="O549" i="334" s="1"/>
  <c r="O559" i="334" s="1"/>
  <c r="M489" i="334"/>
  <c r="L489" i="334"/>
  <c r="L502" i="334" s="1"/>
  <c r="L542" i="334" s="1"/>
  <c r="L549" i="334" s="1"/>
  <c r="L559" i="334" s="1"/>
  <c r="H489" i="334"/>
  <c r="H502" i="334" s="1"/>
  <c r="H542" i="334" s="1"/>
  <c r="H549" i="334" s="1"/>
  <c r="H559" i="334" s="1"/>
  <c r="O488" i="334"/>
  <c r="O501" i="334" s="1"/>
  <c r="M488" i="334"/>
  <c r="M501" i="334" s="1"/>
  <c r="L488" i="334"/>
  <c r="L501" i="334" s="1"/>
  <c r="H488" i="334"/>
  <c r="H501" i="334" s="1"/>
  <c r="O487" i="334"/>
  <c r="M487" i="334"/>
  <c r="M500" i="334" s="1"/>
  <c r="L487" i="334"/>
  <c r="H487" i="334"/>
  <c r="O486" i="334"/>
  <c r="O499" i="334" s="1"/>
  <c r="M486" i="334"/>
  <c r="L486" i="334"/>
  <c r="L499" i="334" s="1"/>
  <c r="H486" i="334"/>
  <c r="H499" i="334" s="1"/>
  <c r="N482" i="334"/>
  <c r="K482" i="334"/>
  <c r="J482" i="334"/>
  <c r="I482" i="334"/>
  <c r="G482" i="334"/>
  <c r="F482" i="334"/>
  <c r="E482" i="334"/>
  <c r="D482" i="334"/>
  <c r="C482" i="334"/>
  <c r="N481" i="334"/>
  <c r="K481" i="334"/>
  <c r="J481" i="334"/>
  <c r="I481" i="334"/>
  <c r="G481" i="334"/>
  <c r="F481" i="334"/>
  <c r="E481" i="334"/>
  <c r="D481" i="334"/>
  <c r="C481" i="334"/>
  <c r="N480" i="334"/>
  <c r="K480" i="334"/>
  <c r="J480" i="334"/>
  <c r="I480" i="334"/>
  <c r="H480" i="334"/>
  <c r="G480" i="334"/>
  <c r="F480" i="334"/>
  <c r="E480" i="334"/>
  <c r="D480" i="334"/>
  <c r="C480" i="334"/>
  <c r="L479" i="334"/>
  <c r="L530" i="334" s="1"/>
  <c r="H479" i="334"/>
  <c r="L478" i="334"/>
  <c r="H478" i="334"/>
  <c r="L477" i="334"/>
  <c r="H477" i="334"/>
  <c r="L476" i="334"/>
  <c r="L528" i="334" s="1"/>
  <c r="H476" i="334"/>
  <c r="L475" i="334"/>
  <c r="H475" i="334"/>
  <c r="M475" i="334" s="1"/>
  <c r="O475" i="334" s="1"/>
  <c r="L474" i="334"/>
  <c r="H474" i="334"/>
  <c r="L473" i="334"/>
  <c r="H473" i="334"/>
  <c r="M473" i="334" s="1"/>
  <c r="O473" i="334" s="1"/>
  <c r="L472" i="334"/>
  <c r="L482" i="334" s="1"/>
  <c r="H472" i="334"/>
  <c r="L470" i="334"/>
  <c r="L521" i="334" s="1"/>
  <c r="H470" i="334"/>
  <c r="L469" i="334"/>
  <c r="H469" i="334"/>
  <c r="L468" i="334"/>
  <c r="H468" i="334"/>
  <c r="M468" i="334" s="1"/>
  <c r="L467" i="334"/>
  <c r="L480" i="334" s="1"/>
  <c r="H467" i="334"/>
  <c r="L465" i="334"/>
  <c r="H465" i="334"/>
  <c r="M465" i="334" s="1"/>
  <c r="O465" i="334" s="1"/>
  <c r="L464" i="334"/>
  <c r="L481" i="334" s="1"/>
  <c r="H464" i="334"/>
  <c r="L463" i="334"/>
  <c r="H463" i="334"/>
  <c r="M463" i="334" s="1"/>
  <c r="N461" i="334"/>
  <c r="L461" i="334"/>
  <c r="K461" i="334"/>
  <c r="J461" i="334"/>
  <c r="I461" i="334"/>
  <c r="H461" i="334"/>
  <c r="G461" i="334"/>
  <c r="F461" i="334"/>
  <c r="E461" i="334"/>
  <c r="D461" i="334"/>
  <c r="C461" i="334"/>
  <c r="N460" i="334"/>
  <c r="K460" i="334"/>
  <c r="J460" i="334"/>
  <c r="I460" i="334"/>
  <c r="H460" i="334"/>
  <c r="G460" i="334"/>
  <c r="F460" i="334"/>
  <c r="E460" i="334"/>
  <c r="D460" i="334"/>
  <c r="C460" i="334"/>
  <c r="M459" i="334"/>
  <c r="O459" i="334" s="1"/>
  <c r="L459" i="334"/>
  <c r="H459" i="334"/>
  <c r="M458" i="334"/>
  <c r="O458" i="334" s="1"/>
  <c r="L458" i="334"/>
  <c r="H458" i="334"/>
  <c r="M457" i="334"/>
  <c r="O457" i="334" s="1"/>
  <c r="L457" i="334"/>
  <c r="H457" i="334"/>
  <c r="M456" i="334"/>
  <c r="O456" i="334" s="1"/>
  <c r="L456" i="334"/>
  <c r="H456" i="334"/>
  <c r="M454" i="334"/>
  <c r="L454" i="334"/>
  <c r="H454" i="334"/>
  <c r="M453" i="334"/>
  <c r="L453" i="334"/>
  <c r="L460" i="334" s="1"/>
  <c r="H453" i="334"/>
  <c r="N451" i="334"/>
  <c r="K451" i="334"/>
  <c r="J451" i="334"/>
  <c r="I451" i="334"/>
  <c r="G451" i="334"/>
  <c r="F451" i="334"/>
  <c r="E451" i="334"/>
  <c r="D451" i="334"/>
  <c r="C451" i="334"/>
  <c r="N450" i="334"/>
  <c r="K450" i="334"/>
  <c r="J450" i="334"/>
  <c r="I450" i="334"/>
  <c r="G450" i="334"/>
  <c r="G483" i="334" s="1"/>
  <c r="F450" i="334"/>
  <c r="E450" i="334"/>
  <c r="D450" i="334"/>
  <c r="C450" i="334"/>
  <c r="L449" i="334"/>
  <c r="H449" i="334"/>
  <c r="L448" i="334"/>
  <c r="H448" i="334"/>
  <c r="M448" i="334" s="1"/>
  <c r="O448" i="334" s="1"/>
  <c r="L447" i="334"/>
  <c r="H447" i="334"/>
  <c r="L446" i="334"/>
  <c r="L450" i="334" s="1"/>
  <c r="H446" i="334"/>
  <c r="L445" i="334"/>
  <c r="L523" i="334" s="1"/>
  <c r="H445" i="334"/>
  <c r="L443" i="334"/>
  <c r="L451" i="334" s="1"/>
  <c r="H443" i="334"/>
  <c r="L442" i="334"/>
  <c r="H442" i="334"/>
  <c r="N440" i="334"/>
  <c r="M440" i="334"/>
  <c r="L440" i="334"/>
  <c r="K440" i="334"/>
  <c r="J440" i="334"/>
  <c r="I440" i="334"/>
  <c r="H440" i="334"/>
  <c r="G440" i="334"/>
  <c r="F440" i="334"/>
  <c r="E440" i="334"/>
  <c r="D440" i="334"/>
  <c r="C440" i="334"/>
  <c r="N439" i="334"/>
  <c r="M439" i="334"/>
  <c r="K439" i="334"/>
  <c r="J439" i="334"/>
  <c r="I439" i="334"/>
  <c r="H439" i="334"/>
  <c r="G439" i="334"/>
  <c r="F439" i="334"/>
  <c r="E439" i="334"/>
  <c r="D439" i="334"/>
  <c r="C439" i="334"/>
  <c r="M438" i="334"/>
  <c r="O438" i="334" s="1"/>
  <c r="L438" i="334"/>
  <c r="H438" i="334"/>
  <c r="M437" i="334"/>
  <c r="O437" i="334" s="1"/>
  <c r="L437" i="334"/>
  <c r="H437" i="334"/>
  <c r="M436" i="334"/>
  <c r="O436" i="334" s="1"/>
  <c r="L436" i="334"/>
  <c r="H436" i="334"/>
  <c r="M435" i="334"/>
  <c r="O435" i="334" s="1"/>
  <c r="L435" i="334"/>
  <c r="H435" i="334"/>
  <c r="M434" i="334"/>
  <c r="O434" i="334" s="1"/>
  <c r="L434" i="334"/>
  <c r="H434" i="334"/>
  <c r="M432" i="334"/>
  <c r="O432" i="334" s="1"/>
  <c r="L432" i="334"/>
  <c r="H432" i="334"/>
  <c r="M431" i="334"/>
  <c r="O431" i="334" s="1"/>
  <c r="L431" i="334"/>
  <c r="L439" i="334" s="1"/>
  <c r="H431" i="334"/>
  <c r="N429" i="334"/>
  <c r="K429" i="334"/>
  <c r="J429" i="334"/>
  <c r="I429" i="334"/>
  <c r="G429" i="334"/>
  <c r="F429" i="334"/>
  <c r="E429" i="334"/>
  <c r="D429" i="334"/>
  <c r="C429" i="334"/>
  <c r="N428" i="334"/>
  <c r="K428" i="334"/>
  <c r="J428" i="334"/>
  <c r="I428" i="334"/>
  <c r="G428" i="334"/>
  <c r="F428" i="334"/>
  <c r="E428" i="334"/>
  <c r="D428" i="334"/>
  <c r="C428" i="334"/>
  <c r="L427" i="334"/>
  <c r="H427" i="334"/>
  <c r="L426" i="334"/>
  <c r="H426" i="334"/>
  <c r="M426" i="334" s="1"/>
  <c r="O426" i="334" s="1"/>
  <c r="L425" i="334"/>
  <c r="H425" i="334"/>
  <c r="L423" i="334"/>
  <c r="H423" i="334"/>
  <c r="L422" i="334"/>
  <c r="L428" i="334" s="1"/>
  <c r="H422" i="334"/>
  <c r="H428" i="334" s="1"/>
  <c r="N420" i="334"/>
  <c r="K420" i="334"/>
  <c r="J420" i="334"/>
  <c r="I420" i="334"/>
  <c r="G420" i="334"/>
  <c r="F420" i="334"/>
  <c r="E420" i="334"/>
  <c r="D420" i="334"/>
  <c r="C420" i="334"/>
  <c r="N419" i="334"/>
  <c r="K419" i="334"/>
  <c r="J419" i="334"/>
  <c r="I419" i="334"/>
  <c r="G419" i="334"/>
  <c r="F419" i="334"/>
  <c r="E419" i="334"/>
  <c r="D419" i="334"/>
  <c r="C419" i="334"/>
  <c r="N418" i="334"/>
  <c r="K418" i="334"/>
  <c r="J418" i="334"/>
  <c r="I418" i="334"/>
  <c r="G418" i="334"/>
  <c r="F418" i="334"/>
  <c r="E418" i="334"/>
  <c r="D418" i="334"/>
  <c r="C418" i="334"/>
  <c r="L417" i="334"/>
  <c r="H417" i="334"/>
  <c r="L416" i="334"/>
  <c r="H416" i="334"/>
  <c r="L415" i="334"/>
  <c r="H415" i="334"/>
  <c r="L414" i="334"/>
  <c r="H414" i="334"/>
  <c r="M414" i="334" s="1"/>
  <c r="O414" i="334" s="1"/>
  <c r="L413" i="334"/>
  <c r="H413" i="334"/>
  <c r="L412" i="334"/>
  <c r="L517" i="334" s="1"/>
  <c r="H412" i="334"/>
  <c r="L411" i="334"/>
  <c r="L516" i="334" s="1"/>
  <c r="H411" i="334"/>
  <c r="L410" i="334"/>
  <c r="H410" i="334"/>
  <c r="M410" i="334" s="1"/>
  <c r="O410" i="334" s="1"/>
  <c r="L409" i="334"/>
  <c r="H409" i="334"/>
  <c r="L408" i="334"/>
  <c r="H408" i="334"/>
  <c r="L407" i="334"/>
  <c r="H407" i="334"/>
  <c r="M407" i="334" s="1"/>
  <c r="O407" i="334" s="1"/>
  <c r="L406" i="334"/>
  <c r="H406" i="334"/>
  <c r="M406" i="334" s="1"/>
  <c r="O406" i="334" s="1"/>
  <c r="L405" i="334"/>
  <c r="H405" i="334"/>
  <c r="L404" i="334"/>
  <c r="L419" i="334" s="1"/>
  <c r="H404" i="334"/>
  <c r="L403" i="334"/>
  <c r="H403" i="334"/>
  <c r="N401" i="334"/>
  <c r="K401" i="334"/>
  <c r="J401" i="334"/>
  <c r="I401" i="334"/>
  <c r="G401" i="334"/>
  <c r="F401" i="334"/>
  <c r="E401" i="334"/>
  <c r="D401" i="334"/>
  <c r="C401" i="334"/>
  <c r="N400" i="334"/>
  <c r="K400" i="334"/>
  <c r="J400" i="334"/>
  <c r="I400" i="334"/>
  <c r="H400" i="334"/>
  <c r="G400" i="334"/>
  <c r="F400" i="334"/>
  <c r="E400" i="334"/>
  <c r="D400" i="334"/>
  <c r="C400" i="334"/>
  <c r="N399" i="334"/>
  <c r="K399" i="334"/>
  <c r="K483" i="334" s="1"/>
  <c r="J399" i="334"/>
  <c r="I399" i="334"/>
  <c r="G399" i="334"/>
  <c r="F399" i="334"/>
  <c r="E399" i="334"/>
  <c r="D399" i="334"/>
  <c r="C399" i="334"/>
  <c r="L398" i="334"/>
  <c r="L533" i="334" s="1"/>
  <c r="H398" i="334"/>
  <c r="L397" i="334"/>
  <c r="H397" i="334"/>
  <c r="M397" i="334" s="1"/>
  <c r="O397" i="334" s="1"/>
  <c r="L396" i="334"/>
  <c r="H396" i="334"/>
  <c r="M396" i="334" s="1"/>
  <c r="O396" i="334" s="1"/>
  <c r="L394" i="334"/>
  <c r="H394" i="334"/>
  <c r="L393" i="334"/>
  <c r="H393" i="334"/>
  <c r="L392" i="334"/>
  <c r="L400" i="334" s="1"/>
  <c r="H392" i="334"/>
  <c r="L390" i="334"/>
  <c r="H390" i="334"/>
  <c r="M390" i="334" s="1"/>
  <c r="L389" i="334"/>
  <c r="H389" i="334"/>
  <c r="L388" i="334"/>
  <c r="L399" i="334" s="1"/>
  <c r="H388" i="334"/>
  <c r="N386" i="334"/>
  <c r="M386" i="334"/>
  <c r="K386" i="334"/>
  <c r="J386" i="334"/>
  <c r="I386" i="334"/>
  <c r="H386" i="334"/>
  <c r="G386" i="334"/>
  <c r="F386" i="334"/>
  <c r="E386" i="334"/>
  <c r="D386" i="334"/>
  <c r="C386" i="334"/>
  <c r="N385" i="334"/>
  <c r="M385" i="334"/>
  <c r="K385" i="334"/>
  <c r="J385" i="334"/>
  <c r="J483" i="334" s="1"/>
  <c r="I385" i="334"/>
  <c r="H385" i="334"/>
  <c r="G385" i="334"/>
  <c r="F385" i="334"/>
  <c r="E385" i="334"/>
  <c r="D385" i="334"/>
  <c r="C385" i="334"/>
  <c r="O384" i="334"/>
  <c r="M384" i="334"/>
  <c r="L384" i="334"/>
  <c r="H384" i="334"/>
  <c r="O383" i="334"/>
  <c r="M383" i="334"/>
  <c r="L383" i="334"/>
  <c r="H383" i="334"/>
  <c r="O382" i="334"/>
  <c r="M382" i="334"/>
  <c r="L382" i="334"/>
  <c r="H382" i="334"/>
  <c r="O380" i="334"/>
  <c r="O386" i="334" s="1"/>
  <c r="M380" i="334"/>
  <c r="L380" i="334"/>
  <c r="L386" i="334" s="1"/>
  <c r="H380" i="334"/>
  <c r="O379" i="334"/>
  <c r="O385" i="334" s="1"/>
  <c r="M379" i="334"/>
  <c r="L379" i="334"/>
  <c r="L385" i="334" s="1"/>
  <c r="H379" i="334"/>
  <c r="N377" i="334"/>
  <c r="K377" i="334"/>
  <c r="J377" i="334"/>
  <c r="I377" i="334"/>
  <c r="G377" i="334"/>
  <c r="F377" i="334"/>
  <c r="E377" i="334"/>
  <c r="D377" i="334"/>
  <c r="C377" i="334"/>
  <c r="N376" i="334"/>
  <c r="L376" i="334"/>
  <c r="K376" i="334"/>
  <c r="J376" i="334"/>
  <c r="I376" i="334"/>
  <c r="H376" i="334"/>
  <c r="G376" i="334"/>
  <c r="F376" i="334"/>
  <c r="E376" i="334"/>
  <c r="D376" i="334"/>
  <c r="C376" i="334"/>
  <c r="N375" i="334"/>
  <c r="M375" i="334"/>
  <c r="K375" i="334"/>
  <c r="J375" i="334"/>
  <c r="I375" i="334"/>
  <c r="H375" i="334"/>
  <c r="G375" i="334"/>
  <c r="F375" i="334"/>
  <c r="E375" i="334"/>
  <c r="D375" i="334"/>
  <c r="C375" i="334"/>
  <c r="O374" i="334"/>
  <c r="M374" i="334"/>
  <c r="L374" i="334"/>
  <c r="H374" i="334"/>
  <c r="O373" i="334"/>
  <c r="M373" i="334"/>
  <c r="L373" i="334"/>
  <c r="H373" i="334"/>
  <c r="O371" i="334"/>
  <c r="M371" i="334"/>
  <c r="L371" i="334"/>
  <c r="H371" i="334"/>
  <c r="O370" i="334"/>
  <c r="O511" i="334" s="1"/>
  <c r="M370" i="334"/>
  <c r="M511" i="334" s="1"/>
  <c r="L370" i="334"/>
  <c r="L511" i="334" s="1"/>
  <c r="H370" i="334"/>
  <c r="H511" i="334" s="1"/>
  <c r="O369" i="334"/>
  <c r="M369" i="334"/>
  <c r="L369" i="334"/>
  <c r="H369" i="334"/>
  <c r="O367" i="334"/>
  <c r="O377" i="334" s="1"/>
  <c r="M367" i="334"/>
  <c r="M377" i="334" s="1"/>
  <c r="L367" i="334"/>
  <c r="L377" i="334" s="1"/>
  <c r="H367" i="334"/>
  <c r="H377" i="334" s="1"/>
  <c r="O366" i="334"/>
  <c r="O376" i="334" s="1"/>
  <c r="M366" i="334"/>
  <c r="M376" i="334" s="1"/>
  <c r="L366" i="334"/>
  <c r="H366" i="334"/>
  <c r="O365" i="334"/>
  <c r="O375" i="334" s="1"/>
  <c r="M365" i="334"/>
  <c r="L365" i="334"/>
  <c r="L375" i="334" s="1"/>
  <c r="H365" i="334"/>
  <c r="J363" i="334"/>
  <c r="E363" i="334"/>
  <c r="N362" i="334"/>
  <c r="L362" i="334"/>
  <c r="K362" i="334"/>
  <c r="J362" i="334"/>
  <c r="I362" i="334"/>
  <c r="H362" i="334"/>
  <c r="G362" i="334"/>
  <c r="F362" i="334"/>
  <c r="E362" i="334"/>
  <c r="D362" i="334"/>
  <c r="C362" i="334"/>
  <c r="N361" i="334"/>
  <c r="L361" i="334"/>
  <c r="K361" i="334"/>
  <c r="J361" i="334"/>
  <c r="I361" i="334"/>
  <c r="G361" i="334"/>
  <c r="F361" i="334"/>
  <c r="E361" i="334"/>
  <c r="D361" i="334"/>
  <c r="C361" i="334"/>
  <c r="N360" i="334"/>
  <c r="K360" i="334"/>
  <c r="J360" i="334"/>
  <c r="I360" i="334"/>
  <c r="G360" i="334"/>
  <c r="F360" i="334"/>
  <c r="E360" i="334"/>
  <c r="D360" i="334"/>
  <c r="C360" i="334"/>
  <c r="L359" i="334"/>
  <c r="H359" i="334"/>
  <c r="M359" i="334" s="1"/>
  <c r="O359" i="334" s="1"/>
  <c r="L358" i="334"/>
  <c r="H358" i="334"/>
  <c r="M358" i="334" s="1"/>
  <c r="O358" i="334" s="1"/>
  <c r="L356" i="334"/>
  <c r="H356" i="334"/>
  <c r="M356" i="334" s="1"/>
  <c r="O356" i="334" s="1"/>
  <c r="L355" i="334"/>
  <c r="H355" i="334"/>
  <c r="M355" i="334" s="1"/>
  <c r="O355" i="334" s="1"/>
  <c r="L353" i="334"/>
  <c r="H353" i="334"/>
  <c r="M353" i="334" s="1"/>
  <c r="L352" i="334"/>
  <c r="H352" i="334"/>
  <c r="M352" i="334" s="1"/>
  <c r="O352" i="334" s="1"/>
  <c r="L351" i="334"/>
  <c r="L360" i="334" s="1"/>
  <c r="H351" i="334"/>
  <c r="N349" i="334"/>
  <c r="L349" i="334"/>
  <c r="K349" i="334"/>
  <c r="J349" i="334"/>
  <c r="I349" i="334"/>
  <c r="G349" i="334"/>
  <c r="F349" i="334"/>
  <c r="E349" i="334"/>
  <c r="D349" i="334"/>
  <c r="C349" i="334"/>
  <c r="N348" i="334"/>
  <c r="L348" i="334"/>
  <c r="K348" i="334"/>
  <c r="J348" i="334"/>
  <c r="I348" i="334"/>
  <c r="G348" i="334"/>
  <c r="F348" i="334"/>
  <c r="E348" i="334"/>
  <c r="D348" i="334"/>
  <c r="C348" i="334"/>
  <c r="N347" i="334"/>
  <c r="K347" i="334"/>
  <c r="J347" i="334"/>
  <c r="I347" i="334"/>
  <c r="I363" i="334" s="1"/>
  <c r="G347" i="334"/>
  <c r="F347" i="334"/>
  <c r="E347" i="334"/>
  <c r="D347" i="334"/>
  <c r="C347" i="334"/>
  <c r="L346" i="334"/>
  <c r="H346" i="334"/>
  <c r="L345" i="334"/>
  <c r="H345" i="334"/>
  <c r="M345" i="334" s="1"/>
  <c r="O345" i="334" s="1"/>
  <c r="L343" i="334"/>
  <c r="H343" i="334"/>
  <c r="M343" i="334" s="1"/>
  <c r="O343" i="334" s="1"/>
  <c r="L342" i="334"/>
  <c r="H342" i="334"/>
  <c r="M342" i="334" s="1"/>
  <c r="O342" i="334" s="1"/>
  <c r="L341" i="334"/>
  <c r="H341" i="334"/>
  <c r="M341" i="334" s="1"/>
  <c r="O341" i="334" s="1"/>
  <c r="L340" i="334"/>
  <c r="H340" i="334"/>
  <c r="M340" i="334" s="1"/>
  <c r="O340" i="334" s="1"/>
  <c r="L339" i="334"/>
  <c r="H339" i="334"/>
  <c r="M339" i="334" s="1"/>
  <c r="O339" i="334" s="1"/>
  <c r="L337" i="334"/>
  <c r="H337" i="334"/>
  <c r="M337" i="334" s="1"/>
  <c r="L336" i="334"/>
  <c r="H336" i="334"/>
  <c r="L335" i="334"/>
  <c r="L347" i="334" s="1"/>
  <c r="H335" i="334"/>
  <c r="N333" i="334"/>
  <c r="L333" i="334"/>
  <c r="K333" i="334"/>
  <c r="J333" i="334"/>
  <c r="I333" i="334"/>
  <c r="G333" i="334"/>
  <c r="F333" i="334"/>
  <c r="E333" i="334"/>
  <c r="D333" i="334"/>
  <c r="C333" i="334"/>
  <c r="N332" i="334"/>
  <c r="L332" i="334"/>
  <c r="K332" i="334"/>
  <c r="J332" i="334"/>
  <c r="I332" i="334"/>
  <c r="G332" i="334"/>
  <c r="F332" i="334"/>
  <c r="E332" i="334"/>
  <c r="D332" i="334"/>
  <c r="C332" i="334"/>
  <c r="N331" i="334"/>
  <c r="K331" i="334"/>
  <c r="K363" i="334" s="1"/>
  <c r="J331" i="334"/>
  <c r="I331" i="334"/>
  <c r="G331" i="334"/>
  <c r="G363" i="334" s="1"/>
  <c r="F331" i="334"/>
  <c r="F363" i="334" s="1"/>
  <c r="E331" i="334"/>
  <c r="D331" i="334"/>
  <c r="D363" i="334" s="1"/>
  <c r="C331" i="334"/>
  <c r="C363" i="334" s="1"/>
  <c r="L330" i="334"/>
  <c r="H330" i="334"/>
  <c r="M330" i="334" s="1"/>
  <c r="O330" i="334" s="1"/>
  <c r="L329" i="334"/>
  <c r="H329" i="334"/>
  <c r="M329" i="334" s="1"/>
  <c r="O329" i="334" s="1"/>
  <c r="L328" i="334"/>
  <c r="H328" i="334"/>
  <c r="M328" i="334" s="1"/>
  <c r="O328" i="334" s="1"/>
  <c r="L326" i="334"/>
  <c r="H326" i="334"/>
  <c r="M326" i="334" s="1"/>
  <c r="O326" i="334" s="1"/>
  <c r="L325" i="334"/>
  <c r="H325" i="334"/>
  <c r="M325" i="334" s="1"/>
  <c r="O325" i="334" s="1"/>
  <c r="L324" i="334"/>
  <c r="L508" i="334" s="1"/>
  <c r="H324" i="334"/>
  <c r="M324" i="334" s="1"/>
  <c r="L323" i="334"/>
  <c r="H323" i="334"/>
  <c r="M323" i="334" s="1"/>
  <c r="O323" i="334" s="1"/>
  <c r="L322" i="334"/>
  <c r="H322" i="334"/>
  <c r="M322" i="334" s="1"/>
  <c r="O322" i="334" s="1"/>
  <c r="L320" i="334"/>
  <c r="H320" i="334"/>
  <c r="M320" i="334" s="1"/>
  <c r="L319" i="334"/>
  <c r="H319" i="334"/>
  <c r="M319" i="334" s="1"/>
  <c r="O319" i="334" s="1"/>
  <c r="L318" i="334"/>
  <c r="L331" i="334" s="1"/>
  <c r="L363" i="334" s="1"/>
  <c r="H318" i="334"/>
  <c r="I315" i="334"/>
  <c r="N314" i="334"/>
  <c r="L314" i="334"/>
  <c r="K314" i="334"/>
  <c r="J314" i="334"/>
  <c r="I314" i="334"/>
  <c r="H314" i="334"/>
  <c r="G314" i="334"/>
  <c r="F314" i="334"/>
  <c r="E314" i="334"/>
  <c r="D314" i="334"/>
  <c r="C314" i="334"/>
  <c r="N313" i="334"/>
  <c r="K313" i="334"/>
  <c r="J313" i="334"/>
  <c r="I313" i="334"/>
  <c r="G313" i="334"/>
  <c r="F313" i="334"/>
  <c r="E313" i="334"/>
  <c r="D313" i="334"/>
  <c r="C313" i="334"/>
  <c r="N312" i="334"/>
  <c r="K312" i="334"/>
  <c r="J312" i="334"/>
  <c r="I312" i="334"/>
  <c r="H312" i="334"/>
  <c r="G312" i="334"/>
  <c r="F312" i="334"/>
  <c r="E312" i="334"/>
  <c r="D312" i="334"/>
  <c r="C312" i="334"/>
  <c r="L311" i="334"/>
  <c r="H311" i="334"/>
  <c r="M311" i="334" s="1"/>
  <c r="O311" i="334" s="1"/>
  <c r="L310" i="334"/>
  <c r="H310" i="334"/>
  <c r="M310" i="334" s="1"/>
  <c r="O310" i="334" s="1"/>
  <c r="M309" i="334"/>
  <c r="O309" i="334" s="1"/>
  <c r="L309" i="334"/>
  <c r="H309" i="334"/>
  <c r="M308" i="334"/>
  <c r="O308" i="334" s="1"/>
  <c r="L308" i="334"/>
  <c r="H308" i="334"/>
  <c r="L306" i="334"/>
  <c r="L312" i="334" s="1"/>
  <c r="H306" i="334"/>
  <c r="L305" i="334"/>
  <c r="H305" i="334"/>
  <c r="M305" i="334" s="1"/>
  <c r="O305" i="334" s="1"/>
  <c r="M303" i="334"/>
  <c r="L303" i="334"/>
  <c r="H303" i="334"/>
  <c r="L302" i="334"/>
  <c r="H302" i="334"/>
  <c r="L301" i="334"/>
  <c r="H301" i="334"/>
  <c r="M301" i="334" s="1"/>
  <c r="O301" i="334" s="1"/>
  <c r="N299" i="334"/>
  <c r="L299" i="334"/>
  <c r="K299" i="334"/>
  <c r="J299" i="334"/>
  <c r="I299" i="334"/>
  <c r="G299" i="334"/>
  <c r="F299" i="334"/>
  <c r="E299" i="334"/>
  <c r="D299" i="334"/>
  <c r="C299" i="334"/>
  <c r="N298" i="334"/>
  <c r="K298" i="334"/>
  <c r="J298" i="334"/>
  <c r="I298" i="334"/>
  <c r="G298" i="334"/>
  <c r="F298" i="334"/>
  <c r="E298" i="334"/>
  <c r="D298" i="334"/>
  <c r="C298" i="334"/>
  <c r="N297" i="334"/>
  <c r="K297" i="334"/>
  <c r="J297" i="334"/>
  <c r="I297" i="334"/>
  <c r="G297" i="334"/>
  <c r="F297" i="334"/>
  <c r="E297" i="334"/>
  <c r="D297" i="334"/>
  <c r="C297" i="334"/>
  <c r="L296" i="334"/>
  <c r="H296" i="334"/>
  <c r="M296" i="334" s="1"/>
  <c r="O296" i="334" s="1"/>
  <c r="L295" i="334"/>
  <c r="H295" i="334"/>
  <c r="M294" i="334"/>
  <c r="O294" i="334" s="1"/>
  <c r="L294" i="334"/>
  <c r="H294" i="334"/>
  <c r="M293" i="334"/>
  <c r="O293" i="334" s="1"/>
  <c r="L293" i="334"/>
  <c r="H293" i="334"/>
  <c r="L291" i="334"/>
  <c r="L297" i="334" s="1"/>
  <c r="H291" i="334"/>
  <c r="L290" i="334"/>
  <c r="H290" i="334"/>
  <c r="M290" i="334" s="1"/>
  <c r="O290" i="334" s="1"/>
  <c r="M288" i="334"/>
  <c r="L288" i="334"/>
  <c r="H288" i="334"/>
  <c r="L287" i="334"/>
  <c r="H287" i="334"/>
  <c r="L286" i="334"/>
  <c r="H286" i="334"/>
  <c r="M286" i="334" s="1"/>
  <c r="O286" i="334" s="1"/>
  <c r="N284" i="334"/>
  <c r="K284" i="334"/>
  <c r="J284" i="334"/>
  <c r="I284" i="334"/>
  <c r="H284" i="334"/>
  <c r="G284" i="334"/>
  <c r="F284" i="334"/>
  <c r="E284" i="334"/>
  <c r="D284" i="334"/>
  <c r="C284" i="334"/>
  <c r="N283" i="334"/>
  <c r="K283" i="334"/>
  <c r="J283" i="334"/>
  <c r="I283" i="334"/>
  <c r="G283" i="334"/>
  <c r="F283" i="334"/>
  <c r="E283" i="334"/>
  <c r="D283" i="334"/>
  <c r="C283" i="334"/>
  <c r="N282" i="334"/>
  <c r="K282" i="334"/>
  <c r="J282" i="334"/>
  <c r="I282" i="334"/>
  <c r="H282" i="334"/>
  <c r="G282" i="334"/>
  <c r="F282" i="334"/>
  <c r="E282" i="334"/>
  <c r="D282" i="334"/>
  <c r="C282" i="334"/>
  <c r="L281" i="334"/>
  <c r="H281" i="334"/>
  <c r="M281" i="334" s="1"/>
  <c r="O281" i="334" s="1"/>
  <c r="L280" i="334"/>
  <c r="H280" i="334"/>
  <c r="M280" i="334" s="1"/>
  <c r="O280" i="334" s="1"/>
  <c r="M279" i="334"/>
  <c r="O279" i="334" s="1"/>
  <c r="L279" i="334"/>
  <c r="H279" i="334"/>
  <c r="M278" i="334"/>
  <c r="O278" i="334" s="1"/>
  <c r="L278" i="334"/>
  <c r="H278" i="334"/>
  <c r="L277" i="334"/>
  <c r="L282" i="334" s="1"/>
  <c r="H277" i="334"/>
  <c r="L275" i="334"/>
  <c r="H275" i="334"/>
  <c r="M275" i="334" s="1"/>
  <c r="O275" i="334" s="1"/>
  <c r="M274" i="334"/>
  <c r="O274" i="334" s="1"/>
  <c r="L274" i="334"/>
  <c r="H274" i="334"/>
  <c r="L272" i="334"/>
  <c r="H272" i="334"/>
  <c r="L271" i="334"/>
  <c r="L283" i="334" s="1"/>
  <c r="H271" i="334"/>
  <c r="M270" i="334"/>
  <c r="L270" i="334"/>
  <c r="H270" i="334"/>
  <c r="N268" i="334"/>
  <c r="K268" i="334"/>
  <c r="J268" i="334"/>
  <c r="I268" i="334"/>
  <c r="G268" i="334"/>
  <c r="F268" i="334"/>
  <c r="E268" i="334"/>
  <c r="D268" i="334"/>
  <c r="C268" i="334"/>
  <c r="N267" i="334"/>
  <c r="K267" i="334"/>
  <c r="J267" i="334"/>
  <c r="I267" i="334"/>
  <c r="G267" i="334"/>
  <c r="F267" i="334"/>
  <c r="E267" i="334"/>
  <c r="D267" i="334"/>
  <c r="C267" i="334"/>
  <c r="N266" i="334"/>
  <c r="K266" i="334"/>
  <c r="J266" i="334"/>
  <c r="I266" i="334"/>
  <c r="H266" i="334"/>
  <c r="G266" i="334"/>
  <c r="F266" i="334"/>
  <c r="E266" i="334"/>
  <c r="D266" i="334"/>
  <c r="C266" i="334"/>
  <c r="M265" i="334"/>
  <c r="O265" i="334" s="1"/>
  <c r="L265" i="334"/>
  <c r="H265" i="334"/>
  <c r="M264" i="334"/>
  <c r="O264" i="334" s="1"/>
  <c r="L264" i="334"/>
  <c r="H264" i="334"/>
  <c r="L263" i="334"/>
  <c r="M263" i="334" s="1"/>
  <c r="O263" i="334" s="1"/>
  <c r="H263" i="334"/>
  <c r="L261" i="334"/>
  <c r="L515" i="334" s="1"/>
  <c r="H261" i="334"/>
  <c r="H515" i="334" s="1"/>
  <c r="M260" i="334"/>
  <c r="O260" i="334" s="1"/>
  <c r="L260" i="334"/>
  <c r="H260" i="334"/>
  <c r="L259" i="334"/>
  <c r="L266" i="334" s="1"/>
  <c r="H259" i="334"/>
  <c r="L257" i="334"/>
  <c r="H257" i="334"/>
  <c r="H268" i="334" s="1"/>
  <c r="L256" i="334"/>
  <c r="H256" i="334"/>
  <c r="H267" i="334" s="1"/>
  <c r="M255" i="334"/>
  <c r="L255" i="334"/>
  <c r="H255" i="334"/>
  <c r="N253" i="334"/>
  <c r="K253" i="334"/>
  <c r="J253" i="334"/>
  <c r="I253" i="334"/>
  <c r="G253" i="334"/>
  <c r="F253" i="334"/>
  <c r="E253" i="334"/>
  <c r="D253" i="334"/>
  <c r="C253" i="334"/>
  <c r="N252" i="334"/>
  <c r="K252" i="334"/>
  <c r="J252" i="334"/>
  <c r="I252" i="334"/>
  <c r="G252" i="334"/>
  <c r="F252" i="334"/>
  <c r="E252" i="334"/>
  <c r="D252" i="334"/>
  <c r="C252" i="334"/>
  <c r="N251" i="334"/>
  <c r="K251" i="334"/>
  <c r="J251" i="334"/>
  <c r="I251" i="334"/>
  <c r="H251" i="334"/>
  <c r="G251" i="334"/>
  <c r="F251" i="334"/>
  <c r="E251" i="334"/>
  <c r="D251" i="334"/>
  <c r="C251" i="334"/>
  <c r="M250" i="334"/>
  <c r="O250" i="334" s="1"/>
  <c r="L250" i="334"/>
  <c r="H250" i="334"/>
  <c r="M249" i="334"/>
  <c r="O249" i="334" s="1"/>
  <c r="L249" i="334"/>
  <c r="H249" i="334"/>
  <c r="L248" i="334"/>
  <c r="M248" i="334" s="1"/>
  <c r="O248" i="334" s="1"/>
  <c r="H248" i="334"/>
  <c r="L247" i="334"/>
  <c r="M247" i="334" s="1"/>
  <c r="O247" i="334" s="1"/>
  <c r="H247" i="334"/>
  <c r="M245" i="334"/>
  <c r="O245" i="334" s="1"/>
  <c r="L245" i="334"/>
  <c r="H245" i="334"/>
  <c r="L244" i="334"/>
  <c r="H244" i="334"/>
  <c r="L242" i="334"/>
  <c r="H242" i="334"/>
  <c r="H253" i="334" s="1"/>
  <c r="L241" i="334"/>
  <c r="H241" i="334"/>
  <c r="H252" i="334" s="1"/>
  <c r="M240" i="334"/>
  <c r="L240" i="334"/>
  <c r="H240" i="334"/>
  <c r="N238" i="334"/>
  <c r="K238" i="334"/>
  <c r="J238" i="334"/>
  <c r="I238" i="334"/>
  <c r="G238" i="334"/>
  <c r="F238" i="334"/>
  <c r="E238" i="334"/>
  <c r="D238" i="334"/>
  <c r="C238" i="334"/>
  <c r="N237" i="334"/>
  <c r="K237" i="334"/>
  <c r="J237" i="334"/>
  <c r="I237" i="334"/>
  <c r="G237" i="334"/>
  <c r="F237" i="334"/>
  <c r="E237" i="334"/>
  <c r="D237" i="334"/>
  <c r="C237" i="334"/>
  <c r="N236" i="334"/>
  <c r="K236" i="334"/>
  <c r="J236" i="334"/>
  <c r="I236" i="334"/>
  <c r="H236" i="334"/>
  <c r="G236" i="334"/>
  <c r="F236" i="334"/>
  <c r="E236" i="334"/>
  <c r="D236" i="334"/>
  <c r="C236" i="334"/>
  <c r="M235" i="334"/>
  <c r="O235" i="334" s="1"/>
  <c r="L235" i="334"/>
  <c r="H235" i="334"/>
  <c r="L234" i="334"/>
  <c r="M234" i="334" s="1"/>
  <c r="O234" i="334" s="1"/>
  <c r="H234" i="334"/>
  <c r="L233" i="334"/>
  <c r="M233" i="334" s="1"/>
  <c r="O233" i="334" s="1"/>
  <c r="H233" i="334"/>
  <c r="L232" i="334"/>
  <c r="M232" i="334" s="1"/>
  <c r="O232" i="334" s="1"/>
  <c r="H232" i="334"/>
  <c r="M230" i="334"/>
  <c r="O230" i="334" s="1"/>
  <c r="L230" i="334"/>
  <c r="H230" i="334"/>
  <c r="M229" i="334"/>
  <c r="O229" i="334" s="1"/>
  <c r="L229" i="334"/>
  <c r="H229" i="334"/>
  <c r="L228" i="334"/>
  <c r="M228" i="334" s="1"/>
  <c r="O228" i="334" s="1"/>
  <c r="H228" i="334"/>
  <c r="L226" i="334"/>
  <c r="H226" i="334"/>
  <c r="H238" i="334" s="1"/>
  <c r="M225" i="334"/>
  <c r="L225" i="334"/>
  <c r="H225" i="334"/>
  <c r="H237" i="334" s="1"/>
  <c r="L224" i="334"/>
  <c r="L236" i="334" s="1"/>
  <c r="H224" i="334"/>
  <c r="N222" i="334"/>
  <c r="K222" i="334"/>
  <c r="J222" i="334"/>
  <c r="I222" i="334"/>
  <c r="G222" i="334"/>
  <c r="F222" i="334"/>
  <c r="E222" i="334"/>
  <c r="D222" i="334"/>
  <c r="C222" i="334"/>
  <c r="N221" i="334"/>
  <c r="K221" i="334"/>
  <c r="J221" i="334"/>
  <c r="I221" i="334"/>
  <c r="G221" i="334"/>
  <c r="F221" i="334"/>
  <c r="E221" i="334"/>
  <c r="D221" i="334"/>
  <c r="C221" i="334"/>
  <c r="N220" i="334"/>
  <c r="K220" i="334"/>
  <c r="J220" i="334"/>
  <c r="I220" i="334"/>
  <c r="H220" i="334"/>
  <c r="G220" i="334"/>
  <c r="F220" i="334"/>
  <c r="E220" i="334"/>
  <c r="D220" i="334"/>
  <c r="C220" i="334"/>
  <c r="M219" i="334"/>
  <c r="O219" i="334" s="1"/>
  <c r="L219" i="334"/>
  <c r="H219" i="334"/>
  <c r="L218" i="334"/>
  <c r="M218" i="334" s="1"/>
  <c r="O218" i="334" s="1"/>
  <c r="H218" i="334"/>
  <c r="L216" i="334"/>
  <c r="M216" i="334" s="1"/>
  <c r="O216" i="334" s="1"/>
  <c r="H216" i="334"/>
  <c r="M215" i="334"/>
  <c r="O215" i="334" s="1"/>
  <c r="L215" i="334"/>
  <c r="H215" i="334"/>
  <c r="L213" i="334"/>
  <c r="L222" i="334" s="1"/>
  <c r="H213" i="334"/>
  <c r="H222" i="334" s="1"/>
  <c r="L212" i="334"/>
  <c r="H212" i="334"/>
  <c r="H221" i="334" s="1"/>
  <c r="L211" i="334"/>
  <c r="L220" i="334" s="1"/>
  <c r="H211" i="334"/>
  <c r="N209" i="334"/>
  <c r="K209" i="334"/>
  <c r="J209" i="334"/>
  <c r="I209" i="334"/>
  <c r="G209" i="334"/>
  <c r="F209" i="334"/>
  <c r="E209" i="334"/>
  <c r="D209" i="334"/>
  <c r="C209" i="334"/>
  <c r="N208" i="334"/>
  <c r="K208" i="334"/>
  <c r="J208" i="334"/>
  <c r="I208" i="334"/>
  <c r="G208" i="334"/>
  <c r="F208" i="334"/>
  <c r="E208" i="334"/>
  <c r="D208" i="334"/>
  <c r="C208" i="334"/>
  <c r="N207" i="334"/>
  <c r="K207" i="334"/>
  <c r="J207" i="334"/>
  <c r="I207" i="334"/>
  <c r="H207" i="334"/>
  <c r="G207" i="334"/>
  <c r="F207" i="334"/>
  <c r="E207" i="334"/>
  <c r="D207" i="334"/>
  <c r="C207" i="334"/>
  <c r="L206" i="334"/>
  <c r="M206" i="334" s="1"/>
  <c r="O206" i="334" s="1"/>
  <c r="H206" i="334"/>
  <c r="M205" i="334"/>
  <c r="O205" i="334" s="1"/>
  <c r="L205" i="334"/>
  <c r="H205" i="334"/>
  <c r="M204" i="334"/>
  <c r="O204" i="334" s="1"/>
  <c r="L204" i="334"/>
  <c r="H204" i="334"/>
  <c r="L203" i="334"/>
  <c r="M203" i="334" s="1"/>
  <c r="O203" i="334" s="1"/>
  <c r="H203" i="334"/>
  <c r="L201" i="334"/>
  <c r="M201" i="334" s="1"/>
  <c r="O201" i="334" s="1"/>
  <c r="H201" i="334"/>
  <c r="M200" i="334"/>
  <c r="O200" i="334" s="1"/>
  <c r="L200" i="334"/>
  <c r="H200" i="334"/>
  <c r="L199" i="334"/>
  <c r="L207" i="334" s="1"/>
  <c r="H199" i="334"/>
  <c r="L197" i="334"/>
  <c r="H197" i="334"/>
  <c r="H209" i="334" s="1"/>
  <c r="L196" i="334"/>
  <c r="H196" i="334"/>
  <c r="H208" i="334" s="1"/>
  <c r="M195" i="334"/>
  <c r="L195" i="334"/>
  <c r="H195" i="334"/>
  <c r="N193" i="334"/>
  <c r="K193" i="334"/>
  <c r="J193" i="334"/>
  <c r="I193" i="334"/>
  <c r="G193" i="334"/>
  <c r="F193" i="334"/>
  <c r="E193" i="334"/>
  <c r="D193" i="334"/>
  <c r="C193" i="334"/>
  <c r="N192" i="334"/>
  <c r="K192" i="334"/>
  <c r="J192" i="334"/>
  <c r="I192" i="334"/>
  <c r="G192" i="334"/>
  <c r="F192" i="334"/>
  <c r="E192" i="334"/>
  <c r="D192" i="334"/>
  <c r="C192" i="334"/>
  <c r="N191" i="334"/>
  <c r="K191" i="334"/>
  <c r="J191" i="334"/>
  <c r="I191" i="334"/>
  <c r="G191" i="334"/>
  <c r="F191" i="334"/>
  <c r="E191" i="334"/>
  <c r="D191" i="334"/>
  <c r="C191" i="334"/>
  <c r="M190" i="334"/>
  <c r="O190" i="334" s="1"/>
  <c r="L190" i="334"/>
  <c r="H190" i="334"/>
  <c r="M189" i="334"/>
  <c r="O189" i="334" s="1"/>
  <c r="L189" i="334"/>
  <c r="H189" i="334"/>
  <c r="L188" i="334"/>
  <c r="H188" i="334"/>
  <c r="M188" i="334" s="1"/>
  <c r="O188" i="334" s="1"/>
  <c r="L187" i="334"/>
  <c r="H187" i="334"/>
  <c r="M187" i="334" s="1"/>
  <c r="O187" i="334" s="1"/>
  <c r="M185" i="334"/>
  <c r="O185" i="334" s="1"/>
  <c r="L185" i="334"/>
  <c r="H185" i="334"/>
  <c r="L184" i="334"/>
  <c r="M184" i="334" s="1"/>
  <c r="O184" i="334" s="1"/>
  <c r="H184" i="334"/>
  <c r="L183" i="334"/>
  <c r="H183" i="334"/>
  <c r="L181" i="334"/>
  <c r="H181" i="334"/>
  <c r="M180" i="334"/>
  <c r="L180" i="334"/>
  <c r="H180" i="334"/>
  <c r="M179" i="334"/>
  <c r="L179" i="334"/>
  <c r="H179" i="334"/>
  <c r="N177" i="334"/>
  <c r="K177" i="334"/>
  <c r="J177" i="334"/>
  <c r="I177" i="334"/>
  <c r="G177" i="334"/>
  <c r="F177" i="334"/>
  <c r="E177" i="334"/>
  <c r="D177" i="334"/>
  <c r="C177" i="334"/>
  <c r="N176" i="334"/>
  <c r="K176" i="334"/>
  <c r="J176" i="334"/>
  <c r="I176" i="334"/>
  <c r="G176" i="334"/>
  <c r="F176" i="334"/>
  <c r="E176" i="334"/>
  <c r="D176" i="334"/>
  <c r="C176" i="334"/>
  <c r="N175" i="334"/>
  <c r="K175" i="334"/>
  <c r="J175" i="334"/>
  <c r="I175" i="334"/>
  <c r="H175" i="334"/>
  <c r="G175" i="334"/>
  <c r="F175" i="334"/>
  <c r="E175" i="334"/>
  <c r="D175" i="334"/>
  <c r="C175" i="334"/>
  <c r="M174" i="334"/>
  <c r="O174" i="334" s="1"/>
  <c r="L174" i="334"/>
  <c r="H174" i="334"/>
  <c r="L173" i="334"/>
  <c r="M173" i="334" s="1"/>
  <c r="O173" i="334" s="1"/>
  <c r="H173" i="334"/>
  <c r="L171" i="334"/>
  <c r="M171" i="334" s="1"/>
  <c r="O171" i="334" s="1"/>
  <c r="H171" i="334"/>
  <c r="M170" i="334"/>
  <c r="O170" i="334" s="1"/>
  <c r="L170" i="334"/>
  <c r="H170" i="334"/>
  <c r="M169" i="334"/>
  <c r="O169" i="334" s="1"/>
  <c r="L169" i="334"/>
  <c r="H169" i="334"/>
  <c r="L167" i="334"/>
  <c r="H167" i="334"/>
  <c r="H177" i="334" s="1"/>
  <c r="L166" i="334"/>
  <c r="L176" i="334" s="1"/>
  <c r="H166" i="334"/>
  <c r="H176" i="334" s="1"/>
  <c r="M165" i="334"/>
  <c r="O165" i="334" s="1"/>
  <c r="L165" i="334"/>
  <c r="L175" i="334" s="1"/>
  <c r="H165" i="334"/>
  <c r="N163" i="334"/>
  <c r="K163" i="334"/>
  <c r="J163" i="334"/>
  <c r="I163" i="334"/>
  <c r="G163" i="334"/>
  <c r="F163" i="334"/>
  <c r="E163" i="334"/>
  <c r="D163" i="334"/>
  <c r="C163" i="334"/>
  <c r="N162" i="334"/>
  <c r="K162" i="334"/>
  <c r="J162" i="334"/>
  <c r="I162" i="334"/>
  <c r="G162" i="334"/>
  <c r="F162" i="334"/>
  <c r="E162" i="334"/>
  <c r="D162" i="334"/>
  <c r="C162" i="334"/>
  <c r="N161" i="334"/>
  <c r="K161" i="334"/>
  <c r="J161" i="334"/>
  <c r="I161" i="334"/>
  <c r="H161" i="334"/>
  <c r="G161" i="334"/>
  <c r="F161" i="334"/>
  <c r="E161" i="334"/>
  <c r="D161" i="334"/>
  <c r="C161" i="334"/>
  <c r="M160" i="334"/>
  <c r="O160" i="334" s="1"/>
  <c r="L160" i="334"/>
  <c r="H160" i="334"/>
  <c r="M159" i="334"/>
  <c r="O159" i="334" s="1"/>
  <c r="L159" i="334"/>
  <c r="H159" i="334"/>
  <c r="L157" i="334"/>
  <c r="M157" i="334" s="1"/>
  <c r="O157" i="334" s="1"/>
  <c r="H157" i="334"/>
  <c r="L156" i="334"/>
  <c r="M156" i="334" s="1"/>
  <c r="O156" i="334" s="1"/>
  <c r="H156" i="334"/>
  <c r="M155" i="334"/>
  <c r="O155" i="334" s="1"/>
  <c r="L155" i="334"/>
  <c r="H155" i="334"/>
  <c r="M153" i="334"/>
  <c r="L153" i="334"/>
  <c r="L163" i="334" s="1"/>
  <c r="H153" i="334"/>
  <c r="H163" i="334" s="1"/>
  <c r="L152" i="334"/>
  <c r="H152" i="334"/>
  <c r="H162" i="334" s="1"/>
  <c r="L151" i="334"/>
  <c r="H151" i="334"/>
  <c r="N149" i="334"/>
  <c r="K149" i="334"/>
  <c r="J149" i="334"/>
  <c r="I149" i="334"/>
  <c r="G149" i="334"/>
  <c r="F149" i="334"/>
  <c r="E149" i="334"/>
  <c r="D149" i="334"/>
  <c r="C149" i="334"/>
  <c r="N148" i="334"/>
  <c r="K148" i="334"/>
  <c r="J148" i="334"/>
  <c r="I148" i="334"/>
  <c r="G148" i="334"/>
  <c r="F148" i="334"/>
  <c r="E148" i="334"/>
  <c r="D148" i="334"/>
  <c r="C148" i="334"/>
  <c r="N147" i="334"/>
  <c r="N315" i="334" s="1"/>
  <c r="K147" i="334"/>
  <c r="K315" i="334" s="1"/>
  <c r="J147" i="334"/>
  <c r="J315" i="334" s="1"/>
  <c r="I147" i="334"/>
  <c r="H147" i="334"/>
  <c r="G147" i="334"/>
  <c r="G315" i="334" s="1"/>
  <c r="F147" i="334"/>
  <c r="F315" i="334" s="1"/>
  <c r="E147" i="334"/>
  <c r="E315" i="334" s="1"/>
  <c r="D147" i="334"/>
  <c r="D315" i="334" s="1"/>
  <c r="C147" i="334"/>
  <c r="L146" i="334"/>
  <c r="M146" i="334" s="1"/>
  <c r="O146" i="334" s="1"/>
  <c r="H146" i="334"/>
  <c r="M145" i="334"/>
  <c r="O145" i="334" s="1"/>
  <c r="L145" i="334"/>
  <c r="H145" i="334"/>
  <c r="M144" i="334"/>
  <c r="O144" i="334" s="1"/>
  <c r="L144" i="334"/>
  <c r="H144" i="334"/>
  <c r="L143" i="334"/>
  <c r="M143" i="334" s="1"/>
  <c r="H143" i="334"/>
  <c r="L141" i="334"/>
  <c r="H141" i="334"/>
  <c r="M140" i="334"/>
  <c r="O140" i="334" s="1"/>
  <c r="L140" i="334"/>
  <c r="H140" i="334"/>
  <c r="M139" i="334"/>
  <c r="O139" i="334" s="1"/>
  <c r="L139" i="334"/>
  <c r="H139" i="334"/>
  <c r="M137" i="334"/>
  <c r="L137" i="334"/>
  <c r="H137" i="334"/>
  <c r="H149" i="334" s="1"/>
  <c r="L136" i="334"/>
  <c r="H136" i="334"/>
  <c r="H148" i="334" s="1"/>
  <c r="M135" i="334"/>
  <c r="O135" i="334" s="1"/>
  <c r="L135" i="334"/>
  <c r="H135" i="334"/>
  <c r="F133" i="334"/>
  <c r="N132" i="334"/>
  <c r="K132" i="334"/>
  <c r="J132" i="334"/>
  <c r="I132" i="334"/>
  <c r="G132" i="334"/>
  <c r="F132" i="334"/>
  <c r="E132" i="334"/>
  <c r="D132" i="334"/>
  <c r="C132" i="334"/>
  <c r="N131" i="334"/>
  <c r="L131" i="334"/>
  <c r="K131" i="334"/>
  <c r="J131" i="334"/>
  <c r="I131" i="334"/>
  <c r="H131" i="334"/>
  <c r="G131" i="334"/>
  <c r="F131" i="334"/>
  <c r="E131" i="334"/>
  <c r="D131" i="334"/>
  <c r="C131" i="334"/>
  <c r="N130" i="334"/>
  <c r="K130" i="334"/>
  <c r="J130" i="334"/>
  <c r="I130" i="334"/>
  <c r="G130" i="334"/>
  <c r="F130" i="334"/>
  <c r="E130" i="334"/>
  <c r="D130" i="334"/>
  <c r="C130" i="334"/>
  <c r="M129" i="334"/>
  <c r="O129" i="334" s="1"/>
  <c r="L129" i="334"/>
  <c r="H129" i="334"/>
  <c r="M128" i="334"/>
  <c r="O128" i="334" s="1"/>
  <c r="L128" i="334"/>
  <c r="H128" i="334"/>
  <c r="M127" i="334"/>
  <c r="O127" i="334" s="1"/>
  <c r="L127" i="334"/>
  <c r="H127" i="334"/>
  <c r="M125" i="334"/>
  <c r="O125" i="334" s="1"/>
  <c r="L125" i="334"/>
  <c r="H125" i="334"/>
  <c r="M124" i="334"/>
  <c r="O124" i="334" s="1"/>
  <c r="L124" i="334"/>
  <c r="H124" i="334"/>
  <c r="M123" i="334"/>
  <c r="O123" i="334" s="1"/>
  <c r="L123" i="334"/>
  <c r="H123" i="334"/>
  <c r="M121" i="334"/>
  <c r="L121" i="334"/>
  <c r="L132" i="334" s="1"/>
  <c r="H121" i="334"/>
  <c r="H132" i="334" s="1"/>
  <c r="M120" i="334"/>
  <c r="L120" i="334"/>
  <c r="H120" i="334"/>
  <c r="M119" i="334"/>
  <c r="L119" i="334"/>
  <c r="L130" i="334" s="1"/>
  <c r="H119" i="334"/>
  <c r="H130" i="334" s="1"/>
  <c r="N117" i="334"/>
  <c r="K117" i="334"/>
  <c r="J117" i="334"/>
  <c r="I117" i="334"/>
  <c r="G117" i="334"/>
  <c r="F117" i="334"/>
  <c r="E117" i="334"/>
  <c r="D117" i="334"/>
  <c r="C117" i="334"/>
  <c r="N116" i="334"/>
  <c r="L116" i="334"/>
  <c r="K116" i="334"/>
  <c r="J116" i="334"/>
  <c r="I116" i="334"/>
  <c r="H116" i="334"/>
  <c r="G116" i="334"/>
  <c r="F116" i="334"/>
  <c r="E116" i="334"/>
  <c r="D116" i="334"/>
  <c r="C116" i="334"/>
  <c r="N115" i="334"/>
  <c r="K115" i="334"/>
  <c r="J115" i="334"/>
  <c r="I115" i="334"/>
  <c r="G115" i="334"/>
  <c r="F115" i="334"/>
  <c r="E115" i="334"/>
  <c r="D115" i="334"/>
  <c r="C115" i="334"/>
  <c r="M114" i="334"/>
  <c r="O114" i="334" s="1"/>
  <c r="L114" i="334"/>
  <c r="H114" i="334"/>
  <c r="M113" i="334"/>
  <c r="O113" i="334" s="1"/>
  <c r="L113" i="334"/>
  <c r="H113" i="334"/>
  <c r="M112" i="334"/>
  <c r="O112" i="334" s="1"/>
  <c r="L112" i="334"/>
  <c r="H112" i="334"/>
  <c r="M110" i="334"/>
  <c r="O110" i="334" s="1"/>
  <c r="L110" i="334"/>
  <c r="H110" i="334"/>
  <c r="M109" i="334"/>
  <c r="O109" i="334" s="1"/>
  <c r="L109" i="334"/>
  <c r="H109" i="334"/>
  <c r="M108" i="334"/>
  <c r="O108" i="334" s="1"/>
  <c r="L108" i="334"/>
  <c r="H108" i="334"/>
  <c r="M106" i="334"/>
  <c r="L106" i="334"/>
  <c r="L117" i="334" s="1"/>
  <c r="H106" i="334"/>
  <c r="H117" i="334" s="1"/>
  <c r="M105" i="334"/>
  <c r="L105" i="334"/>
  <c r="H105" i="334"/>
  <c r="M104" i="334"/>
  <c r="L104" i="334"/>
  <c r="L115" i="334" s="1"/>
  <c r="H104" i="334"/>
  <c r="H115" i="334" s="1"/>
  <c r="N102" i="334"/>
  <c r="K102" i="334"/>
  <c r="J102" i="334"/>
  <c r="I102" i="334"/>
  <c r="G102" i="334"/>
  <c r="F102" i="334"/>
  <c r="E102" i="334"/>
  <c r="D102" i="334"/>
  <c r="C102" i="334"/>
  <c r="N101" i="334"/>
  <c r="L101" i="334"/>
  <c r="K101" i="334"/>
  <c r="J101" i="334"/>
  <c r="I101" i="334"/>
  <c r="H101" i="334"/>
  <c r="G101" i="334"/>
  <c r="F101" i="334"/>
  <c r="E101" i="334"/>
  <c r="D101" i="334"/>
  <c r="C101" i="334"/>
  <c r="N100" i="334"/>
  <c r="K100" i="334"/>
  <c r="J100" i="334"/>
  <c r="I100" i="334"/>
  <c r="G100" i="334"/>
  <c r="F100" i="334"/>
  <c r="E100" i="334"/>
  <c r="D100" i="334"/>
  <c r="C100" i="334"/>
  <c r="M99" i="334"/>
  <c r="O99" i="334" s="1"/>
  <c r="L99" i="334"/>
  <c r="H99" i="334"/>
  <c r="M98" i="334"/>
  <c r="O98" i="334" s="1"/>
  <c r="L98" i="334"/>
  <c r="H98" i="334"/>
  <c r="M97" i="334"/>
  <c r="O97" i="334" s="1"/>
  <c r="L97" i="334"/>
  <c r="H97" i="334"/>
  <c r="M96" i="334"/>
  <c r="O96" i="334" s="1"/>
  <c r="L96" i="334"/>
  <c r="H96" i="334"/>
  <c r="M94" i="334"/>
  <c r="O94" i="334" s="1"/>
  <c r="L94" i="334"/>
  <c r="H94" i="334"/>
  <c r="M93" i="334"/>
  <c r="O93" i="334" s="1"/>
  <c r="L93" i="334"/>
  <c r="H93" i="334"/>
  <c r="M92" i="334"/>
  <c r="O92" i="334" s="1"/>
  <c r="L92" i="334"/>
  <c r="H92" i="334"/>
  <c r="M90" i="334"/>
  <c r="L90" i="334"/>
  <c r="L102" i="334" s="1"/>
  <c r="H90" i="334"/>
  <c r="H102" i="334" s="1"/>
  <c r="M89" i="334"/>
  <c r="L89" i="334"/>
  <c r="H89" i="334"/>
  <c r="M88" i="334"/>
  <c r="L88" i="334"/>
  <c r="L100" i="334" s="1"/>
  <c r="H88" i="334"/>
  <c r="H100" i="334" s="1"/>
  <c r="N86" i="334"/>
  <c r="K86" i="334"/>
  <c r="J86" i="334"/>
  <c r="I86" i="334"/>
  <c r="G86" i="334"/>
  <c r="F86" i="334"/>
  <c r="E86" i="334"/>
  <c r="D86" i="334"/>
  <c r="C86" i="334"/>
  <c r="N85" i="334"/>
  <c r="L85" i="334"/>
  <c r="K85" i="334"/>
  <c r="J85" i="334"/>
  <c r="I85" i="334"/>
  <c r="H85" i="334"/>
  <c r="G85" i="334"/>
  <c r="F85" i="334"/>
  <c r="E85" i="334"/>
  <c r="D85" i="334"/>
  <c r="C85" i="334"/>
  <c r="N84" i="334"/>
  <c r="K84" i="334"/>
  <c r="J84" i="334"/>
  <c r="I84" i="334"/>
  <c r="G84" i="334"/>
  <c r="F84" i="334"/>
  <c r="E84" i="334"/>
  <c r="D84" i="334"/>
  <c r="C84" i="334"/>
  <c r="M83" i="334"/>
  <c r="O83" i="334" s="1"/>
  <c r="L83" i="334"/>
  <c r="H83" i="334"/>
  <c r="M82" i="334"/>
  <c r="O82" i="334" s="1"/>
  <c r="L82" i="334"/>
  <c r="H82" i="334"/>
  <c r="M81" i="334"/>
  <c r="O81" i="334" s="1"/>
  <c r="L81" i="334"/>
  <c r="H81" i="334"/>
  <c r="M80" i="334"/>
  <c r="O80" i="334" s="1"/>
  <c r="L80" i="334"/>
  <c r="H80" i="334"/>
  <c r="M78" i="334"/>
  <c r="O78" i="334" s="1"/>
  <c r="L78" i="334"/>
  <c r="H78" i="334"/>
  <c r="M77" i="334"/>
  <c r="O77" i="334" s="1"/>
  <c r="L77" i="334"/>
  <c r="H77" i="334"/>
  <c r="M76" i="334"/>
  <c r="O76" i="334" s="1"/>
  <c r="L76" i="334"/>
  <c r="H76" i="334"/>
  <c r="M75" i="334"/>
  <c r="O75" i="334" s="1"/>
  <c r="L75" i="334"/>
  <c r="H75" i="334"/>
  <c r="M74" i="334"/>
  <c r="O74" i="334" s="1"/>
  <c r="L74" i="334"/>
  <c r="H74" i="334"/>
  <c r="M72" i="334"/>
  <c r="L72" i="334"/>
  <c r="L86" i="334" s="1"/>
  <c r="H72" i="334"/>
  <c r="H86" i="334" s="1"/>
  <c r="M71" i="334"/>
  <c r="L71" i="334"/>
  <c r="H71" i="334"/>
  <c r="M70" i="334"/>
  <c r="L70" i="334"/>
  <c r="L84" i="334" s="1"/>
  <c r="H70" i="334"/>
  <c r="H84" i="334" s="1"/>
  <c r="N68" i="334"/>
  <c r="K68" i="334"/>
  <c r="J68" i="334"/>
  <c r="I68" i="334"/>
  <c r="G68" i="334"/>
  <c r="F68" i="334"/>
  <c r="E68" i="334"/>
  <c r="D68" i="334"/>
  <c r="C68" i="334"/>
  <c r="N67" i="334"/>
  <c r="L67" i="334"/>
  <c r="K67" i="334"/>
  <c r="J67" i="334"/>
  <c r="I67" i="334"/>
  <c r="H67" i="334"/>
  <c r="G67" i="334"/>
  <c r="F67" i="334"/>
  <c r="E67" i="334"/>
  <c r="D67" i="334"/>
  <c r="C67" i="334"/>
  <c r="N66" i="334"/>
  <c r="K66" i="334"/>
  <c r="J66" i="334"/>
  <c r="I66" i="334"/>
  <c r="G66" i="334"/>
  <c r="F66" i="334"/>
  <c r="E66" i="334"/>
  <c r="D66" i="334"/>
  <c r="C66" i="334"/>
  <c r="M65" i="334"/>
  <c r="O65" i="334" s="1"/>
  <c r="L65" i="334"/>
  <c r="H65" i="334"/>
  <c r="M64" i="334"/>
  <c r="O64" i="334" s="1"/>
  <c r="L64" i="334"/>
  <c r="H64" i="334"/>
  <c r="M63" i="334"/>
  <c r="O63" i="334" s="1"/>
  <c r="L63" i="334"/>
  <c r="H63" i="334"/>
  <c r="M61" i="334"/>
  <c r="O61" i="334" s="1"/>
  <c r="L61" i="334"/>
  <c r="H61" i="334"/>
  <c r="M60" i="334"/>
  <c r="L60" i="334"/>
  <c r="L510" i="334" s="1"/>
  <c r="H60" i="334"/>
  <c r="H510" i="334" s="1"/>
  <c r="M59" i="334"/>
  <c r="O59" i="334" s="1"/>
  <c r="L59" i="334"/>
  <c r="H59" i="334"/>
  <c r="M58" i="334"/>
  <c r="O58" i="334" s="1"/>
  <c r="L58" i="334"/>
  <c r="H58" i="334"/>
  <c r="M56" i="334"/>
  <c r="L56" i="334"/>
  <c r="L68" i="334" s="1"/>
  <c r="H56" i="334"/>
  <c r="H68" i="334" s="1"/>
  <c r="M55" i="334"/>
  <c r="L55" i="334"/>
  <c r="H55" i="334"/>
  <c r="M54" i="334"/>
  <c r="L54" i="334"/>
  <c r="L66" i="334" s="1"/>
  <c r="H54" i="334"/>
  <c r="H66" i="334" s="1"/>
  <c r="N52" i="334"/>
  <c r="K52" i="334"/>
  <c r="J52" i="334"/>
  <c r="I52" i="334"/>
  <c r="G52" i="334"/>
  <c r="F52" i="334"/>
  <c r="E52" i="334"/>
  <c r="D52" i="334"/>
  <c r="C52" i="334"/>
  <c r="N51" i="334"/>
  <c r="L51" i="334"/>
  <c r="K51" i="334"/>
  <c r="J51" i="334"/>
  <c r="I51" i="334"/>
  <c r="H51" i="334"/>
  <c r="G51" i="334"/>
  <c r="F51" i="334"/>
  <c r="E51" i="334"/>
  <c r="D51" i="334"/>
  <c r="C51" i="334"/>
  <c r="N50" i="334"/>
  <c r="N133" i="334" s="1"/>
  <c r="K50" i="334"/>
  <c r="K133" i="334" s="1"/>
  <c r="J50" i="334"/>
  <c r="I50" i="334"/>
  <c r="I133" i="334" s="1"/>
  <c r="G50" i="334"/>
  <c r="G133" i="334" s="1"/>
  <c r="F50" i="334"/>
  <c r="E50" i="334"/>
  <c r="D50" i="334"/>
  <c r="D133" i="334" s="1"/>
  <c r="C50" i="334"/>
  <c r="C133" i="334" s="1"/>
  <c r="M49" i="334"/>
  <c r="O49" i="334" s="1"/>
  <c r="L49" i="334"/>
  <c r="H49" i="334"/>
  <c r="M48" i="334"/>
  <c r="O48" i="334" s="1"/>
  <c r="L48" i="334"/>
  <c r="H48" i="334"/>
  <c r="M47" i="334"/>
  <c r="O47" i="334" s="1"/>
  <c r="L47" i="334"/>
  <c r="H47" i="334"/>
  <c r="M46" i="334"/>
  <c r="O46" i="334" s="1"/>
  <c r="L46" i="334"/>
  <c r="H46" i="334"/>
  <c r="M44" i="334"/>
  <c r="O44" i="334" s="1"/>
  <c r="L44" i="334"/>
  <c r="H44" i="334"/>
  <c r="M43" i="334"/>
  <c r="O43" i="334" s="1"/>
  <c r="L43" i="334"/>
  <c r="H43" i="334"/>
  <c r="M42" i="334"/>
  <c r="O42" i="334" s="1"/>
  <c r="L42" i="334"/>
  <c r="H42" i="334"/>
  <c r="M40" i="334"/>
  <c r="L40" i="334"/>
  <c r="L52" i="334" s="1"/>
  <c r="H40" i="334"/>
  <c r="H52" i="334" s="1"/>
  <c r="M39" i="334"/>
  <c r="L39" i="334"/>
  <c r="H39" i="334"/>
  <c r="M38" i="334"/>
  <c r="L38" i="334"/>
  <c r="L50" i="334" s="1"/>
  <c r="H38" i="334"/>
  <c r="H50" i="334" s="1"/>
  <c r="H133" i="334" s="1"/>
  <c r="K36" i="334"/>
  <c r="K316" i="334" s="1"/>
  <c r="K484" i="334" s="1"/>
  <c r="K503" i="334" s="1"/>
  <c r="F36" i="334"/>
  <c r="N35" i="334"/>
  <c r="L35" i="334"/>
  <c r="K35" i="334"/>
  <c r="J35" i="334"/>
  <c r="I35" i="334"/>
  <c r="H35" i="334"/>
  <c r="G35" i="334"/>
  <c r="F35" i="334"/>
  <c r="E35" i="334"/>
  <c r="D35" i="334"/>
  <c r="C35" i="334"/>
  <c r="N34" i="334"/>
  <c r="K34" i="334"/>
  <c r="J34" i="334"/>
  <c r="I34" i="334"/>
  <c r="G34" i="334"/>
  <c r="F34" i="334"/>
  <c r="E34" i="334"/>
  <c r="D34" i="334"/>
  <c r="C34" i="334"/>
  <c r="N33" i="334"/>
  <c r="K33" i="334"/>
  <c r="J33" i="334"/>
  <c r="I33" i="334"/>
  <c r="G33" i="334"/>
  <c r="G36" i="334" s="1"/>
  <c r="G316" i="334" s="1"/>
  <c r="G484" i="334" s="1"/>
  <c r="G503" i="334" s="1"/>
  <c r="F33" i="334"/>
  <c r="D33" i="334"/>
  <c r="C33" i="334"/>
  <c r="L32" i="334"/>
  <c r="H32" i="334"/>
  <c r="O31" i="334"/>
  <c r="L31" i="334"/>
  <c r="H31" i="334"/>
  <c r="M31" i="334" s="1"/>
  <c r="L30" i="334"/>
  <c r="H30" i="334"/>
  <c r="M30" i="334" s="1"/>
  <c r="O30" i="334" s="1"/>
  <c r="L28" i="334"/>
  <c r="H28" i="334"/>
  <c r="L27" i="334"/>
  <c r="L507" i="334" s="1"/>
  <c r="H27" i="334"/>
  <c r="O26" i="334"/>
  <c r="L26" i="334"/>
  <c r="H26" i="334"/>
  <c r="M26" i="334" s="1"/>
  <c r="L24" i="334"/>
  <c r="H24" i="334"/>
  <c r="M24" i="334" s="1"/>
  <c r="L23" i="334"/>
  <c r="L34" i="334" s="1"/>
  <c r="H23" i="334"/>
  <c r="L22" i="334"/>
  <c r="L33" i="334" s="1"/>
  <c r="E22" i="334"/>
  <c r="D22" i="334"/>
  <c r="C22" i="334"/>
  <c r="N20" i="334"/>
  <c r="K20" i="334"/>
  <c r="J20" i="334"/>
  <c r="I20" i="334"/>
  <c r="G20" i="334"/>
  <c r="F20" i="334"/>
  <c r="E20" i="334"/>
  <c r="D20" i="334"/>
  <c r="C20" i="334"/>
  <c r="N19" i="334"/>
  <c r="K19" i="334"/>
  <c r="K540" i="334" s="1"/>
  <c r="K547" i="334" s="1"/>
  <c r="J19" i="334"/>
  <c r="I19" i="334"/>
  <c r="G19" i="334"/>
  <c r="F19" i="334"/>
  <c r="E19" i="334"/>
  <c r="D19" i="334"/>
  <c r="C19" i="334"/>
  <c r="N18" i="334"/>
  <c r="N36" i="334" s="1"/>
  <c r="K18" i="334"/>
  <c r="J18" i="334"/>
  <c r="J36" i="334" s="1"/>
  <c r="I18" i="334"/>
  <c r="I36" i="334" s="1"/>
  <c r="G18" i="334"/>
  <c r="F18" i="334"/>
  <c r="E18" i="334"/>
  <c r="O17" i="334"/>
  <c r="M17" i="334"/>
  <c r="L17" i="334"/>
  <c r="H17" i="334"/>
  <c r="O16" i="334"/>
  <c r="M16" i="334"/>
  <c r="L16" i="334"/>
  <c r="H16" i="334"/>
  <c r="O15" i="334"/>
  <c r="M15" i="334"/>
  <c r="L15" i="334"/>
  <c r="M14" i="334"/>
  <c r="L14" i="334"/>
  <c r="L514" i="334" s="1"/>
  <c r="H14" i="334"/>
  <c r="H514" i="334" s="1"/>
  <c r="L13" i="334"/>
  <c r="H13" i="334"/>
  <c r="M12" i="334"/>
  <c r="L12" i="334"/>
  <c r="H12" i="334"/>
  <c r="M11" i="334"/>
  <c r="O11" i="334" s="1"/>
  <c r="L11" i="334"/>
  <c r="L10" i="334"/>
  <c r="L20" i="334" s="1"/>
  <c r="H10" i="334"/>
  <c r="L9" i="334"/>
  <c r="L19" i="334" s="1"/>
  <c r="H9" i="334"/>
  <c r="H19" i="334" s="1"/>
  <c r="L8" i="334"/>
  <c r="H8" i="334"/>
  <c r="E8" i="334"/>
  <c r="D8" i="334"/>
  <c r="D504" i="334" s="1"/>
  <c r="C8" i="334"/>
  <c r="N525" i="333"/>
  <c r="H521" i="333"/>
  <c r="E521" i="333"/>
  <c r="I513" i="333"/>
  <c r="H513" i="333"/>
  <c r="D513" i="333"/>
  <c r="N508" i="333"/>
  <c r="M508" i="333"/>
  <c r="I508" i="333"/>
  <c r="H508" i="333"/>
  <c r="G508" i="333"/>
  <c r="F508" i="333"/>
  <c r="E508" i="333"/>
  <c r="D508" i="333"/>
  <c r="C508" i="333"/>
  <c r="N507" i="333"/>
  <c r="M507" i="333"/>
  <c r="I507" i="333"/>
  <c r="H507" i="333"/>
  <c r="G507" i="333"/>
  <c r="F507" i="333"/>
  <c r="E507" i="333"/>
  <c r="D507" i="333"/>
  <c r="C507" i="333"/>
  <c r="N506" i="333"/>
  <c r="M506" i="333"/>
  <c r="I506" i="333"/>
  <c r="H506" i="333"/>
  <c r="G506" i="333"/>
  <c r="F506" i="333"/>
  <c r="E506" i="333"/>
  <c r="D506" i="333"/>
  <c r="C506" i="333"/>
  <c r="N505" i="333"/>
  <c r="M505" i="333"/>
  <c r="J505" i="333"/>
  <c r="I505" i="333"/>
  <c r="H505" i="333"/>
  <c r="G505" i="333"/>
  <c r="F505" i="333"/>
  <c r="E505" i="333"/>
  <c r="D505" i="333"/>
  <c r="C505" i="333"/>
  <c r="N504" i="333"/>
  <c r="M504" i="333"/>
  <c r="K504" i="333"/>
  <c r="J504" i="333"/>
  <c r="I504" i="333"/>
  <c r="H504" i="333"/>
  <c r="G504" i="333"/>
  <c r="F504" i="333"/>
  <c r="E504" i="333"/>
  <c r="D504" i="333"/>
  <c r="C504" i="333"/>
  <c r="N503" i="333"/>
  <c r="M503" i="333"/>
  <c r="I503" i="333"/>
  <c r="H503" i="333"/>
  <c r="G503" i="333"/>
  <c r="F503" i="333"/>
  <c r="E503" i="333"/>
  <c r="D503" i="333"/>
  <c r="C503" i="333"/>
  <c r="N502" i="333"/>
  <c r="M502" i="333"/>
  <c r="I502" i="333"/>
  <c r="H502" i="333"/>
  <c r="G502" i="333"/>
  <c r="F502" i="333"/>
  <c r="E502" i="333"/>
  <c r="D502" i="333"/>
  <c r="C502" i="333"/>
  <c r="N501" i="333"/>
  <c r="M501" i="333"/>
  <c r="I501" i="333"/>
  <c r="H501" i="333"/>
  <c r="G501" i="333"/>
  <c r="F501" i="333"/>
  <c r="E501" i="333"/>
  <c r="D501" i="333"/>
  <c r="C501" i="333"/>
  <c r="N500" i="333"/>
  <c r="M500" i="333"/>
  <c r="I500" i="333"/>
  <c r="H500" i="333"/>
  <c r="G500" i="333"/>
  <c r="F500" i="333"/>
  <c r="E500" i="333"/>
  <c r="D500" i="333"/>
  <c r="C500" i="333"/>
  <c r="N499" i="333"/>
  <c r="M499" i="333"/>
  <c r="I499" i="333"/>
  <c r="H499" i="333"/>
  <c r="G499" i="333"/>
  <c r="F499" i="333"/>
  <c r="E499" i="333"/>
  <c r="D499" i="333"/>
  <c r="C499" i="333"/>
  <c r="N498" i="333"/>
  <c r="M498" i="333"/>
  <c r="I498" i="333"/>
  <c r="I526" i="333" s="1"/>
  <c r="I529" i="333" s="1"/>
  <c r="H498" i="333"/>
  <c r="G498" i="333"/>
  <c r="F498" i="333"/>
  <c r="E498" i="333"/>
  <c r="D498" i="333"/>
  <c r="C498" i="333"/>
  <c r="N497" i="333"/>
  <c r="M497" i="333"/>
  <c r="M526" i="333" s="1"/>
  <c r="J497" i="333"/>
  <c r="I497" i="333"/>
  <c r="H497" i="333"/>
  <c r="G497" i="333"/>
  <c r="F497" i="333"/>
  <c r="E497" i="333"/>
  <c r="D497" i="333"/>
  <c r="C497" i="333"/>
  <c r="N495" i="333"/>
  <c r="M495" i="333"/>
  <c r="K495" i="333"/>
  <c r="J495" i="333"/>
  <c r="I495" i="333"/>
  <c r="H495" i="333"/>
  <c r="G495" i="333"/>
  <c r="F495" i="333"/>
  <c r="E495" i="333"/>
  <c r="D495" i="333"/>
  <c r="C495" i="333"/>
  <c r="N494" i="333"/>
  <c r="M494" i="333"/>
  <c r="K494" i="333"/>
  <c r="I494" i="333"/>
  <c r="H494" i="333"/>
  <c r="G494" i="333"/>
  <c r="F494" i="333"/>
  <c r="E494" i="333"/>
  <c r="D494" i="333"/>
  <c r="C494" i="333"/>
  <c r="N493" i="333"/>
  <c r="M493" i="333"/>
  <c r="I493" i="333"/>
  <c r="H493" i="333"/>
  <c r="G493" i="333"/>
  <c r="F493" i="333"/>
  <c r="E493" i="333"/>
  <c r="D493" i="333"/>
  <c r="C493" i="333"/>
  <c r="N492" i="333"/>
  <c r="M492" i="333"/>
  <c r="J492" i="333"/>
  <c r="I492" i="333"/>
  <c r="H492" i="333"/>
  <c r="G492" i="333"/>
  <c r="F492" i="333"/>
  <c r="E492" i="333"/>
  <c r="D492" i="333"/>
  <c r="C492" i="333"/>
  <c r="N491" i="333"/>
  <c r="M491" i="333"/>
  <c r="J491" i="333"/>
  <c r="I491" i="333"/>
  <c r="H491" i="333"/>
  <c r="G491" i="333"/>
  <c r="F491" i="333"/>
  <c r="E491" i="333"/>
  <c r="D491" i="333"/>
  <c r="C491" i="333"/>
  <c r="N490" i="333"/>
  <c r="M490" i="333"/>
  <c r="I490" i="333"/>
  <c r="H490" i="333"/>
  <c r="G490" i="333"/>
  <c r="F490" i="333"/>
  <c r="E490" i="333"/>
  <c r="D490" i="333"/>
  <c r="C490" i="333"/>
  <c r="N489" i="333"/>
  <c r="M489" i="333"/>
  <c r="I489" i="333"/>
  <c r="H489" i="333"/>
  <c r="G489" i="333"/>
  <c r="F489" i="333"/>
  <c r="E489" i="333"/>
  <c r="D489" i="333"/>
  <c r="C489" i="333"/>
  <c r="N488" i="333"/>
  <c r="M488" i="333"/>
  <c r="J488" i="333"/>
  <c r="I488" i="333"/>
  <c r="H488" i="333"/>
  <c r="G488" i="333"/>
  <c r="F488" i="333"/>
  <c r="E488" i="333"/>
  <c r="D488" i="333"/>
  <c r="C488" i="333"/>
  <c r="O487" i="333"/>
  <c r="N487" i="333"/>
  <c r="M487" i="333"/>
  <c r="K487" i="333"/>
  <c r="J487" i="333"/>
  <c r="I487" i="333"/>
  <c r="H487" i="333"/>
  <c r="G487" i="333"/>
  <c r="F487" i="333"/>
  <c r="E487" i="333"/>
  <c r="D487" i="333"/>
  <c r="C487" i="333"/>
  <c r="N486" i="333"/>
  <c r="M486" i="333"/>
  <c r="I486" i="333"/>
  <c r="H486" i="333"/>
  <c r="G486" i="333"/>
  <c r="F486" i="333"/>
  <c r="E486" i="333"/>
  <c r="D486" i="333"/>
  <c r="C486" i="333"/>
  <c r="N485" i="333"/>
  <c r="M485" i="333"/>
  <c r="I485" i="333"/>
  <c r="H485" i="333"/>
  <c r="G485" i="333"/>
  <c r="F485" i="333"/>
  <c r="E485" i="333"/>
  <c r="D485" i="333"/>
  <c r="C485" i="333"/>
  <c r="N484" i="333"/>
  <c r="M484" i="333"/>
  <c r="J484" i="333"/>
  <c r="I484" i="333"/>
  <c r="I525" i="333" s="1"/>
  <c r="H484" i="333"/>
  <c r="G484" i="333"/>
  <c r="F484" i="333"/>
  <c r="E484" i="333"/>
  <c r="D484" i="333"/>
  <c r="C484" i="333"/>
  <c r="N483" i="333"/>
  <c r="M483" i="333"/>
  <c r="M525" i="333" s="1"/>
  <c r="I483" i="333"/>
  <c r="H483" i="333"/>
  <c r="G483" i="333"/>
  <c r="F483" i="333"/>
  <c r="E483" i="333"/>
  <c r="D483" i="333"/>
  <c r="C483" i="333"/>
  <c r="N482" i="333"/>
  <c r="M482" i="333"/>
  <c r="I482" i="333"/>
  <c r="H482" i="333"/>
  <c r="G482" i="333"/>
  <c r="G525" i="333" s="1"/>
  <c r="F482" i="333"/>
  <c r="E482" i="333"/>
  <c r="D482" i="333"/>
  <c r="C482" i="333"/>
  <c r="C525" i="333" s="1"/>
  <c r="N480" i="333"/>
  <c r="M480" i="333"/>
  <c r="I480" i="333"/>
  <c r="I510" i="333" s="1"/>
  <c r="H480" i="333"/>
  <c r="G480" i="333"/>
  <c r="F480" i="333"/>
  <c r="E480" i="333"/>
  <c r="E510" i="333" s="1"/>
  <c r="D480" i="333"/>
  <c r="C480" i="333"/>
  <c r="N478" i="333"/>
  <c r="N513" i="333" s="1"/>
  <c r="M478" i="333"/>
  <c r="M513" i="333" s="1"/>
  <c r="M521" i="333" s="1"/>
  <c r="K478" i="333"/>
  <c r="K513" i="333" s="1"/>
  <c r="I478" i="333"/>
  <c r="H478" i="333"/>
  <c r="G478" i="333"/>
  <c r="G513" i="333" s="1"/>
  <c r="G521" i="333" s="1"/>
  <c r="F478" i="333"/>
  <c r="F513" i="333" s="1"/>
  <c r="F521" i="333" s="1"/>
  <c r="E478" i="333"/>
  <c r="E513" i="333" s="1"/>
  <c r="D478" i="333"/>
  <c r="C478" i="333"/>
  <c r="C513" i="333" s="1"/>
  <c r="C521" i="333" s="1"/>
  <c r="N477" i="333"/>
  <c r="M477" i="333"/>
  <c r="K477" i="333"/>
  <c r="I477" i="333"/>
  <c r="H477" i="333"/>
  <c r="G477" i="333"/>
  <c r="F477" i="333"/>
  <c r="E477" i="333"/>
  <c r="D477" i="333"/>
  <c r="C477" i="333"/>
  <c r="N476" i="333"/>
  <c r="M476" i="333"/>
  <c r="K476" i="333"/>
  <c r="I476" i="333"/>
  <c r="H476" i="333"/>
  <c r="G476" i="333"/>
  <c r="F476" i="333"/>
  <c r="E476" i="333"/>
  <c r="D476" i="333"/>
  <c r="C476" i="333"/>
  <c r="N475" i="333"/>
  <c r="M475" i="333"/>
  <c r="K475" i="333"/>
  <c r="I475" i="333"/>
  <c r="H475" i="333"/>
  <c r="G475" i="333"/>
  <c r="F475" i="333"/>
  <c r="E475" i="333"/>
  <c r="D475" i="333"/>
  <c r="C475" i="333"/>
  <c r="O474" i="333"/>
  <c r="K474" i="333"/>
  <c r="J474" i="333"/>
  <c r="L474" i="333" s="1"/>
  <c r="K472" i="333"/>
  <c r="J472" i="333"/>
  <c r="L472" i="333" s="1"/>
  <c r="O472" i="333" s="1"/>
  <c r="K470" i="333"/>
  <c r="J470" i="333"/>
  <c r="L470" i="333" s="1"/>
  <c r="O470" i="333" s="1"/>
  <c r="K469" i="333"/>
  <c r="J469" i="333"/>
  <c r="O468" i="333"/>
  <c r="K468" i="333"/>
  <c r="J468" i="333"/>
  <c r="L468" i="333" s="1"/>
  <c r="K466" i="333"/>
  <c r="J466" i="333"/>
  <c r="L466" i="333" s="1"/>
  <c r="K465" i="333"/>
  <c r="J465" i="333"/>
  <c r="K464" i="333"/>
  <c r="J464" i="333"/>
  <c r="O463" i="333"/>
  <c r="K463" i="333"/>
  <c r="J463" i="333"/>
  <c r="L463" i="333" s="1"/>
  <c r="H460" i="333"/>
  <c r="N459" i="333"/>
  <c r="M459" i="333"/>
  <c r="J459" i="333"/>
  <c r="I459" i="333"/>
  <c r="H459" i="333"/>
  <c r="G459" i="333"/>
  <c r="F459" i="333"/>
  <c r="E459" i="333"/>
  <c r="D459" i="333"/>
  <c r="C459" i="333"/>
  <c r="N458" i="333"/>
  <c r="M458" i="333"/>
  <c r="J458" i="333"/>
  <c r="I458" i="333"/>
  <c r="H458" i="333"/>
  <c r="G458" i="333"/>
  <c r="F458" i="333"/>
  <c r="E458" i="333"/>
  <c r="D458" i="333"/>
  <c r="C458" i="333"/>
  <c r="N457" i="333"/>
  <c r="M457" i="333"/>
  <c r="I457" i="333"/>
  <c r="H457" i="333"/>
  <c r="G457" i="333"/>
  <c r="F457" i="333"/>
  <c r="E457" i="333"/>
  <c r="D457" i="333"/>
  <c r="C457" i="333"/>
  <c r="L456" i="333"/>
  <c r="K456" i="333"/>
  <c r="J456" i="333"/>
  <c r="K455" i="333"/>
  <c r="L455" i="333" s="1"/>
  <c r="O455" i="333" s="1"/>
  <c r="J455" i="333"/>
  <c r="K454" i="333"/>
  <c r="L454" i="333" s="1"/>
  <c r="J454" i="333"/>
  <c r="J503" i="333" s="1"/>
  <c r="K453" i="333"/>
  <c r="K502" i="333" s="1"/>
  <c r="J453" i="333"/>
  <c r="J502" i="333" s="1"/>
  <c r="L452" i="333"/>
  <c r="O452" i="333" s="1"/>
  <c r="K452" i="333"/>
  <c r="J452" i="333"/>
  <c r="K451" i="333"/>
  <c r="L451" i="333" s="1"/>
  <c r="O451" i="333" s="1"/>
  <c r="J451" i="333"/>
  <c r="K450" i="333"/>
  <c r="L450" i="333" s="1"/>
  <c r="O450" i="333" s="1"/>
  <c r="J450" i="333"/>
  <c r="K449" i="333"/>
  <c r="L449" i="333" s="1"/>
  <c r="O449" i="333" s="1"/>
  <c r="J449" i="333"/>
  <c r="L447" i="333"/>
  <c r="K447" i="333"/>
  <c r="J447" i="333"/>
  <c r="K446" i="333"/>
  <c r="L446" i="333" s="1"/>
  <c r="O446" i="333" s="1"/>
  <c r="J446" i="333"/>
  <c r="K445" i="333"/>
  <c r="K493" i="333" s="1"/>
  <c r="J445" i="333"/>
  <c r="J493" i="333" s="1"/>
  <c r="K444" i="333"/>
  <c r="L444" i="333" s="1"/>
  <c r="O444" i="333" s="1"/>
  <c r="J444" i="333"/>
  <c r="L442" i="333"/>
  <c r="K442" i="333"/>
  <c r="J442" i="333"/>
  <c r="K441" i="333"/>
  <c r="L441" i="333" s="1"/>
  <c r="J441" i="333"/>
  <c r="K440" i="333"/>
  <c r="J440" i="333"/>
  <c r="J457" i="333" s="1"/>
  <c r="N438" i="333"/>
  <c r="M438" i="333"/>
  <c r="I438" i="333"/>
  <c r="H438" i="333"/>
  <c r="G438" i="333"/>
  <c r="F438" i="333"/>
  <c r="E438" i="333"/>
  <c r="D438" i="333"/>
  <c r="C438" i="333"/>
  <c r="N437" i="333"/>
  <c r="M437" i="333"/>
  <c r="K437" i="333"/>
  <c r="I437" i="333"/>
  <c r="H437" i="333"/>
  <c r="G437" i="333"/>
  <c r="F437" i="333"/>
  <c r="E437" i="333"/>
  <c r="D437" i="333"/>
  <c r="C437" i="333"/>
  <c r="O436" i="333"/>
  <c r="K436" i="333"/>
  <c r="J436" i="333"/>
  <c r="L436" i="333" s="1"/>
  <c r="K435" i="333"/>
  <c r="J435" i="333"/>
  <c r="L435" i="333" s="1"/>
  <c r="O435" i="333" s="1"/>
  <c r="K434" i="333"/>
  <c r="J434" i="333"/>
  <c r="L434" i="333" s="1"/>
  <c r="O434" i="333" s="1"/>
  <c r="O432" i="333"/>
  <c r="K432" i="333"/>
  <c r="K438" i="333" s="1"/>
  <c r="J432" i="333"/>
  <c r="L432" i="333" s="1"/>
  <c r="O431" i="333"/>
  <c r="K431" i="333"/>
  <c r="J431" i="333"/>
  <c r="L431" i="333" s="1"/>
  <c r="N429" i="333"/>
  <c r="M429" i="333"/>
  <c r="I429" i="333"/>
  <c r="H429" i="333"/>
  <c r="G429" i="333"/>
  <c r="F429" i="333"/>
  <c r="E429" i="333"/>
  <c r="D429" i="333"/>
  <c r="C429" i="333"/>
  <c r="N428" i="333"/>
  <c r="M428" i="333"/>
  <c r="I428" i="333"/>
  <c r="H428" i="333"/>
  <c r="G428" i="333"/>
  <c r="F428" i="333"/>
  <c r="E428" i="333"/>
  <c r="D428" i="333"/>
  <c r="C428" i="333"/>
  <c r="L427" i="333"/>
  <c r="K427" i="333"/>
  <c r="K507" i="333" s="1"/>
  <c r="J427" i="333"/>
  <c r="J507" i="333" s="1"/>
  <c r="K426" i="333"/>
  <c r="J426" i="333"/>
  <c r="J508" i="333" s="1"/>
  <c r="K425" i="333"/>
  <c r="L425" i="333" s="1"/>
  <c r="O425" i="333" s="1"/>
  <c r="J425" i="333"/>
  <c r="K424" i="333"/>
  <c r="L424" i="333" s="1"/>
  <c r="O424" i="333" s="1"/>
  <c r="J424" i="333"/>
  <c r="L423" i="333"/>
  <c r="K423" i="333"/>
  <c r="K497" i="333" s="1"/>
  <c r="J423" i="333"/>
  <c r="K421" i="333"/>
  <c r="J421" i="333"/>
  <c r="J429" i="333" s="1"/>
  <c r="K420" i="333"/>
  <c r="J420" i="333"/>
  <c r="J428" i="333" s="1"/>
  <c r="N418" i="333"/>
  <c r="M418" i="333"/>
  <c r="I418" i="333"/>
  <c r="H418" i="333"/>
  <c r="G418" i="333"/>
  <c r="F418" i="333"/>
  <c r="E418" i="333"/>
  <c r="D418" i="333"/>
  <c r="C418" i="333"/>
  <c r="N417" i="333"/>
  <c r="M417" i="333"/>
  <c r="K417" i="333"/>
  <c r="I417" i="333"/>
  <c r="H417" i="333"/>
  <c r="G417" i="333"/>
  <c r="F417" i="333"/>
  <c r="E417" i="333"/>
  <c r="D417" i="333"/>
  <c r="C417" i="333"/>
  <c r="O416" i="333"/>
  <c r="K416" i="333"/>
  <c r="J416" i="333"/>
  <c r="L416" i="333" s="1"/>
  <c r="K415" i="333"/>
  <c r="J415" i="333"/>
  <c r="L415" i="333" s="1"/>
  <c r="O415" i="333" s="1"/>
  <c r="K414" i="333"/>
  <c r="J414" i="333"/>
  <c r="L414" i="333" s="1"/>
  <c r="O414" i="333" s="1"/>
  <c r="O413" i="333"/>
  <c r="K413" i="333"/>
  <c r="J413" i="333"/>
  <c r="L413" i="333" s="1"/>
  <c r="O411" i="333"/>
  <c r="K411" i="333"/>
  <c r="K418" i="333" s="1"/>
  <c r="J411" i="333"/>
  <c r="L411" i="333" s="1"/>
  <c r="K410" i="333"/>
  <c r="J410" i="333"/>
  <c r="N408" i="333"/>
  <c r="M408" i="333"/>
  <c r="I408" i="333"/>
  <c r="H408" i="333"/>
  <c r="G408" i="333"/>
  <c r="F408" i="333"/>
  <c r="E408" i="333"/>
  <c r="D408" i="333"/>
  <c r="C408" i="333"/>
  <c r="N407" i="333"/>
  <c r="M407" i="333"/>
  <c r="I407" i="333"/>
  <c r="H407" i="333"/>
  <c r="G407" i="333"/>
  <c r="F407" i="333"/>
  <c r="E407" i="333"/>
  <c r="D407" i="333"/>
  <c r="C407" i="333"/>
  <c r="K406" i="333"/>
  <c r="L406" i="333" s="1"/>
  <c r="O406" i="333" s="1"/>
  <c r="J406" i="333"/>
  <c r="K405" i="333"/>
  <c r="K498" i="333" s="1"/>
  <c r="J405" i="333"/>
  <c r="K403" i="333"/>
  <c r="J403" i="333"/>
  <c r="J408" i="333" s="1"/>
  <c r="L402" i="333"/>
  <c r="K402" i="333"/>
  <c r="J402" i="333"/>
  <c r="J407" i="333" s="1"/>
  <c r="N400" i="333"/>
  <c r="M400" i="333"/>
  <c r="J400" i="333"/>
  <c r="I400" i="333"/>
  <c r="H400" i="333"/>
  <c r="G400" i="333"/>
  <c r="F400" i="333"/>
  <c r="E400" i="333"/>
  <c r="D400" i="333"/>
  <c r="C400" i="333"/>
  <c r="N399" i="333"/>
  <c r="M399" i="333"/>
  <c r="J399" i="333"/>
  <c r="I399" i="333"/>
  <c r="H399" i="333"/>
  <c r="G399" i="333"/>
  <c r="F399" i="333"/>
  <c r="E399" i="333"/>
  <c r="D399" i="333"/>
  <c r="C399" i="333"/>
  <c r="N398" i="333"/>
  <c r="M398" i="333"/>
  <c r="I398" i="333"/>
  <c r="H398" i="333"/>
  <c r="G398" i="333"/>
  <c r="F398" i="333"/>
  <c r="E398" i="333"/>
  <c r="D398" i="333"/>
  <c r="C398" i="333"/>
  <c r="L397" i="333"/>
  <c r="O397" i="333" s="1"/>
  <c r="K397" i="333"/>
  <c r="J397" i="333"/>
  <c r="K396" i="333"/>
  <c r="J396" i="333"/>
  <c r="K395" i="333"/>
  <c r="L395" i="333" s="1"/>
  <c r="O395" i="333" s="1"/>
  <c r="J395" i="333"/>
  <c r="K394" i="333"/>
  <c r="L394" i="333" s="1"/>
  <c r="O394" i="333" s="1"/>
  <c r="J394" i="333"/>
  <c r="L392" i="333"/>
  <c r="K392" i="333"/>
  <c r="K492" i="333" s="1"/>
  <c r="J392" i="333"/>
  <c r="K391" i="333"/>
  <c r="J391" i="333"/>
  <c r="K390" i="333"/>
  <c r="L390" i="333" s="1"/>
  <c r="O390" i="333" s="1"/>
  <c r="J390" i="333"/>
  <c r="K389" i="333"/>
  <c r="L389" i="333" s="1"/>
  <c r="O389" i="333" s="1"/>
  <c r="J389" i="333"/>
  <c r="L388" i="333"/>
  <c r="O388" i="333" s="1"/>
  <c r="K388" i="333"/>
  <c r="J388" i="333"/>
  <c r="K386" i="333"/>
  <c r="J386" i="333"/>
  <c r="K385" i="333"/>
  <c r="L385" i="333" s="1"/>
  <c r="J385" i="333"/>
  <c r="K384" i="333"/>
  <c r="J384" i="333"/>
  <c r="J398" i="333" s="1"/>
  <c r="N382" i="333"/>
  <c r="M382" i="333"/>
  <c r="J382" i="333"/>
  <c r="I382" i="333"/>
  <c r="H382" i="333"/>
  <c r="G382" i="333"/>
  <c r="F382" i="333"/>
  <c r="E382" i="333"/>
  <c r="D382" i="333"/>
  <c r="C382" i="333"/>
  <c r="N381" i="333"/>
  <c r="M381" i="333"/>
  <c r="J381" i="333"/>
  <c r="I381" i="333"/>
  <c r="H381" i="333"/>
  <c r="G381" i="333"/>
  <c r="F381" i="333"/>
  <c r="E381" i="333"/>
  <c r="D381" i="333"/>
  <c r="C381" i="333"/>
  <c r="N380" i="333"/>
  <c r="M380" i="333"/>
  <c r="M460" i="333" s="1"/>
  <c r="I380" i="333"/>
  <c r="I460" i="333" s="1"/>
  <c r="H380" i="333"/>
  <c r="G380" i="333"/>
  <c r="F380" i="333"/>
  <c r="E380" i="333"/>
  <c r="E460" i="333" s="1"/>
  <c r="D380" i="333"/>
  <c r="D460" i="333" s="1"/>
  <c r="C380" i="333"/>
  <c r="K379" i="333"/>
  <c r="K506" i="333" s="1"/>
  <c r="J379" i="333"/>
  <c r="L378" i="333"/>
  <c r="O378" i="333" s="1"/>
  <c r="K378" i="333"/>
  <c r="J378" i="333"/>
  <c r="K377" i="333"/>
  <c r="L377" i="333" s="1"/>
  <c r="O377" i="333" s="1"/>
  <c r="J377" i="333"/>
  <c r="K375" i="333"/>
  <c r="L375" i="333" s="1"/>
  <c r="O375" i="333" s="1"/>
  <c r="J375" i="333"/>
  <c r="K374" i="333"/>
  <c r="K485" i="333" s="1"/>
  <c r="J374" i="333"/>
  <c r="J485" i="333" s="1"/>
  <c r="L373" i="333"/>
  <c r="O373" i="333" s="1"/>
  <c r="K373" i="333"/>
  <c r="J373" i="333"/>
  <c r="K371" i="333"/>
  <c r="J371" i="333"/>
  <c r="K370" i="333"/>
  <c r="K381" i="333" s="1"/>
  <c r="J370" i="333"/>
  <c r="K369" i="333"/>
  <c r="J369" i="333"/>
  <c r="J380" i="333" s="1"/>
  <c r="N367" i="333"/>
  <c r="M367" i="333"/>
  <c r="I367" i="333"/>
  <c r="H367" i="333"/>
  <c r="G367" i="333"/>
  <c r="F367" i="333"/>
  <c r="E367" i="333"/>
  <c r="D367" i="333"/>
  <c r="C367" i="333"/>
  <c r="N366" i="333"/>
  <c r="M366" i="333"/>
  <c r="K366" i="333"/>
  <c r="I366" i="333"/>
  <c r="H366" i="333"/>
  <c r="G366" i="333"/>
  <c r="F366" i="333"/>
  <c r="F460" i="333" s="1"/>
  <c r="E366" i="333"/>
  <c r="D366" i="333"/>
  <c r="C366" i="333"/>
  <c r="K365" i="333"/>
  <c r="J365" i="333"/>
  <c r="L365" i="333" s="1"/>
  <c r="O365" i="333" s="1"/>
  <c r="K364" i="333"/>
  <c r="J364" i="333"/>
  <c r="O362" i="333"/>
  <c r="K362" i="333"/>
  <c r="K367" i="333" s="1"/>
  <c r="J362" i="333"/>
  <c r="L362" i="333" s="1"/>
  <c r="O361" i="333"/>
  <c r="K361" i="333"/>
  <c r="J361" i="333"/>
  <c r="L361" i="333" s="1"/>
  <c r="N359" i="333"/>
  <c r="M359" i="333"/>
  <c r="K359" i="333"/>
  <c r="I359" i="333"/>
  <c r="H359" i="333"/>
  <c r="G359" i="333"/>
  <c r="F359" i="333"/>
  <c r="E359" i="333"/>
  <c r="D359" i="333"/>
  <c r="C359" i="333"/>
  <c r="N358" i="333"/>
  <c r="M358" i="333"/>
  <c r="K358" i="333"/>
  <c r="I358" i="333"/>
  <c r="H358" i="333"/>
  <c r="G358" i="333"/>
  <c r="F358" i="333"/>
  <c r="E358" i="333"/>
  <c r="D358" i="333"/>
  <c r="C358" i="333"/>
  <c r="N357" i="333"/>
  <c r="M357" i="333"/>
  <c r="K357" i="333"/>
  <c r="I357" i="333"/>
  <c r="H357" i="333"/>
  <c r="G357" i="333"/>
  <c r="F357" i="333"/>
  <c r="E357" i="333"/>
  <c r="D357" i="333"/>
  <c r="C357" i="333"/>
  <c r="K356" i="333"/>
  <c r="J356" i="333"/>
  <c r="L356" i="333" s="1"/>
  <c r="O356" i="333" s="1"/>
  <c r="O355" i="333"/>
  <c r="K355" i="333"/>
  <c r="J355" i="333"/>
  <c r="L355" i="333" s="1"/>
  <c r="O353" i="333"/>
  <c r="K353" i="333"/>
  <c r="J353" i="333"/>
  <c r="L353" i="333" s="1"/>
  <c r="L487" i="333" s="1"/>
  <c r="K352" i="333"/>
  <c r="J352" i="333"/>
  <c r="L352" i="333" s="1"/>
  <c r="O352" i="333" s="1"/>
  <c r="K350" i="333"/>
  <c r="J350" i="333"/>
  <c r="K349" i="333"/>
  <c r="J349" i="333"/>
  <c r="O348" i="333"/>
  <c r="O357" i="333" s="1"/>
  <c r="K348" i="333"/>
  <c r="J348" i="333"/>
  <c r="L348" i="333" s="1"/>
  <c r="C346" i="333"/>
  <c r="N345" i="333"/>
  <c r="M345" i="333"/>
  <c r="I345" i="333"/>
  <c r="H345" i="333"/>
  <c r="G345" i="333"/>
  <c r="F345" i="333"/>
  <c r="E345" i="333"/>
  <c r="D345" i="333"/>
  <c r="C345" i="333"/>
  <c r="N344" i="333"/>
  <c r="M344" i="333"/>
  <c r="I344" i="333"/>
  <c r="H344" i="333"/>
  <c r="G344" i="333"/>
  <c r="F344" i="333"/>
  <c r="E344" i="333"/>
  <c r="D344" i="333"/>
  <c r="C344" i="333"/>
  <c r="N343" i="333"/>
  <c r="M343" i="333"/>
  <c r="I343" i="333"/>
  <c r="H343" i="333"/>
  <c r="G343" i="333"/>
  <c r="F343" i="333"/>
  <c r="E343" i="333"/>
  <c r="D343" i="333"/>
  <c r="C343" i="333"/>
  <c r="K342" i="333"/>
  <c r="J342" i="333"/>
  <c r="L342" i="333" s="1"/>
  <c r="O342" i="333" s="1"/>
  <c r="K341" i="333"/>
  <c r="J341" i="333"/>
  <c r="K339" i="333"/>
  <c r="J339" i="333"/>
  <c r="L339" i="333" s="1"/>
  <c r="O339" i="333" s="1"/>
  <c r="K338" i="333"/>
  <c r="J338" i="333"/>
  <c r="K336" i="333"/>
  <c r="J336" i="333"/>
  <c r="K335" i="333"/>
  <c r="K344" i="333" s="1"/>
  <c r="J335" i="333"/>
  <c r="K334" i="333"/>
  <c r="K343" i="333" s="1"/>
  <c r="J334" i="333"/>
  <c r="N332" i="333"/>
  <c r="M332" i="333"/>
  <c r="I332" i="333"/>
  <c r="H332" i="333"/>
  <c r="G332" i="333"/>
  <c r="F332" i="333"/>
  <c r="E332" i="333"/>
  <c r="D332" i="333"/>
  <c r="C332" i="333"/>
  <c r="N331" i="333"/>
  <c r="M331" i="333"/>
  <c r="J331" i="333"/>
  <c r="I331" i="333"/>
  <c r="H331" i="333"/>
  <c r="G331" i="333"/>
  <c r="F331" i="333"/>
  <c r="E331" i="333"/>
  <c r="D331" i="333"/>
  <c r="C331" i="333"/>
  <c r="N330" i="333"/>
  <c r="M330" i="333"/>
  <c r="I330" i="333"/>
  <c r="H330" i="333"/>
  <c r="G330" i="333"/>
  <c r="F330" i="333"/>
  <c r="E330" i="333"/>
  <c r="D330" i="333"/>
  <c r="C330" i="333"/>
  <c r="K329" i="333"/>
  <c r="J329" i="333"/>
  <c r="L329" i="333" s="1"/>
  <c r="O329" i="333" s="1"/>
  <c r="K328" i="333"/>
  <c r="J328" i="333"/>
  <c r="L328" i="333" s="1"/>
  <c r="O328" i="333" s="1"/>
  <c r="K326" i="333"/>
  <c r="J326" i="333"/>
  <c r="L326" i="333" s="1"/>
  <c r="O326" i="333" s="1"/>
  <c r="K325" i="333"/>
  <c r="J325" i="333"/>
  <c r="L325" i="333" s="1"/>
  <c r="O325" i="333" s="1"/>
  <c r="K324" i="333"/>
  <c r="J324" i="333"/>
  <c r="L324" i="333" s="1"/>
  <c r="O324" i="333" s="1"/>
  <c r="K323" i="333"/>
  <c r="J323" i="333"/>
  <c r="L323" i="333" s="1"/>
  <c r="O323" i="333" s="1"/>
  <c r="K321" i="333"/>
  <c r="J321" i="333"/>
  <c r="K320" i="333"/>
  <c r="K331" i="333" s="1"/>
  <c r="J320" i="333"/>
  <c r="L320" i="333" s="1"/>
  <c r="K319" i="333"/>
  <c r="K330" i="333" s="1"/>
  <c r="J319" i="333"/>
  <c r="N317" i="333"/>
  <c r="M317" i="333"/>
  <c r="I317" i="333"/>
  <c r="H317" i="333"/>
  <c r="G317" i="333"/>
  <c r="F317" i="333"/>
  <c r="E317" i="333"/>
  <c r="D317" i="333"/>
  <c r="C317" i="333"/>
  <c r="N316" i="333"/>
  <c r="M316" i="333"/>
  <c r="I316" i="333"/>
  <c r="H316" i="333"/>
  <c r="G316" i="333"/>
  <c r="F316" i="333"/>
  <c r="E316" i="333"/>
  <c r="D316" i="333"/>
  <c r="C316" i="333"/>
  <c r="N315" i="333"/>
  <c r="N346" i="333" s="1"/>
  <c r="M315" i="333"/>
  <c r="M346" i="333" s="1"/>
  <c r="I315" i="333"/>
  <c r="I346" i="333" s="1"/>
  <c r="H315" i="333"/>
  <c r="H346" i="333" s="1"/>
  <c r="G315" i="333"/>
  <c r="F315" i="333"/>
  <c r="F346" i="333" s="1"/>
  <c r="E315" i="333"/>
  <c r="E346" i="333" s="1"/>
  <c r="D315" i="333"/>
  <c r="D346" i="333" s="1"/>
  <c r="C315" i="333"/>
  <c r="O314" i="333"/>
  <c r="K314" i="333"/>
  <c r="J314" i="333"/>
  <c r="L314" i="333" s="1"/>
  <c r="K313" i="333"/>
  <c r="J313" i="333"/>
  <c r="K312" i="333"/>
  <c r="J312" i="333"/>
  <c r="L312" i="333" s="1"/>
  <c r="O312" i="333" s="1"/>
  <c r="K310" i="333"/>
  <c r="J310" i="333"/>
  <c r="L310" i="333" s="1"/>
  <c r="O310" i="333" s="1"/>
  <c r="O309" i="333"/>
  <c r="O484" i="333" s="1"/>
  <c r="K309" i="333"/>
  <c r="K484" i="333" s="1"/>
  <c r="J309" i="333"/>
  <c r="L309" i="333" s="1"/>
  <c r="L484" i="333" s="1"/>
  <c r="K308" i="333"/>
  <c r="J308" i="333"/>
  <c r="K307" i="333"/>
  <c r="J307" i="333"/>
  <c r="K305" i="333"/>
  <c r="J305" i="333"/>
  <c r="O304" i="333"/>
  <c r="K304" i="333"/>
  <c r="J304" i="333"/>
  <c r="L304" i="333" s="1"/>
  <c r="K303" i="333"/>
  <c r="K315" i="333" s="1"/>
  <c r="K346" i="333" s="1"/>
  <c r="J303" i="333"/>
  <c r="N299" i="333"/>
  <c r="M299" i="333"/>
  <c r="J299" i="333"/>
  <c r="I299" i="333"/>
  <c r="H299" i="333"/>
  <c r="G299" i="333"/>
  <c r="F299" i="333"/>
  <c r="E299" i="333"/>
  <c r="D299" i="333"/>
  <c r="C299" i="333"/>
  <c r="N298" i="333"/>
  <c r="M298" i="333"/>
  <c r="J298" i="333"/>
  <c r="I298" i="333"/>
  <c r="H298" i="333"/>
  <c r="G298" i="333"/>
  <c r="F298" i="333"/>
  <c r="E298" i="333"/>
  <c r="D298" i="333"/>
  <c r="C298" i="333"/>
  <c r="N297" i="333"/>
  <c r="M297" i="333"/>
  <c r="J297" i="333"/>
  <c r="I297" i="333"/>
  <c r="H297" i="333"/>
  <c r="G297" i="333"/>
  <c r="F297" i="333"/>
  <c r="E297" i="333"/>
  <c r="D297" i="333"/>
  <c r="C297" i="333"/>
  <c r="K296" i="333"/>
  <c r="L296" i="333" s="1"/>
  <c r="O296" i="333" s="1"/>
  <c r="J296" i="333"/>
  <c r="K295" i="333"/>
  <c r="L295" i="333" s="1"/>
  <c r="O295" i="333" s="1"/>
  <c r="J295" i="333"/>
  <c r="K294" i="333"/>
  <c r="L294" i="333" s="1"/>
  <c r="O294" i="333" s="1"/>
  <c r="J294" i="333"/>
  <c r="K293" i="333"/>
  <c r="L293" i="333" s="1"/>
  <c r="O293" i="333" s="1"/>
  <c r="J293" i="333"/>
  <c r="K291" i="333"/>
  <c r="L291" i="333" s="1"/>
  <c r="O291" i="333" s="1"/>
  <c r="J291" i="333"/>
  <c r="K289" i="333"/>
  <c r="L289" i="333" s="1"/>
  <c r="J289" i="333"/>
  <c r="L288" i="333"/>
  <c r="O288" i="333" s="1"/>
  <c r="K288" i="333"/>
  <c r="J288" i="333"/>
  <c r="K287" i="333"/>
  <c r="K297" i="333" s="1"/>
  <c r="J287" i="333"/>
  <c r="N285" i="333"/>
  <c r="M285" i="333"/>
  <c r="J285" i="333"/>
  <c r="I285" i="333"/>
  <c r="H285" i="333"/>
  <c r="G285" i="333"/>
  <c r="F285" i="333"/>
  <c r="E285" i="333"/>
  <c r="D285" i="333"/>
  <c r="C285" i="333"/>
  <c r="N284" i="333"/>
  <c r="M284" i="333"/>
  <c r="K284" i="333"/>
  <c r="J284" i="333"/>
  <c r="I284" i="333"/>
  <c r="H284" i="333"/>
  <c r="G284" i="333"/>
  <c r="F284" i="333"/>
  <c r="E284" i="333"/>
  <c r="D284" i="333"/>
  <c r="C284" i="333"/>
  <c r="N283" i="333"/>
  <c r="M283" i="333"/>
  <c r="J283" i="333"/>
  <c r="I283" i="333"/>
  <c r="H283" i="333"/>
  <c r="G283" i="333"/>
  <c r="F283" i="333"/>
  <c r="E283" i="333"/>
  <c r="D283" i="333"/>
  <c r="C283" i="333"/>
  <c r="L282" i="333"/>
  <c r="O282" i="333" s="1"/>
  <c r="K282" i="333"/>
  <c r="J282" i="333"/>
  <c r="L281" i="333"/>
  <c r="O281" i="333" s="1"/>
  <c r="K281" i="333"/>
  <c r="J281" i="333"/>
  <c r="L280" i="333"/>
  <c r="O280" i="333" s="1"/>
  <c r="K280" i="333"/>
  <c r="J280" i="333"/>
  <c r="L279" i="333"/>
  <c r="O279" i="333" s="1"/>
  <c r="K279" i="333"/>
  <c r="J279" i="333"/>
  <c r="L277" i="333"/>
  <c r="O277" i="333" s="1"/>
  <c r="K277" i="333"/>
  <c r="J277" i="333"/>
  <c r="L276" i="333"/>
  <c r="O276" i="333" s="1"/>
  <c r="K276" i="333"/>
  <c r="J276" i="333"/>
  <c r="L274" i="333"/>
  <c r="L285" i="333" s="1"/>
  <c r="K274" i="333"/>
  <c r="K285" i="333" s="1"/>
  <c r="J274" i="333"/>
  <c r="L273" i="333"/>
  <c r="L284" i="333" s="1"/>
  <c r="K273" i="333"/>
  <c r="J273" i="333"/>
  <c r="L272" i="333"/>
  <c r="L283" i="333" s="1"/>
  <c r="K272" i="333"/>
  <c r="K283" i="333" s="1"/>
  <c r="J272" i="333"/>
  <c r="N270" i="333"/>
  <c r="M270" i="333"/>
  <c r="J270" i="333"/>
  <c r="I270" i="333"/>
  <c r="H270" i="333"/>
  <c r="G270" i="333"/>
  <c r="F270" i="333"/>
  <c r="E270" i="333"/>
  <c r="D270" i="333"/>
  <c r="C270" i="333"/>
  <c r="N269" i="333"/>
  <c r="M269" i="333"/>
  <c r="K269" i="333"/>
  <c r="J269" i="333"/>
  <c r="I269" i="333"/>
  <c r="H269" i="333"/>
  <c r="G269" i="333"/>
  <c r="F269" i="333"/>
  <c r="E269" i="333"/>
  <c r="D269" i="333"/>
  <c r="C269" i="333"/>
  <c r="N268" i="333"/>
  <c r="M268" i="333"/>
  <c r="J268" i="333"/>
  <c r="I268" i="333"/>
  <c r="H268" i="333"/>
  <c r="G268" i="333"/>
  <c r="F268" i="333"/>
  <c r="E268" i="333"/>
  <c r="D268" i="333"/>
  <c r="C268" i="333"/>
  <c r="K267" i="333"/>
  <c r="L267" i="333" s="1"/>
  <c r="O267" i="333" s="1"/>
  <c r="J267" i="333"/>
  <c r="O266" i="333"/>
  <c r="K266" i="333"/>
  <c r="L266" i="333" s="1"/>
  <c r="J266" i="333"/>
  <c r="K265" i="333"/>
  <c r="L265" i="333" s="1"/>
  <c r="O265" i="333" s="1"/>
  <c r="J265" i="333"/>
  <c r="K264" i="333"/>
  <c r="L264" i="333" s="1"/>
  <c r="O264" i="333" s="1"/>
  <c r="J264" i="333"/>
  <c r="K263" i="333"/>
  <c r="L263" i="333" s="1"/>
  <c r="O263" i="333" s="1"/>
  <c r="J263" i="333"/>
  <c r="O261" i="333"/>
  <c r="K261" i="333"/>
  <c r="L261" i="333" s="1"/>
  <c r="J261" i="333"/>
  <c r="K259" i="333"/>
  <c r="L259" i="333" s="1"/>
  <c r="L270" i="333" s="1"/>
  <c r="J259" i="333"/>
  <c r="K258" i="333"/>
  <c r="L258" i="333" s="1"/>
  <c r="L269" i="333" s="1"/>
  <c r="J258" i="333"/>
  <c r="K257" i="333"/>
  <c r="K268" i="333" s="1"/>
  <c r="J257" i="333"/>
  <c r="N255" i="333"/>
  <c r="M255" i="333"/>
  <c r="J255" i="333"/>
  <c r="I255" i="333"/>
  <c r="H255" i="333"/>
  <c r="G255" i="333"/>
  <c r="F255" i="333"/>
  <c r="E255" i="333"/>
  <c r="D255" i="333"/>
  <c r="C255" i="333"/>
  <c r="N254" i="333"/>
  <c r="M254" i="333"/>
  <c r="J254" i="333"/>
  <c r="I254" i="333"/>
  <c r="H254" i="333"/>
  <c r="G254" i="333"/>
  <c r="F254" i="333"/>
  <c r="E254" i="333"/>
  <c r="D254" i="333"/>
  <c r="C254" i="333"/>
  <c r="N253" i="333"/>
  <c r="M253" i="333"/>
  <c r="J253" i="333"/>
  <c r="I253" i="333"/>
  <c r="H253" i="333"/>
  <c r="G253" i="333"/>
  <c r="F253" i="333"/>
  <c r="E253" i="333"/>
  <c r="D253" i="333"/>
  <c r="C253" i="333"/>
  <c r="K252" i="333"/>
  <c r="L252" i="333" s="1"/>
  <c r="O252" i="333" s="1"/>
  <c r="J252" i="333"/>
  <c r="K251" i="333"/>
  <c r="L251" i="333" s="1"/>
  <c r="O251" i="333" s="1"/>
  <c r="J251" i="333"/>
  <c r="K250" i="333"/>
  <c r="L250" i="333" s="1"/>
  <c r="O250" i="333" s="1"/>
  <c r="J250" i="333"/>
  <c r="K248" i="333"/>
  <c r="L248" i="333" s="1"/>
  <c r="J248" i="333"/>
  <c r="J490" i="333" s="1"/>
  <c r="K247" i="333"/>
  <c r="L247" i="333" s="1"/>
  <c r="O247" i="333" s="1"/>
  <c r="J247" i="333"/>
  <c r="K245" i="333"/>
  <c r="L245" i="333" s="1"/>
  <c r="J245" i="333"/>
  <c r="K244" i="333"/>
  <c r="L244" i="333" s="1"/>
  <c r="O244" i="333" s="1"/>
  <c r="J244" i="333"/>
  <c r="K243" i="333"/>
  <c r="J243" i="333"/>
  <c r="N241" i="333"/>
  <c r="M241" i="333"/>
  <c r="J241" i="333"/>
  <c r="I241" i="333"/>
  <c r="H241" i="333"/>
  <c r="G241" i="333"/>
  <c r="F241" i="333"/>
  <c r="E241" i="333"/>
  <c r="D241" i="333"/>
  <c r="C241" i="333"/>
  <c r="N240" i="333"/>
  <c r="M240" i="333"/>
  <c r="J240" i="333"/>
  <c r="I240" i="333"/>
  <c r="H240" i="333"/>
  <c r="G240" i="333"/>
  <c r="F240" i="333"/>
  <c r="E240" i="333"/>
  <c r="D240" i="333"/>
  <c r="C240" i="333"/>
  <c r="N239" i="333"/>
  <c r="M239" i="333"/>
  <c r="J239" i="333"/>
  <c r="I239" i="333"/>
  <c r="H239" i="333"/>
  <c r="G239" i="333"/>
  <c r="F239" i="333"/>
  <c r="E239" i="333"/>
  <c r="D239" i="333"/>
  <c r="C239" i="333"/>
  <c r="K238" i="333"/>
  <c r="L238" i="333" s="1"/>
  <c r="O238" i="333" s="1"/>
  <c r="J238" i="333"/>
  <c r="K237" i="333"/>
  <c r="L237" i="333" s="1"/>
  <c r="O237" i="333" s="1"/>
  <c r="J237" i="333"/>
  <c r="K236" i="333"/>
  <c r="L236" i="333" s="1"/>
  <c r="O236" i="333" s="1"/>
  <c r="J236" i="333"/>
  <c r="K235" i="333"/>
  <c r="L235" i="333" s="1"/>
  <c r="O235" i="333" s="1"/>
  <c r="J235" i="333"/>
  <c r="K233" i="333"/>
  <c r="L233" i="333" s="1"/>
  <c r="O233" i="333" s="1"/>
  <c r="J233" i="333"/>
  <c r="K232" i="333"/>
  <c r="L232" i="333" s="1"/>
  <c r="O232" i="333" s="1"/>
  <c r="J232" i="333"/>
  <c r="K230" i="333"/>
  <c r="K241" i="333" s="1"/>
  <c r="J230" i="333"/>
  <c r="K229" i="333"/>
  <c r="K240" i="333" s="1"/>
  <c r="J229" i="333"/>
  <c r="K228" i="333"/>
  <c r="K239" i="333" s="1"/>
  <c r="J228" i="333"/>
  <c r="N226" i="333"/>
  <c r="M226" i="333"/>
  <c r="J226" i="333"/>
  <c r="I226" i="333"/>
  <c r="H226" i="333"/>
  <c r="G226" i="333"/>
  <c r="F226" i="333"/>
  <c r="E226" i="333"/>
  <c r="D226" i="333"/>
  <c r="C226" i="333"/>
  <c r="N225" i="333"/>
  <c r="M225" i="333"/>
  <c r="K225" i="333"/>
  <c r="J225" i="333"/>
  <c r="I225" i="333"/>
  <c r="H225" i="333"/>
  <c r="G225" i="333"/>
  <c r="F225" i="333"/>
  <c r="E225" i="333"/>
  <c r="D225" i="333"/>
  <c r="C225" i="333"/>
  <c r="N224" i="333"/>
  <c r="M224" i="333"/>
  <c r="L224" i="333"/>
  <c r="J224" i="333"/>
  <c r="I224" i="333"/>
  <c r="H224" i="333"/>
  <c r="G224" i="333"/>
  <c r="F224" i="333"/>
  <c r="E224" i="333"/>
  <c r="D224" i="333"/>
  <c r="C224" i="333"/>
  <c r="O223" i="333"/>
  <c r="L223" i="333"/>
  <c r="K223" i="333"/>
  <c r="J223" i="333"/>
  <c r="O222" i="333"/>
  <c r="L222" i="333"/>
  <c r="K222" i="333"/>
  <c r="J222" i="333"/>
  <c r="O221" i="333"/>
  <c r="L221" i="333"/>
  <c r="K221" i="333"/>
  <c r="J221" i="333"/>
  <c r="O220" i="333"/>
  <c r="L220" i="333"/>
  <c r="K220" i="333"/>
  <c r="J220" i="333"/>
  <c r="O218" i="333"/>
  <c r="L218" i="333"/>
  <c r="K218" i="333"/>
  <c r="J218" i="333"/>
  <c r="O217" i="333"/>
  <c r="L217" i="333"/>
  <c r="K217" i="333"/>
  <c r="J217" i="333"/>
  <c r="O216" i="333"/>
  <c r="L216" i="333"/>
  <c r="K216" i="333"/>
  <c r="J216" i="333"/>
  <c r="O214" i="333"/>
  <c r="O226" i="333" s="1"/>
  <c r="L214" i="333"/>
  <c r="L226" i="333" s="1"/>
  <c r="K214" i="333"/>
  <c r="K226" i="333" s="1"/>
  <c r="J214" i="333"/>
  <c r="O213" i="333"/>
  <c r="O225" i="333" s="1"/>
  <c r="P224" i="333" s="1"/>
  <c r="L213" i="333"/>
  <c r="L225" i="333" s="1"/>
  <c r="K213" i="333"/>
  <c r="J213" i="333"/>
  <c r="O212" i="333"/>
  <c r="O224" i="333" s="1"/>
  <c r="L212" i="333"/>
  <c r="K212" i="333"/>
  <c r="K224" i="333" s="1"/>
  <c r="J212" i="333"/>
  <c r="N210" i="333"/>
  <c r="M210" i="333"/>
  <c r="K210" i="333"/>
  <c r="J210" i="333"/>
  <c r="I210" i="333"/>
  <c r="H210" i="333"/>
  <c r="G210" i="333"/>
  <c r="F210" i="333"/>
  <c r="E210" i="333"/>
  <c r="D210" i="333"/>
  <c r="C210" i="333"/>
  <c r="N209" i="333"/>
  <c r="M209" i="333"/>
  <c r="J209" i="333"/>
  <c r="I209" i="333"/>
  <c r="H209" i="333"/>
  <c r="G209" i="333"/>
  <c r="F209" i="333"/>
  <c r="E209" i="333"/>
  <c r="D209" i="333"/>
  <c r="C209" i="333"/>
  <c r="N208" i="333"/>
  <c r="M208" i="333"/>
  <c r="J208" i="333"/>
  <c r="I208" i="333"/>
  <c r="H208" i="333"/>
  <c r="G208" i="333"/>
  <c r="F208" i="333"/>
  <c r="E208" i="333"/>
  <c r="D208" i="333"/>
  <c r="C208" i="333"/>
  <c r="K207" i="333"/>
  <c r="L207" i="333" s="1"/>
  <c r="O207" i="333" s="1"/>
  <c r="J207" i="333"/>
  <c r="O206" i="333"/>
  <c r="K206" i="333"/>
  <c r="L206" i="333" s="1"/>
  <c r="J206" i="333"/>
  <c r="K204" i="333"/>
  <c r="L204" i="333" s="1"/>
  <c r="O204" i="333" s="1"/>
  <c r="J204" i="333"/>
  <c r="K203" i="333"/>
  <c r="L203" i="333" s="1"/>
  <c r="O203" i="333" s="1"/>
  <c r="J203" i="333"/>
  <c r="K201" i="333"/>
  <c r="L201" i="333" s="1"/>
  <c r="L210" i="333" s="1"/>
  <c r="J201" i="333"/>
  <c r="O200" i="333"/>
  <c r="O209" i="333" s="1"/>
  <c r="K200" i="333"/>
  <c r="L200" i="333" s="1"/>
  <c r="J200" i="333"/>
  <c r="K199" i="333"/>
  <c r="J199" i="333"/>
  <c r="N197" i="333"/>
  <c r="M197" i="333"/>
  <c r="J197" i="333"/>
  <c r="I197" i="333"/>
  <c r="H197" i="333"/>
  <c r="G197" i="333"/>
  <c r="F197" i="333"/>
  <c r="E197" i="333"/>
  <c r="D197" i="333"/>
  <c r="C197" i="333"/>
  <c r="N196" i="333"/>
  <c r="M196" i="333"/>
  <c r="J196" i="333"/>
  <c r="I196" i="333"/>
  <c r="H196" i="333"/>
  <c r="G196" i="333"/>
  <c r="F196" i="333"/>
  <c r="E196" i="333"/>
  <c r="D196" i="333"/>
  <c r="C196" i="333"/>
  <c r="N195" i="333"/>
  <c r="M195" i="333"/>
  <c r="J195" i="333"/>
  <c r="I195" i="333"/>
  <c r="H195" i="333"/>
  <c r="G195" i="333"/>
  <c r="F195" i="333"/>
  <c r="E195" i="333"/>
  <c r="D195" i="333"/>
  <c r="C195" i="333"/>
  <c r="K194" i="333"/>
  <c r="L194" i="333" s="1"/>
  <c r="O194" i="333" s="1"/>
  <c r="J194" i="333"/>
  <c r="K193" i="333"/>
  <c r="L193" i="333" s="1"/>
  <c r="O193" i="333" s="1"/>
  <c r="J193" i="333"/>
  <c r="L192" i="333"/>
  <c r="O192" i="333" s="1"/>
  <c r="K192" i="333"/>
  <c r="J192" i="333"/>
  <c r="K191" i="333"/>
  <c r="L191" i="333" s="1"/>
  <c r="O191" i="333" s="1"/>
  <c r="J191" i="333"/>
  <c r="K189" i="333"/>
  <c r="L189" i="333" s="1"/>
  <c r="O189" i="333" s="1"/>
  <c r="J189" i="333"/>
  <c r="K188" i="333"/>
  <c r="L188" i="333" s="1"/>
  <c r="O188" i="333" s="1"/>
  <c r="J188" i="333"/>
  <c r="L186" i="333"/>
  <c r="K186" i="333"/>
  <c r="K197" i="333" s="1"/>
  <c r="J186" i="333"/>
  <c r="K185" i="333"/>
  <c r="L185" i="333" s="1"/>
  <c r="J185" i="333"/>
  <c r="K184" i="333"/>
  <c r="J184" i="333"/>
  <c r="N182" i="333"/>
  <c r="M182" i="333"/>
  <c r="J182" i="333"/>
  <c r="I182" i="333"/>
  <c r="H182" i="333"/>
  <c r="G182" i="333"/>
  <c r="F182" i="333"/>
  <c r="E182" i="333"/>
  <c r="D182" i="333"/>
  <c r="C182" i="333"/>
  <c r="N181" i="333"/>
  <c r="M181" i="333"/>
  <c r="J181" i="333"/>
  <c r="I181" i="333"/>
  <c r="H181" i="333"/>
  <c r="G181" i="333"/>
  <c r="F181" i="333"/>
  <c r="E181" i="333"/>
  <c r="D181" i="333"/>
  <c r="C181" i="333"/>
  <c r="N180" i="333"/>
  <c r="M180" i="333"/>
  <c r="J180" i="333"/>
  <c r="I180" i="333"/>
  <c r="H180" i="333"/>
  <c r="G180" i="333"/>
  <c r="F180" i="333"/>
  <c r="E180" i="333"/>
  <c r="D180" i="333"/>
  <c r="C180" i="333"/>
  <c r="K179" i="333"/>
  <c r="L179" i="333" s="1"/>
  <c r="O179" i="333" s="1"/>
  <c r="J179" i="333"/>
  <c r="K178" i="333"/>
  <c r="L178" i="333" s="1"/>
  <c r="O178" i="333" s="1"/>
  <c r="J178" i="333"/>
  <c r="K177" i="333"/>
  <c r="L177" i="333" s="1"/>
  <c r="O177" i="333" s="1"/>
  <c r="J177" i="333"/>
  <c r="K176" i="333"/>
  <c r="L176" i="333" s="1"/>
  <c r="O176" i="333" s="1"/>
  <c r="J176" i="333"/>
  <c r="K174" i="333"/>
  <c r="L174" i="333" s="1"/>
  <c r="O174" i="333" s="1"/>
  <c r="J174" i="333"/>
  <c r="K173" i="333"/>
  <c r="L173" i="333" s="1"/>
  <c r="O173" i="333" s="1"/>
  <c r="J173" i="333"/>
  <c r="K171" i="333"/>
  <c r="K182" i="333" s="1"/>
  <c r="J171" i="333"/>
  <c r="K170" i="333"/>
  <c r="K181" i="333" s="1"/>
  <c r="J170" i="333"/>
  <c r="K169" i="333"/>
  <c r="K180" i="333" s="1"/>
  <c r="J169" i="333"/>
  <c r="N167" i="333"/>
  <c r="M167" i="333"/>
  <c r="J167" i="333"/>
  <c r="I167" i="333"/>
  <c r="H167" i="333"/>
  <c r="G167" i="333"/>
  <c r="F167" i="333"/>
  <c r="E167" i="333"/>
  <c r="D167" i="333"/>
  <c r="C167" i="333"/>
  <c r="N166" i="333"/>
  <c r="M166" i="333"/>
  <c r="K166" i="333"/>
  <c r="J166" i="333"/>
  <c r="I166" i="333"/>
  <c r="H166" i="333"/>
  <c r="G166" i="333"/>
  <c r="F166" i="333"/>
  <c r="E166" i="333"/>
  <c r="D166" i="333"/>
  <c r="C166" i="333"/>
  <c r="N165" i="333"/>
  <c r="M165" i="333"/>
  <c r="L165" i="333"/>
  <c r="J165" i="333"/>
  <c r="I165" i="333"/>
  <c r="H165" i="333"/>
  <c r="G165" i="333"/>
  <c r="F165" i="333"/>
  <c r="E165" i="333"/>
  <c r="D165" i="333"/>
  <c r="C165" i="333"/>
  <c r="L164" i="333"/>
  <c r="O164" i="333" s="1"/>
  <c r="K164" i="333"/>
  <c r="J164" i="333"/>
  <c r="L163" i="333"/>
  <c r="O163" i="333" s="1"/>
  <c r="K163" i="333"/>
  <c r="J163" i="333"/>
  <c r="L161" i="333"/>
  <c r="O161" i="333" s="1"/>
  <c r="K161" i="333"/>
  <c r="J161" i="333"/>
  <c r="L160" i="333"/>
  <c r="O160" i="333" s="1"/>
  <c r="K160" i="333"/>
  <c r="J160" i="333"/>
  <c r="L158" i="333"/>
  <c r="L167" i="333" s="1"/>
  <c r="K158" i="333"/>
  <c r="K167" i="333" s="1"/>
  <c r="J158" i="333"/>
  <c r="L157" i="333"/>
  <c r="L166" i="333" s="1"/>
  <c r="K157" i="333"/>
  <c r="J157" i="333"/>
  <c r="L156" i="333"/>
  <c r="O156" i="333" s="1"/>
  <c r="K156" i="333"/>
  <c r="K165" i="333" s="1"/>
  <c r="J156" i="333"/>
  <c r="N154" i="333"/>
  <c r="M154" i="333"/>
  <c r="K154" i="333"/>
  <c r="J154" i="333"/>
  <c r="I154" i="333"/>
  <c r="H154" i="333"/>
  <c r="G154" i="333"/>
  <c r="F154" i="333"/>
  <c r="E154" i="333"/>
  <c r="D154" i="333"/>
  <c r="C154" i="333"/>
  <c r="N153" i="333"/>
  <c r="M153" i="333"/>
  <c r="J153" i="333"/>
  <c r="I153" i="333"/>
  <c r="H153" i="333"/>
  <c r="G153" i="333"/>
  <c r="F153" i="333"/>
  <c r="E153" i="333"/>
  <c r="D153" i="333"/>
  <c r="C153" i="333"/>
  <c r="N152" i="333"/>
  <c r="M152" i="333"/>
  <c r="J152" i="333"/>
  <c r="I152" i="333"/>
  <c r="H152" i="333"/>
  <c r="G152" i="333"/>
  <c r="F152" i="333"/>
  <c r="E152" i="333"/>
  <c r="D152" i="333"/>
  <c r="C152" i="333"/>
  <c r="K151" i="333"/>
  <c r="L151" i="333" s="1"/>
  <c r="O151" i="333" s="1"/>
  <c r="J151" i="333"/>
  <c r="K150" i="333"/>
  <c r="L150" i="333" s="1"/>
  <c r="O150" i="333" s="1"/>
  <c r="J150" i="333"/>
  <c r="O148" i="333"/>
  <c r="K148" i="333"/>
  <c r="L148" i="333" s="1"/>
  <c r="J148" i="333"/>
  <c r="K147" i="333"/>
  <c r="L147" i="333" s="1"/>
  <c r="L153" i="333" s="1"/>
  <c r="J147" i="333"/>
  <c r="K145" i="333"/>
  <c r="L145" i="333" s="1"/>
  <c r="L154" i="333" s="1"/>
  <c r="J145" i="333"/>
  <c r="K144" i="333"/>
  <c r="L144" i="333" s="1"/>
  <c r="O144" i="333" s="1"/>
  <c r="J144" i="333"/>
  <c r="K143" i="333"/>
  <c r="J143" i="333"/>
  <c r="N141" i="333"/>
  <c r="M141" i="333"/>
  <c r="J141" i="333"/>
  <c r="I141" i="333"/>
  <c r="H141" i="333"/>
  <c r="G141" i="333"/>
  <c r="F141" i="333"/>
  <c r="E141" i="333"/>
  <c r="D141" i="333"/>
  <c r="C141" i="333"/>
  <c r="N140" i="333"/>
  <c r="M140" i="333"/>
  <c r="J140" i="333"/>
  <c r="I140" i="333"/>
  <c r="H140" i="333"/>
  <c r="G140" i="333"/>
  <c r="F140" i="333"/>
  <c r="E140" i="333"/>
  <c r="D140" i="333"/>
  <c r="C140" i="333"/>
  <c r="N139" i="333"/>
  <c r="N300" i="333" s="1"/>
  <c r="M139" i="333"/>
  <c r="J139" i="333"/>
  <c r="I139" i="333"/>
  <c r="I300" i="333" s="1"/>
  <c r="H139" i="333"/>
  <c r="G139" i="333"/>
  <c r="G300" i="333" s="1"/>
  <c r="F139" i="333"/>
  <c r="E139" i="333"/>
  <c r="E300" i="333" s="1"/>
  <c r="D139" i="333"/>
  <c r="D300" i="333" s="1"/>
  <c r="C139" i="333"/>
  <c r="C300" i="333" s="1"/>
  <c r="K138" i="333"/>
  <c r="L138" i="333" s="1"/>
  <c r="O138" i="333" s="1"/>
  <c r="J138" i="333"/>
  <c r="K137" i="333"/>
  <c r="L137" i="333" s="1"/>
  <c r="O137" i="333" s="1"/>
  <c r="J137" i="333"/>
  <c r="K136" i="333"/>
  <c r="L136" i="333" s="1"/>
  <c r="O136" i="333" s="1"/>
  <c r="J136" i="333"/>
  <c r="L135" i="333"/>
  <c r="O135" i="333" s="1"/>
  <c r="K135" i="333"/>
  <c r="J135" i="333"/>
  <c r="K133" i="333"/>
  <c r="L133" i="333" s="1"/>
  <c r="O133" i="333" s="1"/>
  <c r="J133" i="333"/>
  <c r="K132" i="333"/>
  <c r="L132" i="333" s="1"/>
  <c r="O132" i="333" s="1"/>
  <c r="J132" i="333"/>
  <c r="K130" i="333"/>
  <c r="L130" i="333" s="1"/>
  <c r="J130" i="333"/>
  <c r="L129" i="333"/>
  <c r="O129" i="333" s="1"/>
  <c r="O140" i="333" s="1"/>
  <c r="K129" i="333"/>
  <c r="J129" i="333"/>
  <c r="K128" i="333"/>
  <c r="K139" i="333" s="1"/>
  <c r="J128" i="333"/>
  <c r="M126" i="333"/>
  <c r="I126" i="333"/>
  <c r="D126" i="333"/>
  <c r="N125" i="333"/>
  <c r="M125" i="333"/>
  <c r="I125" i="333"/>
  <c r="H125" i="333"/>
  <c r="G125" i="333"/>
  <c r="F125" i="333"/>
  <c r="E125" i="333"/>
  <c r="D125" i="333"/>
  <c r="C125" i="333"/>
  <c r="N124" i="333"/>
  <c r="M124" i="333"/>
  <c r="I124" i="333"/>
  <c r="H124" i="333"/>
  <c r="G124" i="333"/>
  <c r="F124" i="333"/>
  <c r="E124" i="333"/>
  <c r="D124" i="333"/>
  <c r="C124" i="333"/>
  <c r="N123" i="333"/>
  <c r="M123" i="333"/>
  <c r="I123" i="333"/>
  <c r="H123" i="333"/>
  <c r="G123" i="333"/>
  <c r="F123" i="333"/>
  <c r="E123" i="333"/>
  <c r="D123" i="333"/>
  <c r="C123" i="333"/>
  <c r="K122" i="333"/>
  <c r="J122" i="333"/>
  <c r="K121" i="333"/>
  <c r="J121" i="333"/>
  <c r="L121" i="333" s="1"/>
  <c r="O121" i="333" s="1"/>
  <c r="K120" i="333"/>
  <c r="J120" i="333"/>
  <c r="L120" i="333" s="1"/>
  <c r="O120" i="333" s="1"/>
  <c r="O118" i="333"/>
  <c r="K118" i="333"/>
  <c r="J118" i="333"/>
  <c r="L118" i="333" s="1"/>
  <c r="K117" i="333"/>
  <c r="K123" i="333" s="1"/>
  <c r="J117" i="333"/>
  <c r="K115" i="333"/>
  <c r="K125" i="333" s="1"/>
  <c r="J115" i="333"/>
  <c r="K114" i="333"/>
  <c r="J114" i="333"/>
  <c r="L114" i="333" s="1"/>
  <c r="O114" i="333" s="1"/>
  <c r="O113" i="333"/>
  <c r="K113" i="333"/>
  <c r="J113" i="333"/>
  <c r="L113" i="333" s="1"/>
  <c r="N111" i="333"/>
  <c r="M111" i="333"/>
  <c r="I111" i="333"/>
  <c r="H111" i="333"/>
  <c r="G111" i="333"/>
  <c r="F111" i="333"/>
  <c r="E111" i="333"/>
  <c r="D111" i="333"/>
  <c r="C111" i="333"/>
  <c r="N110" i="333"/>
  <c r="M110" i="333"/>
  <c r="I110" i="333"/>
  <c r="H110" i="333"/>
  <c r="G110" i="333"/>
  <c r="F110" i="333"/>
  <c r="E110" i="333"/>
  <c r="D110" i="333"/>
  <c r="C110" i="333"/>
  <c r="N109" i="333"/>
  <c r="M109" i="333"/>
  <c r="I109" i="333"/>
  <c r="H109" i="333"/>
  <c r="G109" i="333"/>
  <c r="F109" i="333"/>
  <c r="E109" i="333"/>
  <c r="D109" i="333"/>
  <c r="C109" i="333"/>
  <c r="O108" i="333"/>
  <c r="K108" i="333"/>
  <c r="J108" i="333"/>
  <c r="L108" i="333" s="1"/>
  <c r="K107" i="333"/>
  <c r="J107" i="333"/>
  <c r="K106" i="333"/>
  <c r="K109" i="333" s="1"/>
  <c r="J106" i="333"/>
  <c r="L106" i="333" s="1"/>
  <c r="O106" i="333" s="1"/>
  <c r="K104" i="333"/>
  <c r="J104" i="333"/>
  <c r="L104" i="333" s="1"/>
  <c r="O104" i="333" s="1"/>
  <c r="O103" i="333"/>
  <c r="K103" i="333"/>
  <c r="J103" i="333"/>
  <c r="L103" i="333" s="1"/>
  <c r="K101" i="333"/>
  <c r="K111" i="333" s="1"/>
  <c r="J101" i="333"/>
  <c r="K100" i="333"/>
  <c r="K110" i="333" s="1"/>
  <c r="J100" i="333"/>
  <c r="L100" i="333" s="1"/>
  <c r="L110" i="333" s="1"/>
  <c r="K99" i="333"/>
  <c r="J99" i="333"/>
  <c r="L99" i="333" s="1"/>
  <c r="O99" i="333" s="1"/>
  <c r="N97" i="333"/>
  <c r="M97" i="333"/>
  <c r="I97" i="333"/>
  <c r="H97" i="333"/>
  <c r="G97" i="333"/>
  <c r="F97" i="333"/>
  <c r="E97" i="333"/>
  <c r="D97" i="333"/>
  <c r="C97" i="333"/>
  <c r="N96" i="333"/>
  <c r="M96" i="333"/>
  <c r="I96" i="333"/>
  <c r="H96" i="333"/>
  <c r="G96" i="333"/>
  <c r="F96" i="333"/>
  <c r="E96" i="333"/>
  <c r="D96" i="333"/>
  <c r="C96" i="333"/>
  <c r="N95" i="333"/>
  <c r="M95" i="333"/>
  <c r="I95" i="333"/>
  <c r="H95" i="333"/>
  <c r="G95" i="333"/>
  <c r="F95" i="333"/>
  <c r="E95" i="333"/>
  <c r="D95" i="333"/>
  <c r="C95" i="333"/>
  <c r="K94" i="333"/>
  <c r="J94" i="333"/>
  <c r="L94" i="333" s="1"/>
  <c r="O94" i="333" s="1"/>
  <c r="O93" i="333"/>
  <c r="K93" i="333"/>
  <c r="J93" i="333"/>
  <c r="L93" i="333" s="1"/>
  <c r="K92" i="333"/>
  <c r="K95" i="333" s="1"/>
  <c r="J92" i="333"/>
  <c r="K91" i="333"/>
  <c r="J91" i="333"/>
  <c r="L91" i="333" s="1"/>
  <c r="O91" i="333" s="1"/>
  <c r="K89" i="333"/>
  <c r="J89" i="333"/>
  <c r="L89" i="333" s="1"/>
  <c r="O89" i="333" s="1"/>
  <c r="O88" i="333"/>
  <c r="K88" i="333"/>
  <c r="J88" i="333"/>
  <c r="L88" i="333" s="1"/>
  <c r="K86" i="333"/>
  <c r="K97" i="333" s="1"/>
  <c r="J86" i="333"/>
  <c r="K85" i="333"/>
  <c r="K96" i="333" s="1"/>
  <c r="J85" i="333"/>
  <c r="L85" i="333" s="1"/>
  <c r="L96" i="333" s="1"/>
  <c r="K84" i="333"/>
  <c r="J84" i="333"/>
  <c r="L84" i="333" s="1"/>
  <c r="O84" i="333" s="1"/>
  <c r="N82" i="333"/>
  <c r="M82" i="333"/>
  <c r="I82" i="333"/>
  <c r="H82" i="333"/>
  <c r="G82" i="333"/>
  <c r="F82" i="333"/>
  <c r="E82" i="333"/>
  <c r="D82" i="333"/>
  <c r="C82" i="333"/>
  <c r="N81" i="333"/>
  <c r="M81" i="333"/>
  <c r="I81" i="333"/>
  <c r="H81" i="333"/>
  <c r="G81" i="333"/>
  <c r="F81" i="333"/>
  <c r="E81" i="333"/>
  <c r="D81" i="333"/>
  <c r="C81" i="333"/>
  <c r="N80" i="333"/>
  <c r="M80" i="333"/>
  <c r="I80" i="333"/>
  <c r="H80" i="333"/>
  <c r="G80" i="333"/>
  <c r="F80" i="333"/>
  <c r="E80" i="333"/>
  <c r="D80" i="333"/>
  <c r="C80" i="333"/>
  <c r="K79" i="333"/>
  <c r="J79" i="333"/>
  <c r="L79" i="333" s="1"/>
  <c r="O79" i="333" s="1"/>
  <c r="O78" i="333"/>
  <c r="K78" i="333"/>
  <c r="J78" i="333"/>
  <c r="L78" i="333" s="1"/>
  <c r="K77" i="333"/>
  <c r="K82" i="333" s="1"/>
  <c r="J77" i="333"/>
  <c r="K76" i="333"/>
  <c r="J76" i="333"/>
  <c r="L76" i="333" s="1"/>
  <c r="O76" i="333" s="1"/>
  <c r="K74" i="333"/>
  <c r="J74" i="333"/>
  <c r="L74" i="333" s="1"/>
  <c r="O74" i="333" s="1"/>
  <c r="O73" i="333"/>
  <c r="K73" i="333"/>
  <c r="J73" i="333"/>
  <c r="L73" i="333" s="1"/>
  <c r="K72" i="333"/>
  <c r="J72" i="333"/>
  <c r="K71" i="333"/>
  <c r="J71" i="333"/>
  <c r="L71" i="333" s="1"/>
  <c r="O71" i="333" s="1"/>
  <c r="K69" i="333"/>
  <c r="J69" i="333"/>
  <c r="O68" i="333"/>
  <c r="K68" i="333"/>
  <c r="J68" i="333"/>
  <c r="L68" i="333" s="1"/>
  <c r="K67" i="333"/>
  <c r="K80" i="333" s="1"/>
  <c r="J67" i="333"/>
  <c r="N65" i="333"/>
  <c r="M65" i="333"/>
  <c r="I65" i="333"/>
  <c r="H65" i="333"/>
  <c r="G65" i="333"/>
  <c r="F65" i="333"/>
  <c r="E65" i="333"/>
  <c r="D65" i="333"/>
  <c r="C65" i="333"/>
  <c r="N64" i="333"/>
  <c r="M64" i="333"/>
  <c r="I64" i="333"/>
  <c r="H64" i="333"/>
  <c r="G64" i="333"/>
  <c r="F64" i="333"/>
  <c r="E64" i="333"/>
  <c r="D64" i="333"/>
  <c r="C64" i="333"/>
  <c r="N63" i="333"/>
  <c r="M63" i="333"/>
  <c r="I63" i="333"/>
  <c r="H63" i="333"/>
  <c r="G63" i="333"/>
  <c r="F63" i="333"/>
  <c r="E63" i="333"/>
  <c r="D63" i="333"/>
  <c r="C63" i="333"/>
  <c r="K62" i="333"/>
  <c r="J62" i="333"/>
  <c r="K61" i="333"/>
  <c r="J61" i="333"/>
  <c r="L61" i="333" s="1"/>
  <c r="O61" i="333" s="1"/>
  <c r="K60" i="333"/>
  <c r="J60" i="333"/>
  <c r="L60" i="333" s="1"/>
  <c r="O60" i="333" s="1"/>
  <c r="K58" i="333"/>
  <c r="K486" i="333" s="1"/>
  <c r="J58" i="333"/>
  <c r="K57" i="333"/>
  <c r="J57" i="333"/>
  <c r="K56" i="333"/>
  <c r="J56" i="333"/>
  <c r="L56" i="333" s="1"/>
  <c r="O56" i="333" s="1"/>
  <c r="K54" i="333"/>
  <c r="K65" i="333" s="1"/>
  <c r="J54" i="333"/>
  <c r="O53" i="333"/>
  <c r="K53" i="333"/>
  <c r="J53" i="333"/>
  <c r="L53" i="333" s="1"/>
  <c r="K52" i="333"/>
  <c r="K63" i="333" s="1"/>
  <c r="J52" i="333"/>
  <c r="N50" i="333"/>
  <c r="M50" i="333"/>
  <c r="I50" i="333"/>
  <c r="H50" i="333"/>
  <c r="G50" i="333"/>
  <c r="F50" i="333"/>
  <c r="E50" i="333"/>
  <c r="D50" i="333"/>
  <c r="C50" i="333"/>
  <c r="N49" i="333"/>
  <c r="M49" i="333"/>
  <c r="I49" i="333"/>
  <c r="H49" i="333"/>
  <c r="G49" i="333"/>
  <c r="F49" i="333"/>
  <c r="E49" i="333"/>
  <c r="D49" i="333"/>
  <c r="C49" i="333"/>
  <c r="N48" i="333"/>
  <c r="N126" i="333" s="1"/>
  <c r="M48" i="333"/>
  <c r="I48" i="333"/>
  <c r="H48" i="333"/>
  <c r="G48" i="333"/>
  <c r="G126" i="333" s="1"/>
  <c r="F48" i="333"/>
  <c r="F126" i="333" s="1"/>
  <c r="E48" i="333"/>
  <c r="E126" i="333" s="1"/>
  <c r="D48" i="333"/>
  <c r="C48" i="333"/>
  <c r="C126" i="333" s="1"/>
  <c r="K47" i="333"/>
  <c r="J47" i="333"/>
  <c r="K46" i="333"/>
  <c r="J46" i="333"/>
  <c r="L46" i="333" s="1"/>
  <c r="O46" i="333" s="1"/>
  <c r="K45" i="333"/>
  <c r="J45" i="333"/>
  <c r="L45" i="333" s="1"/>
  <c r="O45" i="333" s="1"/>
  <c r="O44" i="333"/>
  <c r="K44" i="333"/>
  <c r="J44" i="333"/>
  <c r="L44" i="333" s="1"/>
  <c r="K42" i="333"/>
  <c r="J42" i="333"/>
  <c r="K41" i="333"/>
  <c r="J41" i="333"/>
  <c r="L41" i="333" s="1"/>
  <c r="O41" i="333" s="1"/>
  <c r="K39" i="333"/>
  <c r="K50" i="333" s="1"/>
  <c r="J39" i="333"/>
  <c r="O38" i="333"/>
  <c r="K38" i="333"/>
  <c r="J38" i="333"/>
  <c r="L38" i="333" s="1"/>
  <c r="K37" i="333"/>
  <c r="K48" i="333" s="1"/>
  <c r="J37" i="333"/>
  <c r="M35" i="333"/>
  <c r="H35" i="333"/>
  <c r="G35" i="333"/>
  <c r="N34" i="333"/>
  <c r="M34" i="333"/>
  <c r="I34" i="333"/>
  <c r="H34" i="333"/>
  <c r="G34" i="333"/>
  <c r="F34" i="333"/>
  <c r="E34" i="333"/>
  <c r="D34" i="333"/>
  <c r="C34" i="333"/>
  <c r="N33" i="333"/>
  <c r="M33" i="333"/>
  <c r="I33" i="333"/>
  <c r="H33" i="333"/>
  <c r="G33" i="333"/>
  <c r="F33" i="333"/>
  <c r="E33" i="333"/>
  <c r="D33" i="333"/>
  <c r="C33" i="333"/>
  <c r="N32" i="333"/>
  <c r="M32" i="333"/>
  <c r="I32" i="333"/>
  <c r="H32" i="333"/>
  <c r="G32" i="333"/>
  <c r="F32" i="333"/>
  <c r="E32" i="333"/>
  <c r="D32" i="333"/>
  <c r="C32" i="333"/>
  <c r="L31" i="333"/>
  <c r="K31" i="333"/>
  <c r="J31" i="333"/>
  <c r="K30" i="333"/>
  <c r="L30" i="333" s="1"/>
  <c r="O30" i="333" s="1"/>
  <c r="J30" i="333"/>
  <c r="K29" i="333"/>
  <c r="J29" i="333"/>
  <c r="J34" i="333" s="1"/>
  <c r="K27" i="333"/>
  <c r="J27" i="333"/>
  <c r="J483" i="333" s="1"/>
  <c r="L26" i="333"/>
  <c r="O26" i="333" s="1"/>
  <c r="K26" i="333"/>
  <c r="J26" i="333"/>
  <c r="K24" i="333"/>
  <c r="K34" i="333" s="1"/>
  <c r="J24" i="333"/>
  <c r="K23" i="333"/>
  <c r="K33" i="333" s="1"/>
  <c r="J23" i="333"/>
  <c r="J33" i="333" s="1"/>
  <c r="K22" i="333"/>
  <c r="J22" i="333"/>
  <c r="N20" i="333"/>
  <c r="N512" i="333" s="1"/>
  <c r="N520" i="333" s="1"/>
  <c r="M20" i="333"/>
  <c r="J20" i="333"/>
  <c r="I20" i="333"/>
  <c r="I512" i="333" s="1"/>
  <c r="I520" i="333" s="1"/>
  <c r="H20" i="333"/>
  <c r="G20" i="333"/>
  <c r="F20" i="333"/>
  <c r="E20" i="333"/>
  <c r="E512" i="333" s="1"/>
  <c r="D20" i="333"/>
  <c r="C20" i="333"/>
  <c r="N19" i="333"/>
  <c r="N511" i="333" s="1"/>
  <c r="N519" i="333" s="1"/>
  <c r="M19" i="333"/>
  <c r="I19" i="333"/>
  <c r="I511" i="333" s="1"/>
  <c r="I519" i="333" s="1"/>
  <c r="H19" i="333"/>
  <c r="G19" i="333"/>
  <c r="F19" i="333"/>
  <c r="E19" i="333"/>
  <c r="E511" i="333" s="1"/>
  <c r="D19" i="333"/>
  <c r="C19" i="333"/>
  <c r="N18" i="333"/>
  <c r="N35" i="333" s="1"/>
  <c r="M18" i="333"/>
  <c r="I18" i="333"/>
  <c r="I35" i="333" s="1"/>
  <c r="I301" i="333" s="1"/>
  <c r="I461" i="333" s="1"/>
  <c r="I479" i="333" s="1"/>
  <c r="H18" i="333"/>
  <c r="G18" i="333"/>
  <c r="F18" i="333"/>
  <c r="F35" i="333" s="1"/>
  <c r="E18" i="333"/>
  <c r="E35" i="333" s="1"/>
  <c r="E301" i="333" s="1"/>
  <c r="E461" i="333" s="1"/>
  <c r="E479" i="333" s="1"/>
  <c r="D18" i="333"/>
  <c r="D35" i="333" s="1"/>
  <c r="D301" i="333" s="1"/>
  <c r="D461" i="333" s="1"/>
  <c r="D479" i="333" s="1"/>
  <c r="C18" i="333"/>
  <c r="C35" i="333" s="1"/>
  <c r="C301" i="333" s="1"/>
  <c r="L17" i="333"/>
  <c r="K17" i="333"/>
  <c r="J17" i="333"/>
  <c r="J500" i="333" s="1"/>
  <c r="K16" i="333"/>
  <c r="K499" i="333" s="1"/>
  <c r="J16" i="333"/>
  <c r="K14" i="333"/>
  <c r="K489" i="333" s="1"/>
  <c r="J14" i="333"/>
  <c r="J489" i="333" s="1"/>
  <c r="K13" i="333"/>
  <c r="J13" i="333"/>
  <c r="L13" i="333" s="1"/>
  <c r="L12" i="333"/>
  <c r="K12" i="333"/>
  <c r="J12" i="333"/>
  <c r="K10" i="333"/>
  <c r="K20" i="333" s="1"/>
  <c r="J10" i="333"/>
  <c r="K9" i="333"/>
  <c r="K19" i="333" s="1"/>
  <c r="J9" i="333"/>
  <c r="J19" i="333" s="1"/>
  <c r="K8" i="333"/>
  <c r="J8" i="333"/>
  <c r="C16" i="332"/>
  <c r="C15" i="332"/>
  <c r="C14" i="332"/>
  <c r="C17" i="332" s="1"/>
  <c r="C13" i="332"/>
  <c r="C10" i="332"/>
  <c r="C9" i="332"/>
  <c r="C8" i="332"/>
  <c r="C7" i="332"/>
  <c r="C19" i="332" s="1"/>
  <c r="J27" i="331"/>
  <c r="I27" i="331"/>
  <c r="H27" i="331"/>
  <c r="K27" i="331" s="1"/>
  <c r="H26" i="331"/>
  <c r="G26" i="331"/>
  <c r="F26" i="331"/>
  <c r="E26" i="331"/>
  <c r="D26" i="331"/>
  <c r="C26" i="331"/>
  <c r="J25" i="331"/>
  <c r="I25" i="331"/>
  <c r="E25" i="331"/>
  <c r="K25" i="331" s="1"/>
  <c r="J24" i="331"/>
  <c r="I24" i="331"/>
  <c r="E24" i="331"/>
  <c r="K24" i="331" s="1"/>
  <c r="J23" i="331"/>
  <c r="J26" i="331" s="1"/>
  <c r="I23" i="331"/>
  <c r="I26" i="331" s="1"/>
  <c r="H23" i="331"/>
  <c r="E23" i="331"/>
  <c r="K23" i="331" s="1"/>
  <c r="G21" i="331"/>
  <c r="G22" i="331" s="1"/>
  <c r="F21" i="331"/>
  <c r="D21" i="331"/>
  <c r="D22" i="331" s="1"/>
  <c r="C21" i="331"/>
  <c r="C22" i="331" s="1"/>
  <c r="J20" i="331"/>
  <c r="I20" i="331"/>
  <c r="H20" i="331"/>
  <c r="H21" i="331" s="1"/>
  <c r="E20" i="331"/>
  <c r="K20" i="331" s="1"/>
  <c r="J19" i="331"/>
  <c r="J21" i="331" s="1"/>
  <c r="J22" i="331" s="1"/>
  <c r="I19" i="331"/>
  <c r="I21" i="331" s="1"/>
  <c r="H19" i="331"/>
  <c r="E19" i="331"/>
  <c r="E21" i="331" s="1"/>
  <c r="J18" i="331"/>
  <c r="G18" i="331"/>
  <c r="F18" i="331"/>
  <c r="F22" i="331" s="1"/>
  <c r="D18" i="331"/>
  <c r="C18" i="331"/>
  <c r="J17" i="331"/>
  <c r="I17" i="331"/>
  <c r="H17" i="331"/>
  <c r="E17" i="331"/>
  <c r="K17" i="331" s="1"/>
  <c r="J16" i="331"/>
  <c r="I16" i="331"/>
  <c r="H16" i="331"/>
  <c r="E16" i="331"/>
  <c r="K16" i="331" s="1"/>
  <c r="J15" i="331"/>
  <c r="I15" i="331"/>
  <c r="I18" i="331" s="1"/>
  <c r="H15" i="331"/>
  <c r="H18" i="331" s="1"/>
  <c r="E15" i="331"/>
  <c r="E18" i="331" s="1"/>
  <c r="G14" i="331"/>
  <c r="F14" i="331"/>
  <c r="D14" i="331"/>
  <c r="C14" i="331"/>
  <c r="J13" i="331"/>
  <c r="I13" i="331"/>
  <c r="H13" i="331"/>
  <c r="E13" i="331"/>
  <c r="K13" i="331" s="1"/>
  <c r="J12" i="331"/>
  <c r="I12" i="331"/>
  <c r="H12" i="331"/>
  <c r="E12" i="331"/>
  <c r="K12" i="331" s="1"/>
  <c r="J11" i="331"/>
  <c r="I11" i="331"/>
  <c r="H11" i="331"/>
  <c r="E11" i="331"/>
  <c r="K11" i="331" s="1"/>
  <c r="J10" i="331"/>
  <c r="J14" i="331" s="1"/>
  <c r="I10" i="331"/>
  <c r="H10" i="331"/>
  <c r="E10" i="331"/>
  <c r="K10" i="331" s="1"/>
  <c r="J9" i="331"/>
  <c r="I9" i="331"/>
  <c r="I14" i="331" s="1"/>
  <c r="H9" i="331"/>
  <c r="H14" i="331" s="1"/>
  <c r="E9" i="331"/>
  <c r="E14" i="331" s="1"/>
  <c r="H60" i="330"/>
  <c r="G60" i="330"/>
  <c r="F60" i="330"/>
  <c r="E60" i="330"/>
  <c r="D60" i="330"/>
  <c r="D53" i="330" s="1"/>
  <c r="C60" i="330"/>
  <c r="D59" i="330"/>
  <c r="J58" i="330"/>
  <c r="I58" i="330"/>
  <c r="E58" i="330"/>
  <c r="K58" i="330" s="1"/>
  <c r="J57" i="330"/>
  <c r="I57" i="330"/>
  <c r="H57" i="330"/>
  <c r="K57" i="330" s="1"/>
  <c r="J56" i="330"/>
  <c r="J59" i="330" s="1"/>
  <c r="G56" i="330"/>
  <c r="G59" i="330" s="1"/>
  <c r="G53" i="330" s="1"/>
  <c r="F56" i="330"/>
  <c r="I56" i="330" s="1"/>
  <c r="I59" i="330" s="1"/>
  <c r="D56" i="330"/>
  <c r="C56" i="330"/>
  <c r="C59" i="330" s="1"/>
  <c r="C53" i="330" s="1"/>
  <c r="J55" i="330"/>
  <c r="I55" i="330"/>
  <c r="H55" i="330"/>
  <c r="E55" i="330"/>
  <c r="K55" i="330" s="1"/>
  <c r="J54" i="330"/>
  <c r="I54" i="330"/>
  <c r="H54" i="330"/>
  <c r="H56" i="330" s="1"/>
  <c r="H59" i="330" s="1"/>
  <c r="H53" i="330" s="1"/>
  <c r="E54" i="330"/>
  <c r="E56" i="330" s="1"/>
  <c r="H51" i="330"/>
  <c r="G51" i="330"/>
  <c r="F51" i="330"/>
  <c r="E51" i="330"/>
  <c r="K51" i="330" s="1"/>
  <c r="D51" i="330"/>
  <c r="C51" i="330"/>
  <c r="J44" i="330"/>
  <c r="I44" i="330"/>
  <c r="H44" i="330"/>
  <c r="E44" i="330"/>
  <c r="K44" i="330" s="1"/>
  <c r="J43" i="330"/>
  <c r="I43" i="330"/>
  <c r="H43" i="330"/>
  <c r="E43" i="330"/>
  <c r="J42" i="330"/>
  <c r="I42" i="330"/>
  <c r="G42" i="330"/>
  <c r="F42" i="330"/>
  <c r="D42" i="330"/>
  <c r="C42" i="330"/>
  <c r="J41" i="330"/>
  <c r="I41" i="330"/>
  <c r="H41" i="330"/>
  <c r="H42" i="330" s="1"/>
  <c r="E41" i="330"/>
  <c r="E42" i="330" s="1"/>
  <c r="J40" i="330"/>
  <c r="I40" i="330"/>
  <c r="H40" i="330"/>
  <c r="E40" i="330"/>
  <c r="K40" i="330" s="1"/>
  <c r="J39" i="330"/>
  <c r="I39" i="330"/>
  <c r="H39" i="330"/>
  <c r="E39" i="330"/>
  <c r="K39" i="330" s="1"/>
  <c r="J38" i="330"/>
  <c r="I38" i="330"/>
  <c r="H38" i="330"/>
  <c r="E38" i="330"/>
  <c r="K38" i="330" s="1"/>
  <c r="J37" i="330"/>
  <c r="I37" i="330"/>
  <c r="H37" i="330"/>
  <c r="E37" i="330"/>
  <c r="K37" i="330" s="1"/>
  <c r="G35" i="330"/>
  <c r="F35" i="330"/>
  <c r="D35" i="330"/>
  <c r="C35" i="330"/>
  <c r="J34" i="330"/>
  <c r="I34" i="330"/>
  <c r="H34" i="330"/>
  <c r="K34" i="330" s="1"/>
  <c r="E34" i="330"/>
  <c r="J33" i="330"/>
  <c r="I33" i="330"/>
  <c r="H33" i="330"/>
  <c r="E33" i="330"/>
  <c r="K33" i="330" s="1"/>
  <c r="J32" i="330"/>
  <c r="I32" i="330"/>
  <c r="H32" i="330"/>
  <c r="K32" i="330" s="1"/>
  <c r="E32" i="330"/>
  <c r="J31" i="330"/>
  <c r="J35" i="330" s="1"/>
  <c r="I31" i="330"/>
  <c r="I35" i="330" s="1"/>
  <c r="H31" i="330"/>
  <c r="H35" i="330" s="1"/>
  <c r="E31" i="330"/>
  <c r="J29" i="330"/>
  <c r="G29" i="330"/>
  <c r="G30" i="330" s="1"/>
  <c r="F29" i="330"/>
  <c r="D29" i="330"/>
  <c r="D30" i="330" s="1"/>
  <c r="C29" i="330"/>
  <c r="C30" i="330" s="1"/>
  <c r="J28" i="330"/>
  <c r="I28" i="330"/>
  <c r="I29" i="330" s="1"/>
  <c r="I30" i="330" s="1"/>
  <c r="H28" i="330"/>
  <c r="K28" i="330" s="1"/>
  <c r="K29" i="330" s="1"/>
  <c r="E28" i="330"/>
  <c r="E29" i="330" s="1"/>
  <c r="E30" i="330" s="1"/>
  <c r="J27" i="330"/>
  <c r="I27" i="330"/>
  <c r="H27" i="330"/>
  <c r="K27" i="330" s="1"/>
  <c r="E27" i="330"/>
  <c r="J26" i="330"/>
  <c r="J30" i="330" s="1"/>
  <c r="I26" i="330"/>
  <c r="G26" i="330"/>
  <c r="F26" i="330"/>
  <c r="F30" i="330" s="1"/>
  <c r="D26" i="330"/>
  <c r="C26" i="330"/>
  <c r="J25" i="330"/>
  <c r="I25" i="330"/>
  <c r="H25" i="330"/>
  <c r="H26" i="330" s="1"/>
  <c r="E25" i="330"/>
  <c r="E26" i="330" s="1"/>
  <c r="H24" i="330"/>
  <c r="G24" i="330"/>
  <c r="G36" i="330" s="1"/>
  <c r="G45" i="330" s="1"/>
  <c r="G47" i="330" s="1"/>
  <c r="G50" i="330" s="1"/>
  <c r="F24" i="330"/>
  <c r="D24" i="330"/>
  <c r="C24" i="330"/>
  <c r="J23" i="330"/>
  <c r="J24" i="330" s="1"/>
  <c r="J36" i="330" s="1"/>
  <c r="I23" i="330"/>
  <c r="I24" i="330" s="1"/>
  <c r="I36" i="330" s="1"/>
  <c r="H23" i="330"/>
  <c r="K23" i="330" s="1"/>
  <c r="K24" i="330" s="1"/>
  <c r="E23" i="330"/>
  <c r="E24" i="330" s="1"/>
  <c r="J22" i="330"/>
  <c r="J46" i="330" s="1"/>
  <c r="I22" i="330"/>
  <c r="I46" i="330" s="1"/>
  <c r="G22" i="330"/>
  <c r="G46" i="330" s="1"/>
  <c r="F22" i="330"/>
  <c r="F46" i="330" s="1"/>
  <c r="D22" i="330"/>
  <c r="D46" i="330" s="1"/>
  <c r="C22" i="330"/>
  <c r="C46" i="330" s="1"/>
  <c r="J21" i="330"/>
  <c r="I21" i="330"/>
  <c r="H21" i="330"/>
  <c r="E21" i="330"/>
  <c r="K21" i="330" s="1"/>
  <c r="J20" i="330"/>
  <c r="I20" i="330"/>
  <c r="H20" i="330"/>
  <c r="H22" i="330" s="1"/>
  <c r="H46" i="330" s="1"/>
  <c r="E20" i="330"/>
  <c r="E22" i="330" s="1"/>
  <c r="J18" i="330"/>
  <c r="I18" i="330"/>
  <c r="H18" i="330"/>
  <c r="E18" i="330"/>
  <c r="K18" i="330" s="1"/>
  <c r="G17" i="330"/>
  <c r="G19" i="330" s="1"/>
  <c r="F17" i="330"/>
  <c r="F19" i="330" s="1"/>
  <c r="D17" i="330"/>
  <c r="D19" i="330" s="1"/>
  <c r="C17" i="330"/>
  <c r="C19" i="330" s="1"/>
  <c r="J16" i="330"/>
  <c r="I16" i="330"/>
  <c r="H16" i="330"/>
  <c r="E16" i="330"/>
  <c r="K16" i="330" s="1"/>
  <c r="J15" i="330"/>
  <c r="I15" i="330"/>
  <c r="H15" i="330"/>
  <c r="E15" i="330"/>
  <c r="K15" i="330" s="1"/>
  <c r="J14" i="330"/>
  <c r="I14" i="330"/>
  <c r="H14" i="330"/>
  <c r="E14" i="330"/>
  <c r="K14" i="330" s="1"/>
  <c r="J13" i="330"/>
  <c r="I13" i="330"/>
  <c r="H13" i="330"/>
  <c r="E13" i="330"/>
  <c r="K13" i="330" s="1"/>
  <c r="J12" i="330"/>
  <c r="I12" i="330"/>
  <c r="H12" i="330"/>
  <c r="E12" i="330"/>
  <c r="K12" i="330" s="1"/>
  <c r="J11" i="330"/>
  <c r="I11" i="330"/>
  <c r="H11" i="330"/>
  <c r="K11" i="330" s="1"/>
  <c r="E11" i="330"/>
  <c r="J10" i="330"/>
  <c r="I10" i="330"/>
  <c r="H10" i="330"/>
  <c r="E10" i="330"/>
  <c r="K10" i="330" s="1"/>
  <c r="J9" i="330"/>
  <c r="J17" i="330" s="1"/>
  <c r="J19" i="330" s="1"/>
  <c r="I9" i="330"/>
  <c r="I17" i="330" s="1"/>
  <c r="I19" i="330" s="1"/>
  <c r="H9" i="330"/>
  <c r="H17" i="330" s="1"/>
  <c r="H19" i="330" s="1"/>
  <c r="E9" i="330"/>
  <c r="K9" i="330" s="1"/>
  <c r="AL27" i="329"/>
  <c r="AH27" i="329"/>
  <c r="AD27" i="329"/>
  <c r="Z27" i="329"/>
  <c r="U26" i="329"/>
  <c r="T26" i="329"/>
  <c r="S26" i="329"/>
  <c r="R26" i="329"/>
  <c r="Q26" i="329"/>
  <c r="P26" i="329"/>
  <c r="O26" i="329"/>
  <c r="J26" i="329"/>
  <c r="I26" i="329"/>
  <c r="H26" i="329"/>
  <c r="G26" i="329"/>
  <c r="F26" i="329"/>
  <c r="E26" i="329"/>
  <c r="D26" i="329"/>
  <c r="C26" i="329"/>
  <c r="AG25" i="329"/>
  <c r="AF25" i="329"/>
  <c r="AE25" i="329"/>
  <c r="AD25" i="329"/>
  <c r="AC25" i="329"/>
  <c r="AB25" i="329"/>
  <c r="AA25" i="329"/>
  <c r="Z25" i="329"/>
  <c r="Y25" i="329"/>
  <c r="AK25" i="329" s="1"/>
  <c r="X25" i="329"/>
  <c r="AJ25" i="329" s="1"/>
  <c r="W25" i="329"/>
  <c r="AI25" i="329" s="1"/>
  <c r="V25" i="329"/>
  <c r="AH25" i="329" s="1"/>
  <c r="R25" i="329"/>
  <c r="M25" i="329"/>
  <c r="L25" i="329"/>
  <c r="K25" i="329"/>
  <c r="N25" i="329" s="1"/>
  <c r="J25" i="329"/>
  <c r="F25" i="329"/>
  <c r="AG24" i="329"/>
  <c r="AF24" i="329"/>
  <c r="AE24" i="329"/>
  <c r="AD24" i="329"/>
  <c r="AC24" i="329"/>
  <c r="AB24" i="329"/>
  <c r="AA24" i="329"/>
  <c r="Z24" i="329"/>
  <c r="Y24" i="329"/>
  <c r="AK24" i="329" s="1"/>
  <c r="X24" i="329"/>
  <c r="AJ24" i="329" s="1"/>
  <c r="W24" i="329"/>
  <c r="AI24" i="329" s="1"/>
  <c r="V24" i="329"/>
  <c r="AH24" i="329" s="1"/>
  <c r="R24" i="329"/>
  <c r="M24" i="329"/>
  <c r="L24" i="329"/>
  <c r="K24" i="329"/>
  <c r="N24" i="329" s="1"/>
  <c r="J24" i="329"/>
  <c r="F24" i="329"/>
  <c r="AG23" i="329"/>
  <c r="AG26" i="329" s="1"/>
  <c r="AF23" i="329"/>
  <c r="AF26" i="329" s="1"/>
  <c r="AE23" i="329"/>
  <c r="AE26" i="329" s="1"/>
  <c r="AD23" i="329"/>
  <c r="AD26" i="329" s="1"/>
  <c r="AC23" i="329"/>
  <c r="AC26" i="329" s="1"/>
  <c r="AB23" i="329"/>
  <c r="AB26" i="329" s="1"/>
  <c r="AA23" i="329"/>
  <c r="AA26" i="329" s="1"/>
  <c r="Z23" i="329"/>
  <c r="Z26" i="329" s="1"/>
  <c r="Y23" i="329"/>
  <c r="Y26" i="329" s="1"/>
  <c r="X23" i="329"/>
  <c r="X26" i="329" s="1"/>
  <c r="W23" i="329"/>
  <c r="W26" i="329" s="1"/>
  <c r="V23" i="329"/>
  <c r="V26" i="329" s="1"/>
  <c r="R23" i="329"/>
  <c r="M23" i="329"/>
  <c r="M26" i="329" s="1"/>
  <c r="L23" i="329"/>
  <c r="L26" i="329" s="1"/>
  <c r="K23" i="329"/>
  <c r="K26" i="329" s="1"/>
  <c r="J23" i="329"/>
  <c r="F23" i="329"/>
  <c r="U21" i="329"/>
  <c r="U22" i="329" s="1"/>
  <c r="T21" i="329"/>
  <c r="T22" i="329" s="1"/>
  <c r="S21" i="329"/>
  <c r="S22" i="329" s="1"/>
  <c r="R21" i="329"/>
  <c r="R22" i="329" s="1"/>
  <c r="Q21" i="329"/>
  <c r="Q22" i="329" s="1"/>
  <c r="P21" i="329"/>
  <c r="P22" i="329" s="1"/>
  <c r="O21" i="329"/>
  <c r="O22" i="329" s="1"/>
  <c r="J21" i="329"/>
  <c r="J22" i="329" s="1"/>
  <c r="I21" i="329"/>
  <c r="I22" i="329" s="1"/>
  <c r="H21" i="329"/>
  <c r="H22" i="329" s="1"/>
  <c r="G21" i="329"/>
  <c r="G22" i="329" s="1"/>
  <c r="F21" i="329"/>
  <c r="F22" i="329" s="1"/>
  <c r="E21" i="329"/>
  <c r="E22" i="329" s="1"/>
  <c r="D21" i="329"/>
  <c r="D22" i="329" s="1"/>
  <c r="C21" i="329"/>
  <c r="C22" i="329" s="1"/>
  <c r="AH20" i="329"/>
  <c r="AG20" i="329"/>
  <c r="AF20" i="329"/>
  <c r="AE20" i="329"/>
  <c r="AD20" i="329"/>
  <c r="AC20" i="329"/>
  <c r="AB20" i="329"/>
  <c r="AA20" i="329"/>
  <c r="Z20" i="329"/>
  <c r="Y20" i="329"/>
  <c r="AK20" i="329" s="1"/>
  <c r="X20" i="329"/>
  <c r="W20" i="329"/>
  <c r="V20" i="329"/>
  <c r="R20" i="329"/>
  <c r="M20" i="329"/>
  <c r="L20" i="329"/>
  <c r="AJ20" i="329" s="1"/>
  <c r="K20" i="329"/>
  <c r="N20" i="329" s="1"/>
  <c r="J20" i="329"/>
  <c r="F20" i="329"/>
  <c r="AH19" i="329"/>
  <c r="AH21" i="329" s="1"/>
  <c r="AG19" i="329"/>
  <c r="AG21" i="329" s="1"/>
  <c r="AG22" i="329" s="1"/>
  <c r="AF19" i="329"/>
  <c r="AF21" i="329" s="1"/>
  <c r="AE19" i="329"/>
  <c r="AE21" i="329" s="1"/>
  <c r="AD19" i="329"/>
  <c r="AD21" i="329" s="1"/>
  <c r="AC19" i="329"/>
  <c r="AC21" i="329" s="1"/>
  <c r="AC22" i="329" s="1"/>
  <c r="AB19" i="329"/>
  <c r="AB21" i="329" s="1"/>
  <c r="AA19" i="329"/>
  <c r="AA21" i="329" s="1"/>
  <c r="Z19" i="329"/>
  <c r="Z21" i="329" s="1"/>
  <c r="Y19" i="329"/>
  <c r="Y21" i="329" s="1"/>
  <c r="X19" i="329"/>
  <c r="X21" i="329" s="1"/>
  <c r="W19" i="329"/>
  <c r="W21" i="329" s="1"/>
  <c r="V19" i="329"/>
  <c r="V21" i="329" s="1"/>
  <c r="R19" i="329"/>
  <c r="M19" i="329"/>
  <c r="M21" i="329" s="1"/>
  <c r="L19" i="329"/>
  <c r="L21" i="329" s="1"/>
  <c r="K19" i="329"/>
  <c r="N19" i="329" s="1"/>
  <c r="J19" i="329"/>
  <c r="F19" i="329"/>
  <c r="U18" i="329"/>
  <c r="AG18" i="329" s="1"/>
  <c r="T18" i="329"/>
  <c r="S18" i="329"/>
  <c r="R18" i="329"/>
  <c r="Q18" i="329"/>
  <c r="AC18" i="329" s="1"/>
  <c r="P18" i="329"/>
  <c r="O18" i="329"/>
  <c r="J18" i="329"/>
  <c r="I18" i="329"/>
  <c r="H18" i="329"/>
  <c r="G18" i="329"/>
  <c r="F18" i="329"/>
  <c r="E18" i="329"/>
  <c r="D18" i="329"/>
  <c r="C18" i="329"/>
  <c r="AH17" i="329"/>
  <c r="AG17" i="329"/>
  <c r="AF17" i="329"/>
  <c r="AE17" i="329"/>
  <c r="AD17" i="329"/>
  <c r="AC17" i="329"/>
  <c r="AB17" i="329"/>
  <c r="AA17" i="329"/>
  <c r="Z17" i="329"/>
  <c r="Y17" i="329"/>
  <c r="AK17" i="329" s="1"/>
  <c r="X17" i="329"/>
  <c r="W17" i="329"/>
  <c r="V17" i="329"/>
  <c r="R17" i="329"/>
  <c r="M17" i="329"/>
  <c r="L17" i="329"/>
  <c r="AJ17" i="329" s="1"/>
  <c r="K17" i="329"/>
  <c r="AI17" i="329" s="1"/>
  <c r="AL17" i="329" s="1"/>
  <c r="J17" i="329"/>
  <c r="F17" i="329"/>
  <c r="AH16" i="329"/>
  <c r="AG16" i="329"/>
  <c r="AF16" i="329"/>
  <c r="AE16" i="329"/>
  <c r="AD16" i="329"/>
  <c r="AC16" i="329"/>
  <c r="AB16" i="329"/>
  <c r="AA16" i="329"/>
  <c r="Z16" i="329"/>
  <c r="Y16" i="329"/>
  <c r="AK16" i="329" s="1"/>
  <c r="X16" i="329"/>
  <c r="W16" i="329"/>
  <c r="V16" i="329"/>
  <c r="R16" i="329"/>
  <c r="M16" i="329"/>
  <c r="L16" i="329"/>
  <c r="AJ16" i="329" s="1"/>
  <c r="K16" i="329"/>
  <c r="AI16" i="329" s="1"/>
  <c r="J16" i="329"/>
  <c r="F16" i="329"/>
  <c r="AH15" i="329"/>
  <c r="AH18" i="329" s="1"/>
  <c r="AG15" i="329"/>
  <c r="AF15" i="329"/>
  <c r="AF18" i="329" s="1"/>
  <c r="AE15" i="329"/>
  <c r="AE18" i="329" s="1"/>
  <c r="AD15" i="329"/>
  <c r="AD18" i="329" s="1"/>
  <c r="AC15" i="329"/>
  <c r="AB15" i="329"/>
  <c r="AB18" i="329" s="1"/>
  <c r="AA15" i="329"/>
  <c r="AA18" i="329" s="1"/>
  <c r="Z15" i="329"/>
  <c r="Z18" i="329" s="1"/>
  <c r="Y15" i="329"/>
  <c r="Y18" i="329" s="1"/>
  <c r="X15" i="329"/>
  <c r="X18" i="329" s="1"/>
  <c r="W15" i="329"/>
  <c r="W18" i="329" s="1"/>
  <c r="V15" i="329"/>
  <c r="V18" i="329" s="1"/>
  <c r="R15" i="329"/>
  <c r="M15" i="329"/>
  <c r="M18" i="329" s="1"/>
  <c r="L15" i="329"/>
  <c r="L18" i="329" s="1"/>
  <c r="K15" i="329"/>
  <c r="K18" i="329" s="1"/>
  <c r="J15" i="329"/>
  <c r="F15" i="329"/>
  <c r="U14" i="329"/>
  <c r="T14" i="329"/>
  <c r="S14" i="329"/>
  <c r="R14" i="329"/>
  <c r="Q14" i="329"/>
  <c r="P14" i="329"/>
  <c r="O14" i="329"/>
  <c r="J14" i="329"/>
  <c r="I14" i="329"/>
  <c r="H14" i="329"/>
  <c r="G14" i="329"/>
  <c r="F14" i="329"/>
  <c r="E14" i="329"/>
  <c r="D14" i="329"/>
  <c r="C14" i="329"/>
  <c r="AH13" i="329"/>
  <c r="AG13" i="329"/>
  <c r="AF13" i="329"/>
  <c r="AE13" i="329"/>
  <c r="AD13" i="329"/>
  <c r="AC13" i="329"/>
  <c r="AB13" i="329"/>
  <c r="AA13" i="329"/>
  <c r="Z13" i="329"/>
  <c r="Y13" i="329"/>
  <c r="AK13" i="329" s="1"/>
  <c r="X13" i="329"/>
  <c r="W13" i="329"/>
  <c r="V13" i="329"/>
  <c r="R13" i="329"/>
  <c r="M13" i="329"/>
  <c r="L13" i="329"/>
  <c r="AJ13" i="329" s="1"/>
  <c r="K13" i="329"/>
  <c r="N13" i="329" s="1"/>
  <c r="J13" i="329"/>
  <c r="F13" i="329"/>
  <c r="AH12" i="329"/>
  <c r="AG12" i="329"/>
  <c r="AF12" i="329"/>
  <c r="AE12" i="329"/>
  <c r="AD12" i="329"/>
  <c r="AC12" i="329"/>
  <c r="AB12" i="329"/>
  <c r="AA12" i="329"/>
  <c r="Z12" i="329"/>
  <c r="Y12" i="329"/>
  <c r="AK12" i="329" s="1"/>
  <c r="X12" i="329"/>
  <c r="W12" i="329"/>
  <c r="V12" i="329"/>
  <c r="R12" i="329"/>
  <c r="M12" i="329"/>
  <c r="L12" i="329"/>
  <c r="AJ12" i="329" s="1"/>
  <c r="K12" i="329"/>
  <c r="N12" i="329" s="1"/>
  <c r="J12" i="329"/>
  <c r="F12" i="329"/>
  <c r="AH11" i="329"/>
  <c r="AG11" i="329"/>
  <c r="AF11" i="329"/>
  <c r="AE11" i="329"/>
  <c r="AD11" i="329"/>
  <c r="AC11" i="329"/>
  <c r="AB11" i="329"/>
  <c r="AA11" i="329"/>
  <c r="Z11" i="329"/>
  <c r="Y11" i="329"/>
  <c r="AK11" i="329" s="1"/>
  <c r="X11" i="329"/>
  <c r="W11" i="329"/>
  <c r="V11" i="329"/>
  <c r="R11" i="329"/>
  <c r="M11" i="329"/>
  <c r="L11" i="329"/>
  <c r="AJ11" i="329" s="1"/>
  <c r="K11" i="329"/>
  <c r="N11" i="329" s="1"/>
  <c r="J11" i="329"/>
  <c r="F11" i="329"/>
  <c r="AH10" i="329"/>
  <c r="AG10" i="329"/>
  <c r="AF10" i="329"/>
  <c r="AE10" i="329"/>
  <c r="AD10" i="329"/>
  <c r="AC10" i="329"/>
  <c r="AB10" i="329"/>
  <c r="AA10" i="329"/>
  <c r="Z10" i="329"/>
  <c r="Y10" i="329"/>
  <c r="AK10" i="329" s="1"/>
  <c r="X10" i="329"/>
  <c r="W10" i="329"/>
  <c r="V10" i="329"/>
  <c r="R10" i="329"/>
  <c r="M10" i="329"/>
  <c r="L10" i="329"/>
  <c r="AJ10" i="329" s="1"/>
  <c r="K10" i="329"/>
  <c r="N10" i="329" s="1"/>
  <c r="J10" i="329"/>
  <c r="F10" i="329"/>
  <c r="AH9" i="329"/>
  <c r="AH14" i="329" s="1"/>
  <c r="AG9" i="329"/>
  <c r="AG14" i="329" s="1"/>
  <c r="AF9" i="329"/>
  <c r="AF14" i="329" s="1"/>
  <c r="AE9" i="329"/>
  <c r="AE14" i="329" s="1"/>
  <c r="AD9" i="329"/>
  <c r="AD14" i="329" s="1"/>
  <c r="AC9" i="329"/>
  <c r="AC14" i="329" s="1"/>
  <c r="AB9" i="329"/>
  <c r="AB14" i="329" s="1"/>
  <c r="AA9" i="329"/>
  <c r="AA14" i="329" s="1"/>
  <c r="Z9" i="329"/>
  <c r="Z14" i="329" s="1"/>
  <c r="Y9" i="329"/>
  <c r="Y14" i="329" s="1"/>
  <c r="X9" i="329"/>
  <c r="X14" i="329" s="1"/>
  <c r="W9" i="329"/>
  <c r="W14" i="329" s="1"/>
  <c r="V9" i="329"/>
  <c r="V14" i="329" s="1"/>
  <c r="R9" i="329"/>
  <c r="M9" i="329"/>
  <c r="M14" i="329" s="1"/>
  <c r="L9" i="329"/>
  <c r="L14" i="329" s="1"/>
  <c r="K9" i="329"/>
  <c r="N9" i="329" s="1"/>
  <c r="N14" i="329" s="1"/>
  <c r="J9" i="329"/>
  <c r="F9" i="329"/>
  <c r="Y60" i="328"/>
  <c r="X60" i="328"/>
  <c r="W60" i="328"/>
  <c r="Z60" i="328" s="1"/>
  <c r="V60" i="328"/>
  <c r="R60" i="328"/>
  <c r="I60" i="328"/>
  <c r="AG60" i="328" s="1"/>
  <c r="H60" i="328"/>
  <c r="G60" i="328"/>
  <c r="E60" i="328"/>
  <c r="AC60" i="328" s="1"/>
  <c r="D60" i="328"/>
  <c r="AB60" i="328" s="1"/>
  <c r="C60" i="328"/>
  <c r="AA60" i="328" s="1"/>
  <c r="AG59" i="328"/>
  <c r="AC59" i="328"/>
  <c r="Y59" i="328"/>
  <c r="U59" i="328"/>
  <c r="T59" i="328"/>
  <c r="Q59" i="328"/>
  <c r="P59" i="328"/>
  <c r="I59" i="328"/>
  <c r="H59" i="328"/>
  <c r="E59" i="328"/>
  <c r="D59" i="328"/>
  <c r="AJ58" i="328"/>
  <c r="AF58" i="328"/>
  <c r="AE58" i="328"/>
  <c r="AH58" i="328" s="1"/>
  <c r="AD58" i="328"/>
  <c r="AB58" i="328"/>
  <c r="AA58" i="328"/>
  <c r="Z58" i="328"/>
  <c r="Y58" i="328"/>
  <c r="X58" i="328"/>
  <c r="W58" i="328"/>
  <c r="V58" i="328"/>
  <c r="R58" i="328"/>
  <c r="M58" i="328"/>
  <c r="L58" i="328"/>
  <c r="K58" i="328"/>
  <c r="AI58" i="328" s="1"/>
  <c r="J58" i="328"/>
  <c r="F58" i="328"/>
  <c r="AH57" i="328"/>
  <c r="AG57" i="328"/>
  <c r="AF57" i="328"/>
  <c r="AE57" i="328"/>
  <c r="AD57" i="328"/>
  <c r="AC57" i="328"/>
  <c r="AB57" i="328"/>
  <c r="AA57" i="328"/>
  <c r="Z57" i="328"/>
  <c r="Y57" i="328"/>
  <c r="AK57" i="328" s="1"/>
  <c r="AK59" i="328" s="1"/>
  <c r="X57" i="328"/>
  <c r="AJ57" i="328" s="1"/>
  <c r="W57" i="328"/>
  <c r="AI57" i="328" s="1"/>
  <c r="V57" i="328"/>
  <c r="R57" i="328"/>
  <c r="M57" i="328"/>
  <c r="L57" i="328"/>
  <c r="K57" i="328"/>
  <c r="J57" i="328"/>
  <c r="F57" i="328"/>
  <c r="AK56" i="328"/>
  <c r="AG56" i="328"/>
  <c r="AC56" i="328"/>
  <c r="Y56" i="328"/>
  <c r="V56" i="328"/>
  <c r="V59" i="328" s="1"/>
  <c r="V53" i="328" s="1"/>
  <c r="U56" i="328"/>
  <c r="T56" i="328"/>
  <c r="S56" i="328"/>
  <c r="S59" i="328" s="1"/>
  <c r="R56" i="328"/>
  <c r="R59" i="328" s="1"/>
  <c r="R53" i="328" s="1"/>
  <c r="Q56" i="328"/>
  <c r="P56" i="328"/>
  <c r="O56" i="328"/>
  <c r="O59" i="328" s="1"/>
  <c r="I56" i="328"/>
  <c r="H56" i="328"/>
  <c r="G56" i="328"/>
  <c r="G59" i="328" s="1"/>
  <c r="E56" i="328"/>
  <c r="D56" i="328"/>
  <c r="C56" i="328"/>
  <c r="C59" i="328" s="1"/>
  <c r="AF55" i="328"/>
  <c r="AE55" i="328"/>
  <c r="AH55" i="328" s="1"/>
  <c r="AH56" i="328" s="1"/>
  <c r="AH59" i="328" s="1"/>
  <c r="AB55" i="328"/>
  <c r="AA55" i="328"/>
  <c r="AD55" i="328" s="1"/>
  <c r="Y55" i="328"/>
  <c r="X55" i="328"/>
  <c r="W55" i="328"/>
  <c r="V55" i="328"/>
  <c r="R55" i="328"/>
  <c r="M55" i="328"/>
  <c r="L55" i="328"/>
  <c r="AJ55" i="328" s="1"/>
  <c r="K55" i="328"/>
  <c r="J55" i="328"/>
  <c r="F55" i="328"/>
  <c r="F56" i="328" s="1"/>
  <c r="F59" i="328" s="1"/>
  <c r="AH54" i="328"/>
  <c r="AF54" i="328"/>
  <c r="AE54" i="328"/>
  <c r="AE56" i="328" s="1"/>
  <c r="AE59" i="328" s="1"/>
  <c r="AB54" i="328"/>
  <c r="AB56" i="328" s="1"/>
  <c r="AB59" i="328" s="1"/>
  <c r="AA54" i="328"/>
  <c r="AA56" i="328" s="1"/>
  <c r="AA59" i="328" s="1"/>
  <c r="Y54" i="328"/>
  <c r="X54" i="328"/>
  <c r="W54" i="328"/>
  <c r="Z54" i="328" s="1"/>
  <c r="V54" i="328"/>
  <c r="R54" i="328"/>
  <c r="N54" i="328"/>
  <c r="M54" i="328"/>
  <c r="M56" i="328" s="1"/>
  <c r="M59" i="328" s="1"/>
  <c r="L54" i="328"/>
  <c r="L56" i="328" s="1"/>
  <c r="L59" i="328" s="1"/>
  <c r="K54" i="328"/>
  <c r="K56" i="328" s="1"/>
  <c r="K59" i="328" s="1"/>
  <c r="J54" i="328"/>
  <c r="J56" i="328" s="1"/>
  <c r="J59" i="328" s="1"/>
  <c r="F54" i="328"/>
  <c r="AL51" i="328"/>
  <c r="AH51" i="328"/>
  <c r="AD51" i="328"/>
  <c r="Z51" i="328"/>
  <c r="V51" i="328"/>
  <c r="R51" i="328"/>
  <c r="J51" i="328"/>
  <c r="F51" i="328"/>
  <c r="AG44" i="328"/>
  <c r="AF44" i="328"/>
  <c r="AE44" i="328"/>
  <c r="AC44" i="328"/>
  <c r="AB44" i="328"/>
  <c r="AA44" i="328"/>
  <c r="Y44" i="328"/>
  <c r="X44" i="328"/>
  <c r="AJ44" i="328" s="1"/>
  <c r="W44" i="328"/>
  <c r="AI44" i="328" s="1"/>
  <c r="V44" i="328"/>
  <c r="R44" i="328"/>
  <c r="N44" i="328"/>
  <c r="M44" i="328"/>
  <c r="AK44" i="328" s="1"/>
  <c r="L44" i="328"/>
  <c r="K44" i="328"/>
  <c r="J44" i="328"/>
  <c r="AH44" i="328" s="1"/>
  <c r="F44" i="328"/>
  <c r="AD44" i="328" s="1"/>
  <c r="AG43" i="328"/>
  <c r="AF43" i="328"/>
  <c r="AE43" i="328"/>
  <c r="AC43" i="328"/>
  <c r="AB43" i="328"/>
  <c r="AA43" i="328"/>
  <c r="Y43" i="328"/>
  <c r="X43" i="328"/>
  <c r="W43" i="328"/>
  <c r="V43" i="328"/>
  <c r="R43" i="328"/>
  <c r="N43" i="328"/>
  <c r="M43" i="328"/>
  <c r="L43" i="328"/>
  <c r="K43" i="328"/>
  <c r="J43" i="328"/>
  <c r="F43" i="328"/>
  <c r="AJ42" i="328"/>
  <c r="X42" i="328"/>
  <c r="U42" i="328"/>
  <c r="T42" i="328"/>
  <c r="S42" i="328"/>
  <c r="Q42" i="328"/>
  <c r="P42" i="328"/>
  <c r="O42" i="328"/>
  <c r="L42" i="328"/>
  <c r="K42" i="328"/>
  <c r="I42" i="328"/>
  <c r="H42" i="328"/>
  <c r="G42" i="328"/>
  <c r="E42" i="328"/>
  <c r="D42" i="328"/>
  <c r="C42" i="328"/>
  <c r="AJ41" i="328"/>
  <c r="AG41" i="328"/>
  <c r="AG42" i="328" s="1"/>
  <c r="AF41" i="328"/>
  <c r="AF42" i="328" s="1"/>
  <c r="AE41" i="328"/>
  <c r="AE42" i="328" s="1"/>
  <c r="AC41" i="328"/>
  <c r="AC42" i="328" s="1"/>
  <c r="AB41" i="328"/>
  <c r="AB42" i="328" s="1"/>
  <c r="AA41" i="328"/>
  <c r="AA42" i="328" s="1"/>
  <c r="Y41" i="328"/>
  <c r="Y42" i="328" s="1"/>
  <c r="X41" i="328"/>
  <c r="W41" i="328"/>
  <c r="V41" i="328"/>
  <c r="V42" i="328" s="1"/>
  <c r="R41" i="328"/>
  <c r="R42" i="328" s="1"/>
  <c r="M41" i="328"/>
  <c r="L41" i="328"/>
  <c r="K41" i="328"/>
  <c r="J41" i="328"/>
  <c r="F41" i="328"/>
  <c r="AG40" i="328"/>
  <c r="AF40" i="328"/>
  <c r="AE40" i="328"/>
  <c r="AC40" i="328"/>
  <c r="AB40" i="328"/>
  <c r="AA40" i="328"/>
  <c r="Y40" i="328"/>
  <c r="X40" i="328"/>
  <c r="AJ40" i="328" s="1"/>
  <c r="W40" i="328"/>
  <c r="V40" i="328"/>
  <c r="R40" i="328"/>
  <c r="M40" i="328"/>
  <c r="N40" i="328" s="1"/>
  <c r="L40" i="328"/>
  <c r="K40" i="328"/>
  <c r="J40" i="328"/>
  <c r="F40" i="328"/>
  <c r="AJ39" i="328"/>
  <c r="AG39" i="328"/>
  <c r="AF39" i="328"/>
  <c r="AE39" i="328"/>
  <c r="AC39" i="328"/>
  <c r="AB39" i="328"/>
  <c r="AA39" i="328"/>
  <c r="Y39" i="328"/>
  <c r="X39" i="328"/>
  <c r="W39" i="328"/>
  <c r="V39" i="328"/>
  <c r="R39" i="328"/>
  <c r="M39" i="328"/>
  <c r="N39" i="328" s="1"/>
  <c r="L39" i="328"/>
  <c r="K39" i="328"/>
  <c r="J39" i="328"/>
  <c r="F39" i="328"/>
  <c r="AJ38" i="328"/>
  <c r="AI38" i="328"/>
  <c r="AG38" i="328"/>
  <c r="AF38" i="328"/>
  <c r="AE38" i="328"/>
  <c r="AC38" i="328"/>
  <c r="AB38" i="328"/>
  <c r="AA38" i="328"/>
  <c r="AD38" i="328" s="1"/>
  <c r="Y38" i="328"/>
  <c r="AK38" i="328" s="1"/>
  <c r="X38" i="328"/>
  <c r="W38" i="328"/>
  <c r="V38" i="328"/>
  <c r="R38" i="328"/>
  <c r="N38" i="328"/>
  <c r="M38" i="328"/>
  <c r="L38" i="328"/>
  <c r="K38" i="328"/>
  <c r="J38" i="328"/>
  <c r="F38" i="328"/>
  <c r="AJ37" i="328"/>
  <c r="AG37" i="328"/>
  <c r="AF37" i="328"/>
  <c r="AE37" i="328"/>
  <c r="AH37" i="328" s="1"/>
  <c r="AC37" i="328"/>
  <c r="AB37" i="328"/>
  <c r="AA37" i="328"/>
  <c r="Y37" i="328"/>
  <c r="AK37" i="328" s="1"/>
  <c r="X37" i="328"/>
  <c r="W37" i="328"/>
  <c r="V37" i="328"/>
  <c r="R37" i="328"/>
  <c r="M37" i="328"/>
  <c r="L37" i="328"/>
  <c r="J37" i="328"/>
  <c r="G37" i="328"/>
  <c r="F37" i="328"/>
  <c r="AB35" i="328"/>
  <c r="X35" i="328"/>
  <c r="U35" i="328"/>
  <c r="T35" i="328"/>
  <c r="S35" i="328"/>
  <c r="Q35" i="328"/>
  <c r="P35" i="328"/>
  <c r="O35" i="328"/>
  <c r="M35" i="328"/>
  <c r="L35" i="328"/>
  <c r="I35" i="328"/>
  <c r="H35" i="328"/>
  <c r="E35" i="328"/>
  <c r="D35" i="328"/>
  <c r="C35" i="328"/>
  <c r="AG34" i="328"/>
  <c r="AF34" i="328"/>
  <c r="AF35" i="328" s="1"/>
  <c r="AC34" i="328"/>
  <c r="AB34" i="328"/>
  <c r="AA34" i="328"/>
  <c r="AD34" i="328" s="1"/>
  <c r="Y34" i="328"/>
  <c r="AK34" i="328" s="1"/>
  <c r="X34" i="328"/>
  <c r="AJ34" i="328" s="1"/>
  <c r="W34" i="328"/>
  <c r="V34" i="328"/>
  <c r="R34" i="328"/>
  <c r="M34" i="328"/>
  <c r="L34" i="328"/>
  <c r="K34" i="328"/>
  <c r="N34" i="328" s="1"/>
  <c r="J34" i="328"/>
  <c r="G34" i="328"/>
  <c r="G35" i="328" s="1"/>
  <c r="F34" i="328"/>
  <c r="AG33" i="328"/>
  <c r="AH33" i="328" s="1"/>
  <c r="AF33" i="328"/>
  <c r="AE33" i="328"/>
  <c r="AC33" i="328"/>
  <c r="AD33" i="328" s="1"/>
  <c r="AB33" i="328"/>
  <c r="AA33" i="328"/>
  <c r="Y33" i="328"/>
  <c r="X33" i="328"/>
  <c r="AJ33" i="328" s="1"/>
  <c r="W33" i="328"/>
  <c r="AI33" i="328" s="1"/>
  <c r="V33" i="328"/>
  <c r="R33" i="328"/>
  <c r="M33" i="328"/>
  <c r="L33" i="328"/>
  <c r="K33" i="328"/>
  <c r="J33" i="328"/>
  <c r="F33" i="328"/>
  <c r="AG32" i="328"/>
  <c r="AH32" i="328" s="1"/>
  <c r="AF32" i="328"/>
  <c r="AE32" i="328"/>
  <c r="AC32" i="328"/>
  <c r="AC35" i="328" s="1"/>
  <c r="AB32" i="328"/>
  <c r="AA32" i="328"/>
  <c r="Y32" i="328"/>
  <c r="AK32" i="328" s="1"/>
  <c r="X32" i="328"/>
  <c r="AJ32" i="328" s="1"/>
  <c r="W32" i="328"/>
  <c r="V32" i="328"/>
  <c r="R32" i="328"/>
  <c r="M32" i="328"/>
  <c r="L32" i="328"/>
  <c r="K32" i="328"/>
  <c r="N32" i="328" s="1"/>
  <c r="J32" i="328"/>
  <c r="F32" i="328"/>
  <c r="AK31" i="328"/>
  <c r="AH31" i="328"/>
  <c r="AG31" i="328"/>
  <c r="AG35" i="328" s="1"/>
  <c r="AF31" i="328"/>
  <c r="AE31" i="328"/>
  <c r="AD31" i="328"/>
  <c r="AC31" i="328"/>
  <c r="AB31" i="328"/>
  <c r="AA31" i="328"/>
  <c r="AA35" i="328" s="1"/>
  <c r="Z31" i="328"/>
  <c r="Y31" i="328"/>
  <c r="Y35" i="328" s="1"/>
  <c r="X31" i="328"/>
  <c r="W31" i="328"/>
  <c r="W35" i="328" s="1"/>
  <c r="V31" i="328"/>
  <c r="V35" i="328" s="1"/>
  <c r="R31" i="328"/>
  <c r="M31" i="328"/>
  <c r="L31" i="328"/>
  <c r="K31" i="328"/>
  <c r="J31" i="328"/>
  <c r="J35" i="328" s="1"/>
  <c r="F31" i="328"/>
  <c r="F35" i="328" s="1"/>
  <c r="U30" i="328"/>
  <c r="E30" i="328"/>
  <c r="AH29" i="328"/>
  <c r="AG29" i="328"/>
  <c r="AG30" i="328" s="1"/>
  <c r="Z29" i="328"/>
  <c r="Y29" i="328"/>
  <c r="U29" i="328"/>
  <c r="T29" i="328"/>
  <c r="T30" i="328" s="1"/>
  <c r="S29" i="328"/>
  <c r="S30" i="328" s="1"/>
  <c r="R29" i="328"/>
  <c r="Q29" i="328"/>
  <c r="Q30" i="328" s="1"/>
  <c r="Q36" i="328" s="1"/>
  <c r="Q45" i="328" s="1"/>
  <c r="Q47" i="328" s="1"/>
  <c r="P29" i="328"/>
  <c r="P30" i="328" s="1"/>
  <c r="O29" i="328"/>
  <c r="O30" i="328" s="1"/>
  <c r="M29" i="328"/>
  <c r="J29" i="328"/>
  <c r="I29" i="328"/>
  <c r="I30" i="328" s="1"/>
  <c r="H29" i="328"/>
  <c r="H30" i="328" s="1"/>
  <c r="G29" i="328"/>
  <c r="G30" i="328" s="1"/>
  <c r="F29" i="328"/>
  <c r="F30" i="328" s="1"/>
  <c r="E29" i="328"/>
  <c r="D29" i="328"/>
  <c r="C29" i="328"/>
  <c r="C30" i="328" s="1"/>
  <c r="AK28" i="328"/>
  <c r="AK29" i="328" s="1"/>
  <c r="AH28" i="328"/>
  <c r="AG28" i="328"/>
  <c r="AF28" i="328"/>
  <c r="AF29" i="328" s="1"/>
  <c r="AF30" i="328" s="1"/>
  <c r="AE28" i="328"/>
  <c r="AE29" i="328" s="1"/>
  <c r="AD28" i="328"/>
  <c r="AD29" i="328" s="1"/>
  <c r="AC28" i="328"/>
  <c r="AC29" i="328" s="1"/>
  <c r="AC30" i="328" s="1"/>
  <c r="AB28" i="328"/>
  <c r="AB29" i="328" s="1"/>
  <c r="AB30" i="328" s="1"/>
  <c r="AA28" i="328"/>
  <c r="AA29" i="328" s="1"/>
  <c r="AA30" i="328" s="1"/>
  <c r="Z28" i="328"/>
  <c r="Y28" i="328"/>
  <c r="X28" i="328"/>
  <c r="X29" i="328" s="1"/>
  <c r="W28" i="328"/>
  <c r="W29" i="328" s="1"/>
  <c r="V28" i="328"/>
  <c r="V29" i="328" s="1"/>
  <c r="V30" i="328" s="1"/>
  <c r="R28" i="328"/>
  <c r="M28" i="328"/>
  <c r="L28" i="328"/>
  <c r="L29" i="328" s="1"/>
  <c r="K28" i="328"/>
  <c r="J28" i="328"/>
  <c r="F28" i="328"/>
  <c r="AG27" i="328"/>
  <c r="AH27" i="328" s="1"/>
  <c r="AF27" i="328"/>
  <c r="AE27" i="328"/>
  <c r="AC27" i="328"/>
  <c r="AD27" i="328" s="1"/>
  <c r="AB27" i="328"/>
  <c r="AA27" i="328"/>
  <c r="Y27" i="328"/>
  <c r="X27" i="328"/>
  <c r="AJ27" i="328" s="1"/>
  <c r="W27" i="328"/>
  <c r="AI27" i="328" s="1"/>
  <c r="V27" i="328"/>
  <c r="N27" i="328"/>
  <c r="M27" i="328"/>
  <c r="L27" i="328"/>
  <c r="K27" i="328"/>
  <c r="J27" i="328"/>
  <c r="F27" i="328"/>
  <c r="AG26" i="328"/>
  <c r="AF26" i="328"/>
  <c r="U26" i="328"/>
  <c r="T26" i="328"/>
  <c r="S26" i="328"/>
  <c r="Q26" i="328"/>
  <c r="P26" i="328"/>
  <c r="O26" i="328"/>
  <c r="M26" i="328"/>
  <c r="M30" i="328" s="1"/>
  <c r="L26" i="328"/>
  <c r="I26" i="328"/>
  <c r="H26" i="328"/>
  <c r="G26" i="328"/>
  <c r="E26" i="328"/>
  <c r="D26" i="328"/>
  <c r="C26" i="328"/>
  <c r="AG25" i="328"/>
  <c r="AF25" i="328"/>
  <c r="AE25" i="328"/>
  <c r="AE26" i="328" s="1"/>
  <c r="AC25" i="328"/>
  <c r="AC26" i="328" s="1"/>
  <c r="AB25" i="328"/>
  <c r="AB26" i="328" s="1"/>
  <c r="AA25" i="328"/>
  <c r="AA26" i="328" s="1"/>
  <c r="Y25" i="328"/>
  <c r="AK25" i="328" s="1"/>
  <c r="AK26" i="328" s="1"/>
  <c r="X25" i="328"/>
  <c r="X26" i="328" s="1"/>
  <c r="W25" i="328"/>
  <c r="V25" i="328"/>
  <c r="V26" i="328" s="1"/>
  <c r="R25" i="328"/>
  <c r="R26" i="328" s="1"/>
  <c r="M25" i="328"/>
  <c r="L25" i="328"/>
  <c r="K25" i="328"/>
  <c r="K26" i="328" s="1"/>
  <c r="J25" i="328"/>
  <c r="J26" i="328" s="1"/>
  <c r="F25" i="328"/>
  <c r="F26" i="328" s="1"/>
  <c r="AC24" i="328"/>
  <c r="AB24" i="328"/>
  <c r="AB36" i="328" s="1"/>
  <c r="U24" i="328"/>
  <c r="U36" i="328" s="1"/>
  <c r="T24" i="328"/>
  <c r="T36" i="328" s="1"/>
  <c r="T45" i="328" s="1"/>
  <c r="T47" i="328" s="1"/>
  <c r="S24" i="328"/>
  <c r="Q24" i="328"/>
  <c r="P24" i="328"/>
  <c r="P36" i="328" s="1"/>
  <c r="P45" i="328" s="1"/>
  <c r="P47" i="328" s="1"/>
  <c r="O24" i="328"/>
  <c r="M24" i="328"/>
  <c r="L24" i="328"/>
  <c r="I24" i="328"/>
  <c r="I36" i="328" s="1"/>
  <c r="I45" i="328" s="1"/>
  <c r="I47" i="328" s="1"/>
  <c r="H24" i="328"/>
  <c r="H36" i="328" s="1"/>
  <c r="H45" i="328" s="1"/>
  <c r="H47" i="328" s="1"/>
  <c r="G24" i="328"/>
  <c r="G36" i="328" s="1"/>
  <c r="E24" i="328"/>
  <c r="D24" i="328"/>
  <c r="C24" i="328"/>
  <c r="C36" i="328" s="1"/>
  <c r="AG23" i="328"/>
  <c r="AG24" i="328" s="1"/>
  <c r="AG36" i="328" s="1"/>
  <c r="AF23" i="328"/>
  <c r="AF24" i="328" s="1"/>
  <c r="AF36" i="328" s="1"/>
  <c r="AE23" i="328"/>
  <c r="AE24" i="328" s="1"/>
  <c r="AC23" i="328"/>
  <c r="AB23" i="328"/>
  <c r="AA23" i="328"/>
  <c r="AA24" i="328" s="1"/>
  <c r="AA36" i="328" s="1"/>
  <c r="Y23" i="328"/>
  <c r="Y24" i="328" s="1"/>
  <c r="X23" i="328"/>
  <c r="X24" i="328" s="1"/>
  <c r="W23" i="328"/>
  <c r="W24" i="328" s="1"/>
  <c r="V23" i="328"/>
  <c r="V24" i="328" s="1"/>
  <c r="R23" i="328"/>
  <c r="R24" i="328" s="1"/>
  <c r="M23" i="328"/>
  <c r="L23" i="328"/>
  <c r="K23" i="328"/>
  <c r="K24" i="328" s="1"/>
  <c r="J23" i="328"/>
  <c r="J24" i="328" s="1"/>
  <c r="F23" i="328"/>
  <c r="F24" i="328" s="1"/>
  <c r="AC22" i="328"/>
  <c r="AC46" i="328" s="1"/>
  <c r="AB22" i="328"/>
  <c r="AB46" i="328" s="1"/>
  <c r="X22" i="328"/>
  <c r="X46" i="328" s="1"/>
  <c r="U22" i="328"/>
  <c r="U46" i="328" s="1"/>
  <c r="T22" i="328"/>
  <c r="T46" i="328" s="1"/>
  <c r="S22" i="328"/>
  <c r="S46" i="328" s="1"/>
  <c r="Q22" i="328"/>
  <c r="Q46" i="328" s="1"/>
  <c r="P22" i="328"/>
  <c r="P46" i="328" s="1"/>
  <c r="O22" i="328"/>
  <c r="O46" i="328" s="1"/>
  <c r="M22" i="328"/>
  <c r="L22" i="328"/>
  <c r="L46" i="328" s="1"/>
  <c r="I22" i="328"/>
  <c r="I46" i="328" s="1"/>
  <c r="H22" i="328"/>
  <c r="H46" i="328" s="1"/>
  <c r="E22" i="328"/>
  <c r="E46" i="328" s="1"/>
  <c r="D22" i="328"/>
  <c r="D46" i="328" s="1"/>
  <c r="C22" i="328"/>
  <c r="C46" i="328" s="1"/>
  <c r="AG21" i="328"/>
  <c r="AF21" i="328"/>
  <c r="AF22" i="328" s="1"/>
  <c r="AF46" i="328" s="1"/>
  <c r="AC21" i="328"/>
  <c r="AB21" i="328"/>
  <c r="AA21" i="328"/>
  <c r="AA22" i="328" s="1"/>
  <c r="AA46" i="328" s="1"/>
  <c r="Y21" i="328"/>
  <c r="AK21" i="328" s="1"/>
  <c r="X21" i="328"/>
  <c r="AJ21" i="328" s="1"/>
  <c r="W21" i="328"/>
  <c r="W22" i="328" s="1"/>
  <c r="V21" i="328"/>
  <c r="R21" i="328"/>
  <c r="M21" i="328"/>
  <c r="L21" i="328"/>
  <c r="K21" i="328"/>
  <c r="AI21" i="328" s="1"/>
  <c r="J21" i="328"/>
  <c r="AH21" i="328" s="1"/>
  <c r="G21" i="328"/>
  <c r="G22" i="328" s="1"/>
  <c r="G46" i="328" s="1"/>
  <c r="F21" i="328"/>
  <c r="AG20" i="328"/>
  <c r="AG22" i="328" s="1"/>
  <c r="AG46" i="328" s="1"/>
  <c r="AF20" i="328"/>
  <c r="AE20" i="328"/>
  <c r="AC20" i="328"/>
  <c r="AB20" i="328"/>
  <c r="AA20" i="328"/>
  <c r="Y20" i="328"/>
  <c r="AK20" i="328" s="1"/>
  <c r="AK22" i="328" s="1"/>
  <c r="X20" i="328"/>
  <c r="W20" i="328"/>
  <c r="V20" i="328"/>
  <c r="V22" i="328" s="1"/>
  <c r="R20" i="328"/>
  <c r="M20" i="328"/>
  <c r="L20" i="328"/>
  <c r="AJ20" i="328" s="1"/>
  <c r="K20" i="328"/>
  <c r="J20" i="328"/>
  <c r="J22" i="328" s="1"/>
  <c r="F20" i="328"/>
  <c r="F22" i="328" s="1"/>
  <c r="Z19" i="328"/>
  <c r="Y19" i="328"/>
  <c r="R19" i="328"/>
  <c r="Q19" i="328"/>
  <c r="I19" i="328"/>
  <c r="AK18" i="328"/>
  <c r="AG18" i="328"/>
  <c r="AF18" i="328"/>
  <c r="AE18" i="328"/>
  <c r="AD18" i="328"/>
  <c r="AC18" i="328"/>
  <c r="AB18" i="328"/>
  <c r="AA18" i="328"/>
  <c r="Z18" i="328"/>
  <c r="Y18" i="328"/>
  <c r="X18" i="328"/>
  <c r="W18" i="328"/>
  <c r="V18" i="328"/>
  <c r="V19" i="328" s="1"/>
  <c r="R18" i="328"/>
  <c r="M18" i="328"/>
  <c r="L18" i="328"/>
  <c r="AJ18" i="328" s="1"/>
  <c r="K18" i="328"/>
  <c r="J18" i="328"/>
  <c r="F18" i="328"/>
  <c r="Z17" i="328"/>
  <c r="Y17" i="328"/>
  <c r="X17" i="328"/>
  <c r="X19" i="328" s="1"/>
  <c r="W17" i="328"/>
  <c r="W19" i="328" s="1"/>
  <c r="V17" i="328"/>
  <c r="U17" i="328"/>
  <c r="U19" i="328" s="1"/>
  <c r="T17" i="328"/>
  <c r="T19" i="328" s="1"/>
  <c r="S17" i="328"/>
  <c r="S19" i="328" s="1"/>
  <c r="R17" i="328"/>
  <c r="Q17" i="328"/>
  <c r="P17" i="328"/>
  <c r="P19" i="328" s="1"/>
  <c r="O17" i="328"/>
  <c r="O19" i="328" s="1"/>
  <c r="I17" i="328"/>
  <c r="H17" i="328"/>
  <c r="H19" i="328" s="1"/>
  <c r="E17" i="328"/>
  <c r="E19" i="328" s="1"/>
  <c r="D17" i="328"/>
  <c r="D19" i="328" s="1"/>
  <c r="C17" i="328"/>
  <c r="C19" i="328" s="1"/>
  <c r="AL16" i="328"/>
  <c r="AK16" i="328"/>
  <c r="AG16" i="328"/>
  <c r="AF16" i="328"/>
  <c r="AE16" i="328"/>
  <c r="AD16" i="328"/>
  <c r="AC16" i="328"/>
  <c r="AB16" i="328"/>
  <c r="AA16" i="328"/>
  <c r="N16" i="328"/>
  <c r="M16" i="328"/>
  <c r="L16" i="328"/>
  <c r="AJ16" i="328" s="1"/>
  <c r="K16" i="328"/>
  <c r="AI16" i="328" s="1"/>
  <c r="J16" i="328"/>
  <c r="AH16" i="328" s="1"/>
  <c r="F16" i="328"/>
  <c r="AJ15" i="328"/>
  <c r="AI15" i="328"/>
  <c r="AG15" i="328"/>
  <c r="AF15" i="328"/>
  <c r="AE15" i="328"/>
  <c r="AD15" i="328"/>
  <c r="AC15" i="328"/>
  <c r="AB15" i="328"/>
  <c r="AA15" i="328"/>
  <c r="M15" i="328"/>
  <c r="AK15" i="328" s="1"/>
  <c r="L15" i="328"/>
  <c r="K15" i="328"/>
  <c r="J15" i="328"/>
  <c r="AH15" i="328" s="1"/>
  <c r="F15" i="328"/>
  <c r="AG14" i="328"/>
  <c r="AF14" i="328"/>
  <c r="AE14" i="328"/>
  <c r="AC14" i="328"/>
  <c r="AB14" i="328"/>
  <c r="AA14" i="328"/>
  <c r="M14" i="328"/>
  <c r="N14" i="328" s="1"/>
  <c r="AL14" i="328" s="1"/>
  <c r="L14" i="328"/>
  <c r="AJ14" i="328" s="1"/>
  <c r="K14" i="328"/>
  <c r="AI14" i="328" s="1"/>
  <c r="J14" i="328"/>
  <c r="AH14" i="328" s="1"/>
  <c r="F14" i="328"/>
  <c r="AD14" i="328" s="1"/>
  <c r="AG13" i="328"/>
  <c r="AF13" i="328"/>
  <c r="AE13" i="328"/>
  <c r="AD13" i="328"/>
  <c r="AC13" i="328"/>
  <c r="AB13" i="328"/>
  <c r="AA13" i="328"/>
  <c r="M13" i="328"/>
  <c r="AK13" i="328" s="1"/>
  <c r="L13" i="328"/>
  <c r="AJ13" i="328" s="1"/>
  <c r="K13" i="328"/>
  <c r="N13" i="328" s="1"/>
  <c r="AL13" i="328" s="1"/>
  <c r="J13" i="328"/>
  <c r="AH13" i="328" s="1"/>
  <c r="F13" i="328"/>
  <c r="AL12" i="328"/>
  <c r="AK12" i="328"/>
  <c r="AG12" i="328"/>
  <c r="AF12" i="328"/>
  <c r="AE12" i="328"/>
  <c r="AD12" i="328"/>
  <c r="AC12" i="328"/>
  <c r="AB12" i="328"/>
  <c r="AA12" i="328"/>
  <c r="N12" i="328"/>
  <c r="M12" i="328"/>
  <c r="L12" i="328"/>
  <c r="AJ12" i="328" s="1"/>
  <c r="K12" i="328"/>
  <c r="AI12" i="328" s="1"/>
  <c r="J12" i="328"/>
  <c r="AH12" i="328" s="1"/>
  <c r="F12" i="328"/>
  <c r="AJ11" i="328"/>
  <c r="AI11" i="328"/>
  <c r="AL11" i="328" s="1"/>
  <c r="AG11" i="328"/>
  <c r="AF11" i="328"/>
  <c r="AE11" i="328"/>
  <c r="AH11" i="328" s="1"/>
  <c r="AD11" i="328"/>
  <c r="AC11" i="328"/>
  <c r="AB11" i="328"/>
  <c r="AA11" i="328"/>
  <c r="N11" i="328"/>
  <c r="M11" i="328"/>
  <c r="AK11" i="328" s="1"/>
  <c r="L11" i="328"/>
  <c r="K11" i="328"/>
  <c r="J11" i="328"/>
  <c r="G11" i="328"/>
  <c r="F11" i="328"/>
  <c r="AK10" i="328"/>
  <c r="AG10" i="328"/>
  <c r="AF10" i="328"/>
  <c r="AE10" i="328"/>
  <c r="AH10" i="328" s="1"/>
  <c r="AC10" i="328"/>
  <c r="AC17" i="328" s="1"/>
  <c r="AC19" i="328" s="1"/>
  <c r="AB10" i="328"/>
  <c r="AA10" i="328"/>
  <c r="AD10" i="328" s="1"/>
  <c r="M10" i="328"/>
  <c r="M17" i="328" s="1"/>
  <c r="M19" i="328" s="1"/>
  <c r="L10" i="328"/>
  <c r="AJ10" i="328" s="1"/>
  <c r="K10" i="328"/>
  <c r="AI10" i="328" s="1"/>
  <c r="AL10" i="328" s="1"/>
  <c r="J10" i="328"/>
  <c r="F10" i="328"/>
  <c r="F17" i="328" s="1"/>
  <c r="F19" i="328" s="1"/>
  <c r="AK9" i="328"/>
  <c r="AK17" i="328" s="1"/>
  <c r="AK19" i="328" s="1"/>
  <c r="AJ9" i="328"/>
  <c r="AG9" i="328"/>
  <c r="AG17" i="328" s="1"/>
  <c r="AG19" i="328" s="1"/>
  <c r="AF9" i="328"/>
  <c r="AF17" i="328" s="1"/>
  <c r="AF19" i="328" s="1"/>
  <c r="AC9" i="328"/>
  <c r="AB9" i="328"/>
  <c r="AB17" i="328" s="1"/>
  <c r="AB19" i="328" s="1"/>
  <c r="AA9" i="328"/>
  <c r="M9" i="328"/>
  <c r="L9" i="328"/>
  <c r="L17" i="328" s="1"/>
  <c r="G9" i="328"/>
  <c r="K9" i="328" s="1"/>
  <c r="F9" i="328"/>
  <c r="J51" i="330" l="1"/>
  <c r="I60" i="330"/>
  <c r="N51" i="328"/>
  <c r="G49" i="330"/>
  <c r="G61" i="330" s="1"/>
  <c r="I53" i="330"/>
  <c r="K60" i="328"/>
  <c r="AI60" i="328" s="1"/>
  <c r="C11" i="332"/>
  <c r="C20" i="332" s="1"/>
  <c r="C21" i="332" s="1"/>
  <c r="L60" i="328"/>
  <c r="AJ60" i="328" s="1"/>
  <c r="AE60" i="328"/>
  <c r="I51" i="330"/>
  <c r="K60" i="330"/>
  <c r="C25" i="342"/>
  <c r="B23" i="341"/>
  <c r="B33" i="341" s="1"/>
  <c r="L29" i="340"/>
  <c r="F30" i="340"/>
  <c r="G28" i="340" s="1"/>
  <c r="G30" i="340" s="1"/>
  <c r="H28" i="340" s="1"/>
  <c r="H30" i="340" s="1"/>
  <c r="I28" i="340" s="1"/>
  <c r="I30" i="340" s="1"/>
  <c r="J28" i="340" s="1"/>
  <c r="J30" i="340" s="1"/>
  <c r="K28" i="340" s="1"/>
  <c r="K30" i="340" s="1"/>
  <c r="L28" i="340" s="1"/>
  <c r="L30" i="340" s="1"/>
  <c r="M28" i="340" s="1"/>
  <c r="M30" i="340" s="1"/>
  <c r="P22" i="340"/>
  <c r="Q22" i="340" s="1"/>
  <c r="N9" i="340"/>
  <c r="P9" i="340" s="1"/>
  <c r="Q9" i="340" s="1"/>
  <c r="N13" i="340"/>
  <c r="P13" i="340" s="1"/>
  <c r="N20" i="340"/>
  <c r="P20" i="340" s="1"/>
  <c r="Q20" i="340" s="1"/>
  <c r="N6" i="340"/>
  <c r="N18" i="340"/>
  <c r="O26" i="340"/>
  <c r="F36" i="339"/>
  <c r="F38" i="339" s="1"/>
  <c r="F12" i="339"/>
  <c r="B15" i="339"/>
  <c r="B19" i="339" s="1"/>
  <c r="F19" i="339" s="1"/>
  <c r="E113" i="338"/>
  <c r="D113" i="338"/>
  <c r="E45" i="338"/>
  <c r="E43" i="338"/>
  <c r="E101" i="338"/>
  <c r="C113" i="338"/>
  <c r="C131" i="337"/>
  <c r="D108" i="337"/>
  <c r="H278" i="336"/>
  <c r="H281" i="336" s="1"/>
  <c r="H283" i="336" s="1"/>
  <c r="E115" i="336"/>
  <c r="E4" i="336"/>
  <c r="C133" i="337"/>
  <c r="D131" i="337"/>
  <c r="D261" i="336"/>
  <c r="D278" i="336" s="1"/>
  <c r="C261" i="336"/>
  <c r="B91" i="337"/>
  <c r="D115" i="336"/>
  <c r="P290" i="335"/>
  <c r="P360" i="335" s="1"/>
  <c r="P362" i="335" s="1"/>
  <c r="L113" i="335"/>
  <c r="P113" i="335" s="1"/>
  <c r="L290" i="335"/>
  <c r="L360" i="335" s="1"/>
  <c r="L362" i="335" s="1"/>
  <c r="C461" i="333"/>
  <c r="C479" i="333" s="1"/>
  <c r="G301" i="333"/>
  <c r="G461" i="333" s="1"/>
  <c r="G479" i="333" s="1"/>
  <c r="K126" i="333"/>
  <c r="P139" i="333"/>
  <c r="O185" i="333"/>
  <c r="O196" i="333" s="1"/>
  <c r="P195" i="333" s="1"/>
  <c r="L196" i="333"/>
  <c r="O153" i="333"/>
  <c r="L488" i="333"/>
  <c r="O13" i="333"/>
  <c r="O488" i="333" s="1"/>
  <c r="L141" i="333"/>
  <c r="O130" i="333"/>
  <c r="O141" i="333" s="1"/>
  <c r="O165" i="333"/>
  <c r="L299" i="333"/>
  <c r="O289" i="333"/>
  <c r="O299" i="333" s="1"/>
  <c r="O17" i="333"/>
  <c r="F301" i="333"/>
  <c r="F461" i="333" s="1"/>
  <c r="F479" i="333" s="1"/>
  <c r="K18" i="333"/>
  <c r="K32" i="333"/>
  <c r="L49" i="333"/>
  <c r="J109" i="333"/>
  <c r="L197" i="333"/>
  <c r="O186" i="333"/>
  <c r="O197" i="333" s="1"/>
  <c r="K254" i="333"/>
  <c r="L410" i="333"/>
  <c r="J417" i="333"/>
  <c r="L497" i="333"/>
  <c r="O423" i="333"/>
  <c r="O497" i="333" s="1"/>
  <c r="L495" i="333"/>
  <c r="O447" i="333"/>
  <c r="O495" i="333" s="1"/>
  <c r="M50" i="334"/>
  <c r="O38" i="334"/>
  <c r="O50" i="334" s="1"/>
  <c r="M84" i="334"/>
  <c r="O70" i="334"/>
  <c r="O84" i="334" s="1"/>
  <c r="O137" i="334"/>
  <c r="M149" i="334"/>
  <c r="L209" i="333"/>
  <c r="L254" i="333"/>
  <c r="K255" i="333"/>
  <c r="O259" i="333"/>
  <c r="O270" i="333" s="1"/>
  <c r="L287" i="333"/>
  <c r="L298" i="333"/>
  <c r="O385" i="333"/>
  <c r="K505" i="333"/>
  <c r="L396" i="333"/>
  <c r="K429" i="333"/>
  <c r="L421" i="333"/>
  <c r="L507" i="333"/>
  <c r="O427" i="333"/>
  <c r="O507" i="333" s="1"/>
  <c r="O454" i="333"/>
  <c r="O503" i="333" s="1"/>
  <c r="L503" i="333"/>
  <c r="K458" i="333"/>
  <c r="L478" i="333"/>
  <c r="L513" i="333" s="1"/>
  <c r="L521" i="333" s="1"/>
  <c r="O466" i="333"/>
  <c r="O478" i="333" s="1"/>
  <c r="O513" i="333" s="1"/>
  <c r="O521" i="333" s="1"/>
  <c r="D510" i="333"/>
  <c r="H510" i="333"/>
  <c r="N316" i="334"/>
  <c r="O12" i="333"/>
  <c r="O31" i="333"/>
  <c r="K299" i="333"/>
  <c r="K491" i="333"/>
  <c r="L391" i="333"/>
  <c r="K408" i="333"/>
  <c r="L458" i="333"/>
  <c r="O441" i="333"/>
  <c r="K482" i="333"/>
  <c r="M66" i="334"/>
  <c r="O54" i="334"/>
  <c r="M151" i="334"/>
  <c r="L161" i="334"/>
  <c r="L16" i="333"/>
  <c r="J82" i="333"/>
  <c r="L69" i="333"/>
  <c r="J81" i="333"/>
  <c r="L95" i="333"/>
  <c r="J96" i="333"/>
  <c r="J123" i="333"/>
  <c r="L128" i="333"/>
  <c r="K140" i="333"/>
  <c r="O147" i="333"/>
  <c r="L169" i="333"/>
  <c r="L171" i="333"/>
  <c r="K195" i="333"/>
  <c r="K300" i="333" s="1"/>
  <c r="K480" i="333"/>
  <c r="L9" i="333"/>
  <c r="J482" i="333"/>
  <c r="K488" i="333"/>
  <c r="L14" i="333"/>
  <c r="C511" i="333"/>
  <c r="C519" i="333" s="1"/>
  <c r="G511" i="333"/>
  <c r="G519" i="333" s="1"/>
  <c r="L23" i="333"/>
  <c r="K483" i="333"/>
  <c r="L29" i="333"/>
  <c r="O29" i="333" s="1"/>
  <c r="J486" i="333"/>
  <c r="L58" i="333"/>
  <c r="O85" i="333"/>
  <c r="O96" i="333" s="1"/>
  <c r="O100" i="333"/>
  <c r="O110" i="333" s="1"/>
  <c r="J110" i="333"/>
  <c r="K124" i="333"/>
  <c r="L140" i="333"/>
  <c r="K141" i="333"/>
  <c r="K512" i="333" s="1"/>
  <c r="O145" i="333"/>
  <c r="O154" i="333" s="1"/>
  <c r="F300" i="333"/>
  <c r="J300" i="333"/>
  <c r="L184" i="333"/>
  <c r="K196" i="333"/>
  <c r="L228" i="333"/>
  <c r="L229" i="333"/>
  <c r="L230" i="333"/>
  <c r="K253" i="333"/>
  <c r="L243" i="333"/>
  <c r="L255" i="333"/>
  <c r="O245" i="333"/>
  <c r="O255" i="333" s="1"/>
  <c r="O248" i="333"/>
  <c r="O490" i="333" s="1"/>
  <c r="L490" i="333"/>
  <c r="O258" i="333"/>
  <c r="O269" i="333" s="1"/>
  <c r="P268" i="333" s="1"/>
  <c r="O272" i="333"/>
  <c r="O283" i="333" s="1"/>
  <c r="O273" i="333"/>
  <c r="O284" i="333" s="1"/>
  <c r="P283" i="333" s="1"/>
  <c r="O274" i="333"/>
  <c r="O285" i="333" s="1"/>
  <c r="L331" i="333"/>
  <c r="O320" i="333"/>
  <c r="O331" i="333" s="1"/>
  <c r="K382" i="333"/>
  <c r="L371" i="333"/>
  <c r="O402" i="333"/>
  <c r="O407" i="333" s="1"/>
  <c r="L407" i="333"/>
  <c r="K508" i="333"/>
  <c r="L426" i="333"/>
  <c r="O438" i="333"/>
  <c r="L504" i="333"/>
  <c r="O456" i="333"/>
  <c r="O504" i="333" s="1"/>
  <c r="J478" i="333"/>
  <c r="J513" i="333" s="1"/>
  <c r="J521" i="333" s="1"/>
  <c r="I518" i="333"/>
  <c r="I516" i="333"/>
  <c r="I524" i="333" s="1"/>
  <c r="M117" i="334"/>
  <c r="O106" i="334"/>
  <c r="O117" i="334" s="1"/>
  <c r="O143" i="334"/>
  <c r="L313" i="334"/>
  <c r="M302" i="334"/>
  <c r="O81" i="333"/>
  <c r="J125" i="333"/>
  <c r="J512" i="333" s="1"/>
  <c r="J520" i="333" s="1"/>
  <c r="L115" i="333"/>
  <c r="K208" i="333"/>
  <c r="L199" i="333"/>
  <c r="K209" i="333"/>
  <c r="O298" i="333"/>
  <c r="J501" i="333"/>
  <c r="M141" i="334"/>
  <c r="O141" i="334" s="1"/>
  <c r="L147" i="334"/>
  <c r="J480" i="333"/>
  <c r="J18" i="333"/>
  <c r="L10" i="333"/>
  <c r="F511" i="333"/>
  <c r="F519" i="333" s="1"/>
  <c r="F512" i="333"/>
  <c r="F520" i="333" s="1"/>
  <c r="J32" i="333"/>
  <c r="L24" i="333"/>
  <c r="J50" i="333"/>
  <c r="L39" i="333"/>
  <c r="J48" i="333"/>
  <c r="J65" i="333"/>
  <c r="L54" i="333"/>
  <c r="J63" i="333"/>
  <c r="L170" i="333"/>
  <c r="L8" i="333"/>
  <c r="J499" i="333"/>
  <c r="K500" i="333"/>
  <c r="K526" i="333" s="1"/>
  <c r="N301" i="333"/>
  <c r="M511" i="333"/>
  <c r="M519" i="333" s="1"/>
  <c r="D512" i="333"/>
  <c r="H512" i="333"/>
  <c r="H520" i="333" s="1"/>
  <c r="M512" i="333"/>
  <c r="M520" i="333" s="1"/>
  <c r="L22" i="333"/>
  <c r="L27" i="333"/>
  <c r="K501" i="333"/>
  <c r="L37" i="333"/>
  <c r="K49" i="333"/>
  <c r="K511" i="333" s="1"/>
  <c r="K519" i="333" s="1"/>
  <c r="L42" i="333"/>
  <c r="O42" i="333" s="1"/>
  <c r="O49" i="333" s="1"/>
  <c r="L47" i="333"/>
  <c r="O47" i="333" s="1"/>
  <c r="H126" i="333"/>
  <c r="H301" i="333" s="1"/>
  <c r="H461" i="333" s="1"/>
  <c r="H479" i="333" s="1"/>
  <c r="J49" i="333"/>
  <c r="J511" i="333" s="1"/>
  <c r="J519" i="333" s="1"/>
  <c r="L52" i="333"/>
  <c r="K64" i="333"/>
  <c r="L57" i="333"/>
  <c r="O57" i="333" s="1"/>
  <c r="L62" i="333"/>
  <c r="O62" i="333" s="1"/>
  <c r="J64" i="333"/>
  <c r="L67" i="333"/>
  <c r="K81" i="333"/>
  <c r="L72" i="333"/>
  <c r="O72" i="333" s="1"/>
  <c r="L77" i="333"/>
  <c r="O77" i="333" s="1"/>
  <c r="J80" i="333"/>
  <c r="J97" i="333"/>
  <c r="L86" i="333"/>
  <c r="L92" i="333"/>
  <c r="O92" i="333" s="1"/>
  <c r="O95" i="333" s="1"/>
  <c r="J95" i="333"/>
  <c r="J111" i="333"/>
  <c r="L101" i="333"/>
  <c r="L107" i="333"/>
  <c r="O107" i="333" s="1"/>
  <c r="O109" i="333" s="1"/>
  <c r="L117" i="333"/>
  <c r="L122" i="333"/>
  <c r="O122" i="333" s="1"/>
  <c r="J124" i="333"/>
  <c r="H300" i="333"/>
  <c r="M300" i="333"/>
  <c r="M301" i="333" s="1"/>
  <c r="M461" i="333" s="1"/>
  <c r="M479" i="333" s="1"/>
  <c r="K152" i="333"/>
  <c r="L143" i="333"/>
  <c r="K153" i="333"/>
  <c r="O157" i="333"/>
  <c r="O166" i="333" s="1"/>
  <c r="P165" i="333" s="1"/>
  <c r="O158" i="333"/>
  <c r="O167" i="333" s="1"/>
  <c r="O201" i="333"/>
  <c r="O210" i="333" s="1"/>
  <c r="P208" i="333" s="1"/>
  <c r="K298" i="333"/>
  <c r="L307" i="333"/>
  <c r="O307" i="333" s="1"/>
  <c r="O316" i="333" s="1"/>
  <c r="J316" i="333"/>
  <c r="G346" i="333"/>
  <c r="K400" i="333"/>
  <c r="L386" i="333"/>
  <c r="L492" i="333"/>
  <c r="O392" i="333"/>
  <c r="O492" i="333" s="1"/>
  <c r="K399" i="333"/>
  <c r="O437" i="333"/>
  <c r="O442" i="333"/>
  <c r="F525" i="333"/>
  <c r="K490" i="333"/>
  <c r="F526" i="333"/>
  <c r="D526" i="333"/>
  <c r="D529" i="333" s="1"/>
  <c r="K503" i="333"/>
  <c r="M102" i="334"/>
  <c r="O90" i="334"/>
  <c r="O102" i="334" s="1"/>
  <c r="O270" i="334"/>
  <c r="O282" i="334" s="1"/>
  <c r="M272" i="334"/>
  <c r="L284" i="334"/>
  <c r="M291" i="334"/>
  <c r="O291" i="334" s="1"/>
  <c r="O297" i="334" s="1"/>
  <c r="H297" i="334"/>
  <c r="M295" i="334"/>
  <c r="O295" i="334" s="1"/>
  <c r="H299" i="334"/>
  <c r="J317" i="333"/>
  <c r="L305" i="333"/>
  <c r="J343" i="333"/>
  <c r="L334" i="333"/>
  <c r="J345" i="333"/>
  <c r="L336" i="333"/>
  <c r="J359" i="333"/>
  <c r="L350" i="333"/>
  <c r="L364" i="333"/>
  <c r="J498" i="333"/>
  <c r="N460" i="333"/>
  <c r="O418" i="333"/>
  <c r="J418" i="333"/>
  <c r="K428" i="333"/>
  <c r="J437" i="333"/>
  <c r="J438" i="333"/>
  <c r="K457" i="333"/>
  <c r="J477" i="333"/>
  <c r="L465" i="333"/>
  <c r="J475" i="333"/>
  <c r="E518" i="333"/>
  <c r="E516" i="333"/>
  <c r="E524" i="333" s="1"/>
  <c r="M529" i="333"/>
  <c r="I316" i="334"/>
  <c r="I484" i="334" s="1"/>
  <c r="I503" i="334" s="1"/>
  <c r="C540" i="334"/>
  <c r="C547" i="334" s="1"/>
  <c r="C557" i="334" s="1"/>
  <c r="G540" i="334"/>
  <c r="G547" i="334" s="1"/>
  <c r="G557" i="334" s="1"/>
  <c r="H34" i="334"/>
  <c r="M23" i="334"/>
  <c r="M101" i="334"/>
  <c r="O89" i="334"/>
  <c r="O101" i="334" s="1"/>
  <c r="P100" i="334" s="1"/>
  <c r="M116" i="334"/>
  <c r="O105" i="334"/>
  <c r="O116" i="334" s="1"/>
  <c r="P115" i="334" s="1"/>
  <c r="M132" i="334"/>
  <c r="O121" i="334"/>
  <c r="O132" i="334" s="1"/>
  <c r="L148" i="334"/>
  <c r="M136" i="334"/>
  <c r="L177" i="334"/>
  <c r="M167" i="334"/>
  <c r="L251" i="334"/>
  <c r="M244" i="334"/>
  <c r="O244" i="334" s="1"/>
  <c r="K270" i="333"/>
  <c r="K345" i="333"/>
  <c r="L349" i="333"/>
  <c r="J358" i="333"/>
  <c r="J366" i="333"/>
  <c r="J367" i="333"/>
  <c r="K398" i="333"/>
  <c r="K460" i="333" s="1"/>
  <c r="L405" i="333"/>
  <c r="O405" i="333" s="1"/>
  <c r="L420" i="333"/>
  <c r="L438" i="333"/>
  <c r="L440" i="333"/>
  <c r="L445" i="333"/>
  <c r="L464" i="333"/>
  <c r="J476" i="333"/>
  <c r="J494" i="333"/>
  <c r="L469" i="333"/>
  <c r="D525" i="333"/>
  <c r="H525" i="333"/>
  <c r="H526" i="333"/>
  <c r="H529" i="333" s="1"/>
  <c r="N526" i="333"/>
  <c r="N529" i="333" s="1"/>
  <c r="O14" i="334"/>
  <c r="F541" i="334"/>
  <c r="F548" i="334" s="1"/>
  <c r="F558" i="334" s="1"/>
  <c r="K541" i="334"/>
  <c r="K548" i="334" s="1"/>
  <c r="K558" i="334" s="1"/>
  <c r="E33" i="334"/>
  <c r="E36" i="334" s="1"/>
  <c r="E316" i="334" s="1"/>
  <c r="E484" i="334" s="1"/>
  <c r="E503" i="334" s="1"/>
  <c r="H22" i="334"/>
  <c r="M52" i="334"/>
  <c r="O40" i="334"/>
  <c r="O52" i="334" s="1"/>
  <c r="E133" i="334"/>
  <c r="J133" i="334"/>
  <c r="J316" i="334" s="1"/>
  <c r="J484" i="334" s="1"/>
  <c r="J503" i="334" s="1"/>
  <c r="M68" i="334"/>
  <c r="O56" i="334"/>
  <c r="O68" i="334" s="1"/>
  <c r="M86" i="334"/>
  <c r="O72" i="334"/>
  <c r="O86" i="334" s="1"/>
  <c r="M100" i="334"/>
  <c r="O88" i="334"/>
  <c r="O100" i="334" s="1"/>
  <c r="M115" i="334"/>
  <c r="O104" i="334"/>
  <c r="O115" i="334" s="1"/>
  <c r="M131" i="334"/>
  <c r="O120" i="334"/>
  <c r="O131" i="334" s="1"/>
  <c r="P130" i="334" s="1"/>
  <c r="L162" i="334"/>
  <c r="O153" i="334"/>
  <c r="O163" i="334" s="1"/>
  <c r="M163" i="334"/>
  <c r="O179" i="334"/>
  <c r="O191" i="334" s="1"/>
  <c r="H193" i="334"/>
  <c r="M181" i="334"/>
  <c r="K317" i="333"/>
  <c r="J330" i="333"/>
  <c r="L319" i="333"/>
  <c r="J332" i="333"/>
  <c r="L321" i="333"/>
  <c r="K380" i="333"/>
  <c r="L370" i="333"/>
  <c r="D511" i="333"/>
  <c r="D519" i="333" s="1"/>
  <c r="H511" i="333"/>
  <c r="H519" i="333" s="1"/>
  <c r="C512" i="333"/>
  <c r="C520" i="333" s="1"/>
  <c r="G512" i="333"/>
  <c r="G520" i="333" s="1"/>
  <c r="L257" i="333"/>
  <c r="J315" i="333"/>
  <c r="J346" i="333" s="1"/>
  <c r="L303" i="333"/>
  <c r="K316" i="333"/>
  <c r="L308" i="333"/>
  <c r="O308" i="333" s="1"/>
  <c r="L313" i="333"/>
  <c r="O313" i="333" s="1"/>
  <c r="K332" i="333"/>
  <c r="L335" i="333"/>
  <c r="L338" i="333"/>
  <c r="O338" i="333" s="1"/>
  <c r="L341" i="333"/>
  <c r="O341" i="333" s="1"/>
  <c r="J344" i="333"/>
  <c r="L357" i="333"/>
  <c r="J357" i="333"/>
  <c r="L366" i="333"/>
  <c r="C460" i="333"/>
  <c r="G460" i="333"/>
  <c r="L369" i="333"/>
  <c r="L374" i="333"/>
  <c r="L379" i="333"/>
  <c r="L384" i="333"/>
  <c r="K407" i="333"/>
  <c r="L403" i="333"/>
  <c r="L418" i="333"/>
  <c r="L437" i="333"/>
  <c r="K459" i="333"/>
  <c r="L453" i="333"/>
  <c r="L475" i="333"/>
  <c r="M510" i="333"/>
  <c r="E525" i="333"/>
  <c r="E526" i="333"/>
  <c r="E529" i="333" s="1"/>
  <c r="H18" i="334"/>
  <c r="H504" i="334"/>
  <c r="M8" i="334"/>
  <c r="H20" i="334"/>
  <c r="M10" i="334"/>
  <c r="L512" i="334"/>
  <c r="M13" i="334"/>
  <c r="C541" i="334"/>
  <c r="C548" i="334" s="1"/>
  <c r="C558" i="334" s="1"/>
  <c r="G541" i="334"/>
  <c r="G548" i="334" s="1"/>
  <c r="G558" i="334" s="1"/>
  <c r="N541" i="334"/>
  <c r="N548" i="334" s="1"/>
  <c r="O24" i="334"/>
  <c r="H513" i="334"/>
  <c r="M28" i="334"/>
  <c r="F316" i="334"/>
  <c r="L133" i="334"/>
  <c r="M51" i="334"/>
  <c r="O39" i="334"/>
  <c r="O51" i="334" s="1"/>
  <c r="P50" i="334" s="1"/>
  <c r="M67" i="334"/>
  <c r="O55" i="334"/>
  <c r="M510" i="334"/>
  <c r="O60" i="334"/>
  <c r="O510" i="334" s="1"/>
  <c r="M85" i="334"/>
  <c r="O71" i="334"/>
  <c r="O85" i="334" s="1"/>
  <c r="P84" i="334" s="1"/>
  <c r="M130" i="334"/>
  <c r="O119" i="334"/>
  <c r="O130" i="334" s="1"/>
  <c r="L149" i="334"/>
  <c r="M152" i="334"/>
  <c r="M237" i="334"/>
  <c r="O225" i="334"/>
  <c r="O237" i="334" s="1"/>
  <c r="O288" i="334"/>
  <c r="M299" i="334"/>
  <c r="N363" i="334"/>
  <c r="H360" i="334"/>
  <c r="M351" i="334"/>
  <c r="M362" i="334"/>
  <c r="O353" i="334"/>
  <c r="O362" i="334" s="1"/>
  <c r="H361" i="334"/>
  <c r="P375" i="334"/>
  <c r="F483" i="334"/>
  <c r="L531" i="334"/>
  <c r="L420" i="334"/>
  <c r="F510" i="333"/>
  <c r="N510" i="333"/>
  <c r="C526" i="333"/>
  <c r="C529" i="333" s="1"/>
  <c r="G526" i="333"/>
  <c r="G529" i="333" s="1"/>
  <c r="C504" i="334"/>
  <c r="C539" i="334" s="1"/>
  <c r="C18" i="334"/>
  <c r="C36" i="334" s="1"/>
  <c r="L18" i="334"/>
  <c r="L36" i="334" s="1"/>
  <c r="L504" i="334"/>
  <c r="L506" i="334"/>
  <c r="D540" i="334"/>
  <c r="D547" i="334" s="1"/>
  <c r="D557" i="334" s="1"/>
  <c r="H507" i="334"/>
  <c r="M27" i="334"/>
  <c r="H527" i="334"/>
  <c r="M32" i="334"/>
  <c r="M166" i="334"/>
  <c r="H191" i="334"/>
  <c r="H315" i="334" s="1"/>
  <c r="M183" i="334"/>
  <c r="O183" i="334" s="1"/>
  <c r="M199" i="334"/>
  <c r="O199" i="334" s="1"/>
  <c r="M213" i="334"/>
  <c r="M224" i="334"/>
  <c r="O240" i="334"/>
  <c r="L253" i="334"/>
  <c r="M242" i="334"/>
  <c r="M259" i="334"/>
  <c r="O259" i="334" s="1"/>
  <c r="M277" i="334"/>
  <c r="O277" i="334" s="1"/>
  <c r="L298" i="334"/>
  <c r="M287" i="334"/>
  <c r="M306" i="334"/>
  <c r="O306" i="334" s="1"/>
  <c r="H333" i="334"/>
  <c r="M336" i="334"/>
  <c r="H348" i="334"/>
  <c r="M346" i="334"/>
  <c r="O346" i="334" s="1"/>
  <c r="O526" i="334" s="1"/>
  <c r="H349" i="334"/>
  <c r="O390" i="334"/>
  <c r="M401" i="334"/>
  <c r="H401" i="334"/>
  <c r="L401" i="334"/>
  <c r="H516" i="334"/>
  <c r="M411" i="334"/>
  <c r="M415" i="334"/>
  <c r="O415" i="334" s="1"/>
  <c r="H420" i="334"/>
  <c r="J506" i="333"/>
  <c r="J526" i="333" s="1"/>
  <c r="C510" i="333"/>
  <c r="G510" i="333"/>
  <c r="M9" i="334"/>
  <c r="O12" i="334"/>
  <c r="O506" i="334" s="1"/>
  <c r="M526" i="334"/>
  <c r="J541" i="334"/>
  <c r="J548" i="334" s="1"/>
  <c r="J558" i="334" s="1"/>
  <c r="O147" i="334"/>
  <c r="C315" i="334"/>
  <c r="O175" i="334"/>
  <c r="M175" i="334"/>
  <c r="L191" i="334"/>
  <c r="M192" i="334"/>
  <c r="O180" i="334"/>
  <c r="O192" i="334" s="1"/>
  <c r="O195" i="334"/>
  <c r="O207" i="334" s="1"/>
  <c r="M207" i="334"/>
  <c r="L209" i="334"/>
  <c r="M197" i="334"/>
  <c r="L221" i="334"/>
  <c r="L540" i="334" s="1"/>
  <c r="L547" i="334" s="1"/>
  <c r="M212" i="334"/>
  <c r="O255" i="334"/>
  <c r="L268" i="334"/>
  <c r="M257" i="334"/>
  <c r="O303" i="334"/>
  <c r="O314" i="334" s="1"/>
  <c r="M314" i="334"/>
  <c r="H331" i="334"/>
  <c r="M318" i="334"/>
  <c r="M333" i="334"/>
  <c r="O320" i="334"/>
  <c r="O333" i="334" s="1"/>
  <c r="H332" i="334"/>
  <c r="O439" i="334"/>
  <c r="H451" i="334"/>
  <c r="M443" i="334"/>
  <c r="M446" i="334"/>
  <c r="O446" i="334" s="1"/>
  <c r="H450" i="334"/>
  <c r="M460" i="334"/>
  <c r="O453" i="334"/>
  <c r="O460" i="334" s="1"/>
  <c r="D539" i="334"/>
  <c r="H525" i="334"/>
  <c r="H526" i="334"/>
  <c r="E540" i="334"/>
  <c r="E547" i="334" s="1"/>
  <c r="E557" i="334" s="1"/>
  <c r="I540" i="334"/>
  <c r="I547" i="334" s="1"/>
  <c r="I557" i="334" s="1"/>
  <c r="D541" i="334"/>
  <c r="D548" i="334" s="1"/>
  <c r="D558" i="334" s="1"/>
  <c r="L513" i="334"/>
  <c r="L527" i="334"/>
  <c r="H192" i="334"/>
  <c r="H540" i="334" s="1"/>
  <c r="H547" i="334" s="1"/>
  <c r="L193" i="334"/>
  <c r="L541" i="334" s="1"/>
  <c r="L548" i="334" s="1"/>
  <c r="L208" i="334"/>
  <c r="L238" i="334"/>
  <c r="L252" i="334"/>
  <c r="L267" i="334"/>
  <c r="O312" i="334"/>
  <c r="M312" i="334"/>
  <c r="M508" i="334"/>
  <c r="O324" i="334"/>
  <c r="O508" i="334" s="1"/>
  <c r="M332" i="334"/>
  <c r="O361" i="334"/>
  <c r="M361" i="334"/>
  <c r="D483" i="334"/>
  <c r="L509" i="334"/>
  <c r="C483" i="334"/>
  <c r="M403" i="334"/>
  <c r="H418" i="334"/>
  <c r="E504" i="334"/>
  <c r="E539" i="334" s="1"/>
  <c r="H506" i="334"/>
  <c r="H512" i="334"/>
  <c r="L525" i="334"/>
  <c r="L526" i="334"/>
  <c r="D18" i="334"/>
  <c r="D36" i="334" s="1"/>
  <c r="D316" i="334" s="1"/>
  <c r="F540" i="334"/>
  <c r="F547" i="334" s="1"/>
  <c r="F557" i="334" s="1"/>
  <c r="J540" i="334"/>
  <c r="J547" i="334" s="1"/>
  <c r="J557" i="334" s="1"/>
  <c r="N540" i="334"/>
  <c r="N547" i="334" s="1"/>
  <c r="E541" i="334"/>
  <c r="E548" i="334" s="1"/>
  <c r="E558" i="334" s="1"/>
  <c r="I541" i="334"/>
  <c r="I548" i="334" s="1"/>
  <c r="I558" i="334" s="1"/>
  <c r="L192" i="334"/>
  <c r="M196" i="334"/>
  <c r="M211" i="334"/>
  <c r="L237" i="334"/>
  <c r="M226" i="334"/>
  <c r="M241" i="334"/>
  <c r="M256" i="334"/>
  <c r="M261" i="334"/>
  <c r="M271" i="334"/>
  <c r="H347" i="334"/>
  <c r="M335" i="334"/>
  <c r="M349" i="334"/>
  <c r="O337" i="334"/>
  <c r="O349" i="334" s="1"/>
  <c r="E483" i="334"/>
  <c r="I483" i="334"/>
  <c r="N483" i="334"/>
  <c r="M392" i="334"/>
  <c r="O392" i="334" s="1"/>
  <c r="L418" i="334"/>
  <c r="L483" i="334" s="1"/>
  <c r="O440" i="334"/>
  <c r="M461" i="334"/>
  <c r="O454" i="334"/>
  <c r="O461" i="334" s="1"/>
  <c r="H429" i="334"/>
  <c r="M423" i="334"/>
  <c r="O463" i="334"/>
  <c r="M518" i="334"/>
  <c r="O468" i="334"/>
  <c r="O518" i="334" s="1"/>
  <c r="H521" i="334"/>
  <c r="M470" i="334"/>
  <c r="H529" i="334"/>
  <c r="M477" i="334"/>
  <c r="H530" i="334"/>
  <c r="M479" i="334"/>
  <c r="P499" i="334"/>
  <c r="N559" i="334"/>
  <c r="I546" i="334"/>
  <c r="I544" i="334"/>
  <c r="H518" i="334"/>
  <c r="M389" i="334"/>
  <c r="M394" i="334"/>
  <c r="O394" i="334" s="1"/>
  <c r="M405" i="334"/>
  <c r="M409" i="334"/>
  <c r="O409" i="334" s="1"/>
  <c r="M413" i="334"/>
  <c r="O413" i="334" s="1"/>
  <c r="M417" i="334"/>
  <c r="O417" i="334" s="1"/>
  <c r="L429" i="334"/>
  <c r="M442" i="334"/>
  <c r="M445" i="334"/>
  <c r="M447" i="334"/>
  <c r="O447" i="334" s="1"/>
  <c r="M449" i="334"/>
  <c r="L529" i="334"/>
  <c r="F553" i="334"/>
  <c r="F552" i="334" s="1"/>
  <c r="K553" i="334"/>
  <c r="K552" i="334" s="1"/>
  <c r="H283" i="334"/>
  <c r="H298" i="334"/>
  <c r="H313" i="334"/>
  <c r="L524" i="334"/>
  <c r="L554" i="334" s="1"/>
  <c r="L532" i="334"/>
  <c r="M388" i="334"/>
  <c r="H509" i="334"/>
  <c r="M393" i="334"/>
  <c r="H533" i="334"/>
  <c r="M398" i="334"/>
  <c r="H399" i="334"/>
  <c r="H419" i="334"/>
  <c r="M404" i="334"/>
  <c r="M408" i="334"/>
  <c r="O408" i="334" s="1"/>
  <c r="H517" i="334"/>
  <c r="M412" i="334"/>
  <c r="M416" i="334"/>
  <c r="M422" i="334"/>
  <c r="M425" i="334"/>
  <c r="O425" i="334" s="1"/>
  <c r="O524" i="334" s="1"/>
  <c r="M427" i="334"/>
  <c r="O427" i="334" s="1"/>
  <c r="O532" i="334" s="1"/>
  <c r="H481" i="334"/>
  <c r="M464" i="334"/>
  <c r="M467" i="334"/>
  <c r="O467" i="334" s="1"/>
  <c r="M469" i="334"/>
  <c r="O469" i="334" s="1"/>
  <c r="M472" i="334"/>
  <c r="M474" i="334"/>
  <c r="O474" i="334" s="1"/>
  <c r="H528" i="334"/>
  <c r="M476" i="334"/>
  <c r="M480" i="334" s="1"/>
  <c r="M478" i="334"/>
  <c r="O478" i="334" s="1"/>
  <c r="H482" i="334"/>
  <c r="G544" i="334"/>
  <c r="G546" i="334"/>
  <c r="K539" i="334"/>
  <c r="C552" i="334"/>
  <c r="G552" i="334"/>
  <c r="N553" i="334"/>
  <c r="E553" i="334"/>
  <c r="E552" i="334" s="1"/>
  <c r="H523" i="334"/>
  <c r="H531" i="334"/>
  <c r="N554" i="334"/>
  <c r="H524" i="334"/>
  <c r="H532" i="334"/>
  <c r="G559" i="334"/>
  <c r="K559" i="334"/>
  <c r="D553" i="334"/>
  <c r="D552" i="334" s="1"/>
  <c r="F539" i="334"/>
  <c r="J539" i="334"/>
  <c r="N539" i="334"/>
  <c r="C554" i="334"/>
  <c r="G554" i="334"/>
  <c r="K554" i="334"/>
  <c r="E22" i="331"/>
  <c r="K26" i="331"/>
  <c r="H22" i="331"/>
  <c r="I22" i="331"/>
  <c r="K9" i="331"/>
  <c r="K14" i="331" s="1"/>
  <c r="K15" i="331"/>
  <c r="K18" i="331" s="1"/>
  <c r="K19" i="331"/>
  <c r="K21" i="331" s="1"/>
  <c r="K22" i="331" s="1"/>
  <c r="C36" i="330"/>
  <c r="C45" i="330" s="1"/>
  <c r="C47" i="330" s="1"/>
  <c r="C50" i="330" s="1"/>
  <c r="C49" i="330" s="1"/>
  <c r="C61" i="330" s="1"/>
  <c r="H36" i="330"/>
  <c r="H45" i="330" s="1"/>
  <c r="H47" i="330" s="1"/>
  <c r="H50" i="330" s="1"/>
  <c r="H49" i="330" s="1"/>
  <c r="H61" i="330" s="1"/>
  <c r="I45" i="330"/>
  <c r="I47" i="330" s="1"/>
  <c r="I50" i="330" s="1"/>
  <c r="I49" i="330" s="1"/>
  <c r="I61" i="330" s="1"/>
  <c r="D36" i="330"/>
  <c r="D45" i="330" s="1"/>
  <c r="D47" i="330" s="1"/>
  <c r="D50" i="330" s="1"/>
  <c r="D49" i="330" s="1"/>
  <c r="D61" i="330" s="1"/>
  <c r="K56" i="330"/>
  <c r="K59" i="330" s="1"/>
  <c r="K53" i="330" s="1"/>
  <c r="E59" i="330"/>
  <c r="E53" i="330" s="1"/>
  <c r="J45" i="330"/>
  <c r="J47" i="330" s="1"/>
  <c r="J50" i="330" s="1"/>
  <c r="J49" i="330" s="1"/>
  <c r="K17" i="330"/>
  <c r="K19" i="330" s="1"/>
  <c r="E46" i="330"/>
  <c r="F36" i="330"/>
  <c r="F45" i="330" s="1"/>
  <c r="F47" i="330" s="1"/>
  <c r="F50" i="330" s="1"/>
  <c r="F49" i="330" s="1"/>
  <c r="E35" i="330"/>
  <c r="E36" i="330" s="1"/>
  <c r="E45" i="330" s="1"/>
  <c r="E47" i="330" s="1"/>
  <c r="E50" i="330" s="1"/>
  <c r="E49" i="330" s="1"/>
  <c r="H29" i="330"/>
  <c r="H30" i="330" s="1"/>
  <c r="F59" i="330"/>
  <c r="F53" i="330" s="1"/>
  <c r="K41" i="330"/>
  <c r="K42" i="330" s="1"/>
  <c r="E17" i="330"/>
  <c r="E19" i="330" s="1"/>
  <c r="K31" i="330"/>
  <c r="K35" i="330" s="1"/>
  <c r="K43" i="330"/>
  <c r="J60" i="330"/>
  <c r="J53" i="330" s="1"/>
  <c r="K25" i="330"/>
  <c r="K26" i="330" s="1"/>
  <c r="K30" i="330" s="1"/>
  <c r="K36" i="330" s="1"/>
  <c r="K20" i="330"/>
  <c r="K22" i="330" s="1"/>
  <c r="K54" i="330"/>
  <c r="N21" i="329"/>
  <c r="N22" i="329" s="1"/>
  <c r="V22" i="329"/>
  <c r="Z22" i="329"/>
  <c r="AD22" i="329"/>
  <c r="AH22" i="329"/>
  <c r="L22" i="329"/>
  <c r="W22" i="329"/>
  <c r="AA22" i="329"/>
  <c r="AE22" i="329"/>
  <c r="AL25" i="329"/>
  <c r="M22" i="329"/>
  <c r="X22" i="329"/>
  <c r="AB22" i="329"/>
  <c r="AF22" i="329"/>
  <c r="AK18" i="329"/>
  <c r="AL16" i="329"/>
  <c r="Y22" i="329"/>
  <c r="AL24" i="329"/>
  <c r="AH23" i="329"/>
  <c r="AH26" i="329" s="1"/>
  <c r="AI9" i="329"/>
  <c r="AI10" i="329"/>
  <c r="AL10" i="329" s="1"/>
  <c r="AI11" i="329"/>
  <c r="AL11" i="329" s="1"/>
  <c r="AI12" i="329"/>
  <c r="AL12" i="329" s="1"/>
  <c r="AI13" i="329"/>
  <c r="AL13" i="329" s="1"/>
  <c r="K14" i="329"/>
  <c r="AI15" i="329"/>
  <c r="AI19" i="329"/>
  <c r="AI20" i="329"/>
  <c r="AL20" i="329" s="1"/>
  <c r="K21" i="329"/>
  <c r="AI23" i="329"/>
  <c r="AI26" i="329" s="1"/>
  <c r="AJ9" i="329"/>
  <c r="AJ14" i="329" s="1"/>
  <c r="N15" i="329"/>
  <c r="N18" i="329" s="1"/>
  <c r="AJ15" i="329"/>
  <c r="AJ18" i="329" s="1"/>
  <c r="N16" i="329"/>
  <c r="N17" i="329"/>
  <c r="AJ19" i="329"/>
  <c r="AJ21" i="329" s="1"/>
  <c r="N23" i="329"/>
  <c r="N26" i="329" s="1"/>
  <c r="AJ23" i="329"/>
  <c r="AJ26" i="329" s="1"/>
  <c r="AK9" i="329"/>
  <c r="AK14" i="329" s="1"/>
  <c r="AK15" i="329"/>
  <c r="AK19" i="329"/>
  <c r="AK21" i="329" s="1"/>
  <c r="AK23" i="329"/>
  <c r="AK26" i="329" s="1"/>
  <c r="K17" i="328"/>
  <c r="K19" i="328" s="1"/>
  <c r="N9" i="328"/>
  <c r="AI9" i="328"/>
  <c r="AJ22" i="328"/>
  <c r="AJ46" i="328" s="1"/>
  <c r="X36" i="328"/>
  <c r="X45" i="328" s="1"/>
  <c r="X47" i="328" s="1"/>
  <c r="Y26" i="328"/>
  <c r="Y30" i="328" s="1"/>
  <c r="Y36" i="328" s="1"/>
  <c r="Y45" i="328" s="1"/>
  <c r="Y47" i="328" s="1"/>
  <c r="X30" i="328"/>
  <c r="J30" i="328"/>
  <c r="AA17" i="328"/>
  <c r="AA19" i="328" s="1"/>
  <c r="AD9" i="328"/>
  <c r="AD17" i="328" s="1"/>
  <c r="AD19" i="328" s="1"/>
  <c r="V36" i="328"/>
  <c r="V45" i="328" s="1"/>
  <c r="V47" i="328" s="1"/>
  <c r="V50" i="328" s="1"/>
  <c r="V49" i="328" s="1"/>
  <c r="V61" i="328" s="1"/>
  <c r="AK27" i="328"/>
  <c r="AK30" i="328" s="1"/>
  <c r="Z27" i="328"/>
  <c r="F45" i="328"/>
  <c r="AG45" i="328"/>
  <c r="AG47" i="328" s="1"/>
  <c r="R22" i="328"/>
  <c r="R46" i="328" s="1"/>
  <c r="AD21" i="328"/>
  <c r="F36" i="328"/>
  <c r="U45" i="328"/>
  <c r="U47" i="328" s="1"/>
  <c r="AC36" i="328"/>
  <c r="AC45" i="328" s="1"/>
  <c r="AC47" i="328" s="1"/>
  <c r="R30" i="328"/>
  <c r="K35" i="328"/>
  <c r="N31" i="328"/>
  <c r="Z32" i="328"/>
  <c r="Z35" i="328" s="1"/>
  <c r="AD32" i="328"/>
  <c r="AD35" i="328" s="1"/>
  <c r="AI40" i="328"/>
  <c r="Z40" i="328"/>
  <c r="L19" i="328"/>
  <c r="N10" i="328"/>
  <c r="AI13" i="328"/>
  <c r="AK14" i="328"/>
  <c r="N15" i="328"/>
  <c r="AL15" i="328" s="1"/>
  <c r="K22" i="328"/>
  <c r="K46" i="328" s="1"/>
  <c r="N20" i="328"/>
  <c r="AI20" i="328"/>
  <c r="AI22" i="328" s="1"/>
  <c r="V46" i="328"/>
  <c r="Z20" i="328"/>
  <c r="AD20" i="328"/>
  <c r="AH20" i="328"/>
  <c r="AH22" i="328" s="1"/>
  <c r="W46" i="328"/>
  <c r="Y22" i="328"/>
  <c r="Y46" i="328" s="1"/>
  <c r="J36" i="328"/>
  <c r="N23" i="328"/>
  <c r="N24" i="328" s="1"/>
  <c r="AJ23" i="328"/>
  <c r="AJ24" i="328" s="1"/>
  <c r="E36" i="328"/>
  <c r="E45" i="328" s="1"/>
  <c r="E47" i="328" s="1"/>
  <c r="AE35" i="328"/>
  <c r="AD39" i="328"/>
  <c r="Z41" i="328"/>
  <c r="Z42" i="328" s="1"/>
  <c r="W42" i="328"/>
  <c r="AI41" i="328"/>
  <c r="AI42" i="328" s="1"/>
  <c r="G17" i="328"/>
  <c r="G19" i="328" s="1"/>
  <c r="J9" i="328"/>
  <c r="J17" i="328" s="1"/>
  <c r="J19" i="328" s="1"/>
  <c r="AB45" i="328"/>
  <c r="AB47" i="328" s="1"/>
  <c r="AE9" i="328"/>
  <c r="AJ17" i="328"/>
  <c r="AJ19" i="328" s="1"/>
  <c r="N18" i="328"/>
  <c r="AL18" i="328" s="1"/>
  <c r="AI18" i="328"/>
  <c r="AH18" i="328"/>
  <c r="N21" i="328"/>
  <c r="AL21" i="328" s="1"/>
  <c r="K36" i="328"/>
  <c r="AK23" i="328"/>
  <c r="AK24" i="328" s="1"/>
  <c r="M36" i="328"/>
  <c r="M45" i="328" s="1"/>
  <c r="N25" i="328"/>
  <c r="N26" i="328" s="1"/>
  <c r="AJ25" i="328"/>
  <c r="AJ26" i="328" s="1"/>
  <c r="L30" i="328"/>
  <c r="L36" i="328" s="1"/>
  <c r="L45" i="328" s="1"/>
  <c r="L47" i="328" s="1"/>
  <c r="W30" i="328"/>
  <c r="W36" i="328" s="1"/>
  <c r="W45" i="328" s="1"/>
  <c r="W47" i="328" s="1"/>
  <c r="AE30" i="328"/>
  <c r="AE36" i="328" s="1"/>
  <c r="AK33" i="328"/>
  <c r="AK35" i="328" s="1"/>
  <c r="Z33" i="328"/>
  <c r="G45" i="328"/>
  <c r="G47" i="328" s="1"/>
  <c r="K37" i="328"/>
  <c r="AH38" i="328"/>
  <c r="Z39" i="328"/>
  <c r="AI39" i="328"/>
  <c r="AA45" i="328"/>
  <c r="AA47" i="328" s="1"/>
  <c r="AF45" i="328"/>
  <c r="AF47" i="328" s="1"/>
  <c r="Z21" i="328"/>
  <c r="Z23" i="328"/>
  <c r="Z24" i="328" s="1"/>
  <c r="AD23" i="328"/>
  <c r="AD24" i="328" s="1"/>
  <c r="AH23" i="328"/>
  <c r="AH24" i="328" s="1"/>
  <c r="AJ31" i="328"/>
  <c r="AJ35" i="328" s="1"/>
  <c r="AI32" i="328"/>
  <c r="AL32" i="328" s="1"/>
  <c r="N33" i="328"/>
  <c r="AI34" i="328"/>
  <c r="AL34" i="328" s="1"/>
  <c r="AD37" i="328"/>
  <c r="Z38" i="328"/>
  <c r="AH40" i="328"/>
  <c r="F42" i="328"/>
  <c r="F46" i="328" s="1"/>
  <c r="AD41" i="328"/>
  <c r="AD42" i="328" s="1"/>
  <c r="M42" i="328"/>
  <c r="M46" i="328" s="1"/>
  <c r="AK41" i="328"/>
  <c r="AK42" i="328" s="1"/>
  <c r="AK46" i="328" s="1"/>
  <c r="N41" i="328"/>
  <c r="X56" i="328"/>
  <c r="X59" i="328" s="1"/>
  <c r="AJ54" i="328"/>
  <c r="AJ56" i="328" s="1"/>
  <c r="AJ59" i="328" s="1"/>
  <c r="AL57" i="328"/>
  <c r="M60" i="328"/>
  <c r="AE21" i="328"/>
  <c r="AE22" i="328" s="1"/>
  <c r="AE46" i="328" s="1"/>
  <c r="AI23" i="328"/>
  <c r="C45" i="328"/>
  <c r="C47" i="328" s="1"/>
  <c r="O36" i="328"/>
  <c r="O45" i="328" s="1"/>
  <c r="O47" i="328" s="1"/>
  <c r="S36" i="328"/>
  <c r="S45" i="328" s="1"/>
  <c r="S47" i="328" s="1"/>
  <c r="W26" i="328"/>
  <c r="AI25" i="328"/>
  <c r="Z25" i="328"/>
  <c r="Z26" i="328" s="1"/>
  <c r="Z30" i="328" s="1"/>
  <c r="N28" i="328"/>
  <c r="N29" i="328" s="1"/>
  <c r="N30" i="328" s="1"/>
  <c r="K29" i="328"/>
  <c r="K30" i="328" s="1"/>
  <c r="D30" i="328"/>
  <c r="D36" i="328" s="1"/>
  <c r="D45" i="328" s="1"/>
  <c r="D47" i="328" s="1"/>
  <c r="R35" i="328"/>
  <c r="R36" i="328" s="1"/>
  <c r="R45" i="328" s="1"/>
  <c r="R47" i="328" s="1"/>
  <c r="R50" i="328" s="1"/>
  <c r="R49" i="328" s="1"/>
  <c r="R61" i="328" s="1"/>
  <c r="Z37" i="328"/>
  <c r="AL38" i="328"/>
  <c r="AK39" i="328"/>
  <c r="AH39" i="328"/>
  <c r="AD40" i="328"/>
  <c r="N60" i="328"/>
  <c r="AK60" i="328"/>
  <c r="AD25" i="328"/>
  <c r="AD26" i="328" s="1"/>
  <c r="AD30" i="328" s="1"/>
  <c r="AH25" i="328"/>
  <c r="AH26" i="328" s="1"/>
  <c r="AH30" i="328" s="1"/>
  <c r="AI28" i="328"/>
  <c r="AI31" i="328"/>
  <c r="Z34" i="328"/>
  <c r="AK40" i="328"/>
  <c r="J42" i="328"/>
  <c r="J46" i="328" s="1"/>
  <c r="AH41" i="328"/>
  <c r="AH42" i="328" s="1"/>
  <c r="J45" i="328"/>
  <c r="AH43" i="328"/>
  <c r="AJ43" i="328"/>
  <c r="AF56" i="328"/>
  <c r="AF59" i="328" s="1"/>
  <c r="N55" i="328"/>
  <c r="N56" i="328" s="1"/>
  <c r="N59" i="328" s="1"/>
  <c r="N57" i="328"/>
  <c r="AL58" i="328"/>
  <c r="F60" i="328"/>
  <c r="F53" i="328" s="1"/>
  <c r="AD60" i="328"/>
  <c r="AJ28" i="328"/>
  <c r="AJ29" i="328" s="1"/>
  <c r="AJ30" i="328" s="1"/>
  <c r="AE34" i="328"/>
  <c r="AH34" i="328" s="1"/>
  <c r="AH35" i="328" s="1"/>
  <c r="K45" i="328"/>
  <c r="K47" i="328" s="1"/>
  <c r="Z55" i="328"/>
  <c r="Z56" i="328" s="1"/>
  <c r="Z59" i="328" s="1"/>
  <c r="Z53" i="328" s="1"/>
  <c r="AI55" i="328"/>
  <c r="AL55" i="328" s="1"/>
  <c r="AK43" i="328"/>
  <c r="AD54" i="328"/>
  <c r="AD56" i="328" s="1"/>
  <c r="AD59" i="328" s="1"/>
  <c r="AI54" i="328"/>
  <c r="W56" i="328"/>
  <c r="W59" i="328" s="1"/>
  <c r="J60" i="328"/>
  <c r="J53" i="328" s="1"/>
  <c r="AF60" i="328"/>
  <c r="Z43" i="328"/>
  <c r="AD43" i="328"/>
  <c r="Z44" i="328"/>
  <c r="AL44" i="328" s="1"/>
  <c r="N58" i="328"/>
  <c r="AI43" i="328"/>
  <c r="AD53" i="328" l="1"/>
  <c r="N53" i="328"/>
  <c r="AH60" i="328"/>
  <c r="AH53" i="328" s="1"/>
  <c r="AL60" i="328"/>
  <c r="E61" i="330"/>
  <c r="P6" i="340"/>
  <c r="N15" i="340"/>
  <c r="P18" i="340"/>
  <c r="Q18" i="340" s="1"/>
  <c r="N26" i="340"/>
  <c r="P26" i="340" s="1"/>
  <c r="B44" i="339"/>
  <c r="F44" i="339" s="1"/>
  <c r="F46" i="339" s="1"/>
  <c r="F21" i="339"/>
  <c r="D91" i="337"/>
  <c r="B133" i="337"/>
  <c r="D133" i="337" s="1"/>
  <c r="C278" i="336"/>
  <c r="E278" i="336" s="1"/>
  <c r="E261" i="336"/>
  <c r="L558" i="334"/>
  <c r="P48" i="333"/>
  <c r="N552" i="334"/>
  <c r="M517" i="334"/>
  <c r="O412" i="334"/>
  <c r="O517" i="334" s="1"/>
  <c r="M509" i="334"/>
  <c r="O393" i="334"/>
  <c r="O509" i="334" s="1"/>
  <c r="M515" i="334"/>
  <c r="O261" i="334"/>
  <c r="O515" i="334" s="1"/>
  <c r="M418" i="334"/>
  <c r="O403" i="334"/>
  <c r="O318" i="334"/>
  <c r="O331" i="334" s="1"/>
  <c r="M331" i="334"/>
  <c r="M363" i="334" s="1"/>
  <c r="O257" i="334"/>
  <c r="O268" i="334" s="1"/>
  <c r="M268" i="334"/>
  <c r="M221" i="334"/>
  <c r="O212" i="334"/>
  <c r="O221" i="334" s="1"/>
  <c r="P220" i="334" s="1"/>
  <c r="C516" i="333"/>
  <c r="C524" i="333" s="1"/>
  <c r="C518" i="333"/>
  <c r="M516" i="334"/>
  <c r="O411" i="334"/>
  <c r="O516" i="334" s="1"/>
  <c r="O287" i="334"/>
  <c r="O298" i="334" s="1"/>
  <c r="P297" i="334" s="1"/>
  <c r="M298" i="334"/>
  <c r="O242" i="334"/>
  <c r="O253" i="334" s="1"/>
  <c r="M253" i="334"/>
  <c r="O224" i="334"/>
  <c r="O236" i="334" s="1"/>
  <c r="M236" i="334"/>
  <c r="M507" i="334"/>
  <c r="O27" i="334"/>
  <c r="O507" i="334" s="1"/>
  <c r="O553" i="334" s="1"/>
  <c r="C544" i="334"/>
  <c r="C550" i="334" s="1"/>
  <c r="C546" i="334"/>
  <c r="F516" i="333"/>
  <c r="F524" i="333" s="1"/>
  <c r="F518" i="333"/>
  <c r="M513" i="334"/>
  <c r="O28" i="334"/>
  <c r="O513" i="334" s="1"/>
  <c r="N558" i="334"/>
  <c r="M518" i="333"/>
  <c r="M516" i="333"/>
  <c r="M524" i="333" s="1"/>
  <c r="O369" i="333"/>
  <c r="L380" i="333"/>
  <c r="O321" i="333"/>
  <c r="O332" i="333" s="1"/>
  <c r="P330" i="333" s="1"/>
  <c r="L332" i="333"/>
  <c r="O514" i="334"/>
  <c r="O440" i="333"/>
  <c r="L457" i="333"/>
  <c r="O364" i="333"/>
  <c r="L498" i="333"/>
  <c r="L400" i="333"/>
  <c r="O386" i="333"/>
  <c r="O117" i="333"/>
  <c r="L124" i="333"/>
  <c r="O67" i="333"/>
  <c r="O80" i="333" s="1"/>
  <c r="L80" i="333"/>
  <c r="L50" i="333"/>
  <c r="O39" i="333"/>
  <c r="O50" i="333" s="1"/>
  <c r="O24" i="333"/>
  <c r="O34" i="333" s="1"/>
  <c r="L34" i="333"/>
  <c r="O10" i="333"/>
  <c r="O20" i="333" s="1"/>
  <c r="L20" i="333"/>
  <c r="M147" i="334"/>
  <c r="O66" i="334"/>
  <c r="O133" i="334" s="1"/>
  <c r="L482" i="333"/>
  <c r="D484" i="334"/>
  <c r="D503" i="334" s="1"/>
  <c r="O336" i="334"/>
  <c r="O348" i="334" s="1"/>
  <c r="P347" i="334" s="1"/>
  <c r="M348" i="334"/>
  <c r="O213" i="334"/>
  <c r="O222" i="334" s="1"/>
  <c r="M222" i="334"/>
  <c r="M176" i="334"/>
  <c r="O166" i="334"/>
  <c r="O176" i="334" s="1"/>
  <c r="P175" i="334" s="1"/>
  <c r="O384" i="333"/>
  <c r="L398" i="333"/>
  <c r="L460" i="333" s="1"/>
  <c r="M514" i="334"/>
  <c r="O334" i="333"/>
  <c r="O343" i="333" s="1"/>
  <c r="L343" i="333"/>
  <c r="L483" i="333"/>
  <c r="O27" i="333"/>
  <c r="O483" i="333" s="1"/>
  <c r="L65" i="333"/>
  <c r="O54" i="333"/>
  <c r="O65" i="333" s="1"/>
  <c r="J35" i="333"/>
  <c r="P80" i="333"/>
  <c r="J525" i="333"/>
  <c r="J529" i="333" s="1"/>
  <c r="L182" i="333"/>
  <c r="O171" i="333"/>
  <c r="O182" i="333" s="1"/>
  <c r="O16" i="333"/>
  <c r="O499" i="333" s="1"/>
  <c r="L499" i="333"/>
  <c r="O421" i="333"/>
  <c r="O429" i="333" s="1"/>
  <c r="L429" i="333"/>
  <c r="L417" i="333"/>
  <c r="O410" i="333"/>
  <c r="O417" i="333" s="1"/>
  <c r="O254" i="333"/>
  <c r="P253" i="333" s="1"/>
  <c r="F546" i="334"/>
  <c r="F544" i="334"/>
  <c r="F550" i="334" s="1"/>
  <c r="O464" i="334"/>
  <c r="M481" i="334"/>
  <c r="O422" i="334"/>
  <c r="O428" i="334" s="1"/>
  <c r="M428" i="334"/>
  <c r="M533" i="334"/>
  <c r="O398" i="334"/>
  <c r="O533" i="334" s="1"/>
  <c r="O442" i="334"/>
  <c r="M450" i="334"/>
  <c r="M429" i="334"/>
  <c r="O423" i="334"/>
  <c r="O429" i="334" s="1"/>
  <c r="M524" i="334"/>
  <c r="M252" i="334"/>
  <c r="O241" i="334"/>
  <c r="O252" i="334" s="1"/>
  <c r="P251" i="334" s="1"/>
  <c r="M208" i="334"/>
  <c r="O196" i="334"/>
  <c r="O208" i="334" s="1"/>
  <c r="E546" i="334"/>
  <c r="E544" i="334"/>
  <c r="E550" i="334" s="1"/>
  <c r="M297" i="334"/>
  <c r="M451" i="334"/>
  <c r="O443" i="334"/>
  <c r="M162" i="334"/>
  <c r="O152" i="334"/>
  <c r="O162" i="334" s="1"/>
  <c r="P161" i="334" s="1"/>
  <c r="O67" i="334"/>
  <c r="P66" i="334" s="1"/>
  <c r="H541" i="334"/>
  <c r="H548" i="334" s="1"/>
  <c r="O453" i="333"/>
  <c r="O502" i="333" s="1"/>
  <c r="L502" i="333"/>
  <c r="O319" i="333"/>
  <c r="O330" i="333" s="1"/>
  <c r="L330" i="333"/>
  <c r="J460" i="333"/>
  <c r="O23" i="334"/>
  <c r="M34" i="334"/>
  <c r="O465" i="333"/>
  <c r="O477" i="333" s="1"/>
  <c r="L477" i="333"/>
  <c r="O272" i="334"/>
  <c r="O284" i="334" s="1"/>
  <c r="M284" i="334"/>
  <c r="L152" i="333"/>
  <c r="O143" i="333"/>
  <c r="O152" i="333" s="1"/>
  <c r="O101" i="333"/>
  <c r="O111" i="333" s="1"/>
  <c r="L111" i="333"/>
  <c r="O8" i="333"/>
  <c r="L480" i="333"/>
  <c r="L18" i="333"/>
  <c r="J510" i="333"/>
  <c r="L508" i="333"/>
  <c r="O426" i="333"/>
  <c r="O508" i="333" s="1"/>
  <c r="L382" i="333"/>
  <c r="O371" i="333"/>
  <c r="O382" i="333" s="1"/>
  <c r="P109" i="333"/>
  <c r="L19" i="333"/>
  <c r="O9" i="333"/>
  <c r="L180" i="333"/>
  <c r="O169" i="333"/>
  <c r="O180" i="333" s="1"/>
  <c r="O69" i="333"/>
  <c r="O82" i="333" s="1"/>
  <c r="L82" i="333"/>
  <c r="N546" i="334"/>
  <c r="N544" i="334"/>
  <c r="N550" i="334" s="1"/>
  <c r="M528" i="334"/>
  <c r="O476" i="334"/>
  <c r="O528" i="334" s="1"/>
  <c r="H539" i="334"/>
  <c r="L486" i="333"/>
  <c r="O58" i="333"/>
  <c r="O486" i="333" s="1"/>
  <c r="L33" i="333"/>
  <c r="O23" i="333"/>
  <c r="O33" i="333" s="1"/>
  <c r="P32" i="333" s="1"/>
  <c r="H518" i="333"/>
  <c r="H516" i="333"/>
  <c r="H524" i="333" s="1"/>
  <c r="J546" i="334"/>
  <c r="J544" i="334"/>
  <c r="J550" i="334" s="1"/>
  <c r="G550" i="334"/>
  <c r="H483" i="334"/>
  <c r="M523" i="334"/>
  <c r="O445" i="334"/>
  <c r="O523" i="334" s="1"/>
  <c r="M400" i="334"/>
  <c r="O389" i="334"/>
  <c r="O400" i="334" s="1"/>
  <c r="M529" i="334"/>
  <c r="O477" i="334"/>
  <c r="O529" i="334" s="1"/>
  <c r="M532" i="334"/>
  <c r="O335" i="334"/>
  <c r="O347" i="334" s="1"/>
  <c r="M347" i="334"/>
  <c r="M267" i="334"/>
  <c r="O256" i="334"/>
  <c r="O211" i="334"/>
  <c r="O220" i="334" s="1"/>
  <c r="M220" i="334"/>
  <c r="H553" i="334"/>
  <c r="H552" i="334" s="1"/>
  <c r="D546" i="334"/>
  <c r="D544" i="334"/>
  <c r="D550" i="334" s="1"/>
  <c r="H363" i="334"/>
  <c r="M506" i="334"/>
  <c r="L539" i="334"/>
  <c r="M20" i="334"/>
  <c r="O10" i="334"/>
  <c r="O20" i="334" s="1"/>
  <c r="O257" i="333"/>
  <c r="O268" i="333" s="1"/>
  <c r="L268" i="333"/>
  <c r="O181" i="334"/>
  <c r="O193" i="334" s="1"/>
  <c r="P191" i="334" s="1"/>
  <c r="M193" i="334"/>
  <c r="L358" i="333"/>
  <c r="O349" i="333"/>
  <c r="O358" i="333" s="1"/>
  <c r="L359" i="333"/>
  <c r="O350" i="333"/>
  <c r="O359" i="333" s="1"/>
  <c r="L63" i="333"/>
  <c r="O52" i="333"/>
  <c r="O63" i="333" s="1"/>
  <c r="L208" i="333"/>
  <c r="O199" i="333"/>
  <c r="O208" i="333" s="1"/>
  <c r="L241" i="333"/>
  <c r="O230" i="333"/>
  <c r="O241" i="333" s="1"/>
  <c r="O184" i="333"/>
  <c r="O195" i="333" s="1"/>
  <c r="L195" i="333"/>
  <c r="L109" i="333"/>
  <c r="O128" i="333"/>
  <c r="O139" i="333" s="1"/>
  <c r="L139" i="333"/>
  <c r="L64" i="333"/>
  <c r="D518" i="333"/>
  <c r="D516" i="333"/>
  <c r="D524" i="333" s="1"/>
  <c r="O399" i="333"/>
  <c r="L297" i="333"/>
  <c r="O287" i="333"/>
  <c r="O297" i="333" s="1"/>
  <c r="O500" i="333"/>
  <c r="H554" i="334"/>
  <c r="M399" i="334"/>
  <c r="M483" i="334" s="1"/>
  <c r="O388" i="334"/>
  <c r="N557" i="334"/>
  <c r="M266" i="334"/>
  <c r="O197" i="334"/>
  <c r="O209" i="334" s="1"/>
  <c r="M209" i="334"/>
  <c r="O9" i="334"/>
  <c r="O19" i="334" s="1"/>
  <c r="M19" i="334"/>
  <c r="M540" i="334" s="1"/>
  <c r="M547" i="334" s="1"/>
  <c r="M251" i="334"/>
  <c r="M527" i="334"/>
  <c r="O32" i="334"/>
  <c r="O527" i="334" s="1"/>
  <c r="L316" i="334"/>
  <c r="L484" i="334" s="1"/>
  <c r="L503" i="334" s="1"/>
  <c r="L506" i="333"/>
  <c r="O379" i="333"/>
  <c r="O506" i="333" s="1"/>
  <c r="L344" i="333"/>
  <c r="O335" i="333"/>
  <c r="O344" i="333" s="1"/>
  <c r="P343" i="333" s="1"/>
  <c r="L381" i="333"/>
  <c r="O370" i="333"/>
  <c r="M22" i="334"/>
  <c r="H33" i="334"/>
  <c r="H36" i="334" s="1"/>
  <c r="H316" i="334" s="1"/>
  <c r="H484" i="334" s="1"/>
  <c r="H503" i="334" s="1"/>
  <c r="L476" i="333"/>
  <c r="O464" i="333"/>
  <c r="O420" i="333"/>
  <c r="O428" i="333" s="1"/>
  <c r="L428" i="333"/>
  <c r="M148" i="334"/>
  <c r="O136" i="334"/>
  <c r="O148" i="334" s="1"/>
  <c r="F529" i="333"/>
  <c r="L97" i="333"/>
  <c r="O86" i="333"/>
  <c r="O97" i="333" s="1"/>
  <c r="O22" i="333"/>
  <c r="L32" i="333"/>
  <c r="O302" i="334"/>
  <c r="O313" i="334" s="1"/>
  <c r="P312" i="334" s="1"/>
  <c r="M313" i="334"/>
  <c r="L240" i="333"/>
  <c r="O229" i="333"/>
  <c r="O240" i="333" s="1"/>
  <c r="P239" i="333" s="1"/>
  <c r="K525" i="333"/>
  <c r="K529" i="333" s="1"/>
  <c r="L491" i="333"/>
  <c r="O391" i="333"/>
  <c r="O491" i="333" s="1"/>
  <c r="O501" i="333"/>
  <c r="K557" i="334"/>
  <c r="L399" i="333"/>
  <c r="L500" i="333"/>
  <c r="L526" i="333" s="1"/>
  <c r="L81" i="333"/>
  <c r="P152" i="333"/>
  <c r="L123" i="333"/>
  <c r="K544" i="334"/>
  <c r="K550" i="334" s="1"/>
  <c r="K546" i="334"/>
  <c r="O472" i="334"/>
  <c r="M482" i="334"/>
  <c r="M531" i="334"/>
  <c r="O416" i="334"/>
  <c r="O531" i="334" s="1"/>
  <c r="M419" i="334"/>
  <c r="O404" i="334"/>
  <c r="M535" i="334"/>
  <c r="O449" i="334"/>
  <c r="O535" i="334" s="1"/>
  <c r="M420" i="334"/>
  <c r="O405" i="334"/>
  <c r="O420" i="334" s="1"/>
  <c r="I550" i="334"/>
  <c r="O479" i="334"/>
  <c r="O530" i="334" s="1"/>
  <c r="M530" i="334"/>
  <c r="O470" i="334"/>
  <c r="O521" i="334" s="1"/>
  <c r="M521" i="334"/>
  <c r="O271" i="334"/>
  <c r="O283" i="334" s="1"/>
  <c r="P282" i="334" s="1"/>
  <c r="M283" i="334"/>
  <c r="O226" i="334"/>
  <c r="O238" i="334" s="1"/>
  <c r="P236" i="334" s="1"/>
  <c r="M238" i="334"/>
  <c r="P360" i="334"/>
  <c r="O332" i="334"/>
  <c r="P331" i="334" s="1"/>
  <c r="M525" i="334"/>
  <c r="G516" i="333"/>
  <c r="G524" i="333" s="1"/>
  <c r="G518" i="333"/>
  <c r="O251" i="334"/>
  <c r="L553" i="334"/>
  <c r="L552" i="334" s="1"/>
  <c r="C316" i="334"/>
  <c r="C484" i="334" s="1"/>
  <c r="C503" i="334" s="1"/>
  <c r="N516" i="333"/>
  <c r="N524" i="333" s="1"/>
  <c r="N518" i="333"/>
  <c r="O351" i="334"/>
  <c r="O360" i="334" s="1"/>
  <c r="M360" i="334"/>
  <c r="O299" i="334"/>
  <c r="F484" i="334"/>
  <c r="F503" i="334" s="1"/>
  <c r="M35" i="334"/>
  <c r="M512" i="334"/>
  <c r="O13" i="334"/>
  <c r="O512" i="334" s="1"/>
  <c r="M504" i="334"/>
  <c r="O8" i="334"/>
  <c r="M18" i="334"/>
  <c r="O403" i="333"/>
  <c r="O408" i="333" s="1"/>
  <c r="L408" i="333"/>
  <c r="O374" i="333"/>
  <c r="O485" i="333" s="1"/>
  <c r="L485" i="333"/>
  <c r="L315" i="333"/>
  <c r="O303" i="333"/>
  <c r="O315" i="333" s="1"/>
  <c r="O346" i="333" s="1"/>
  <c r="M191" i="334"/>
  <c r="L494" i="333"/>
  <c r="O469" i="333"/>
  <c r="O445" i="333"/>
  <c r="O493" i="333" s="1"/>
  <c r="L493" i="333"/>
  <c r="L367" i="333"/>
  <c r="L316" i="333"/>
  <c r="O167" i="334"/>
  <c r="O177" i="334" s="1"/>
  <c r="M177" i="334"/>
  <c r="O336" i="333"/>
  <c r="O345" i="333" s="1"/>
  <c r="L345" i="333"/>
  <c r="L317" i="333"/>
  <c r="O305" i="333"/>
  <c r="O317" i="333" s="1"/>
  <c r="P315" i="333" s="1"/>
  <c r="M282" i="334"/>
  <c r="L459" i="333"/>
  <c r="L48" i="333"/>
  <c r="L126" i="333" s="1"/>
  <c r="O37" i="333"/>
  <c r="O48" i="333" s="1"/>
  <c r="N461" i="333"/>
  <c r="N479" i="333" s="1"/>
  <c r="L181" i="333"/>
  <c r="O170" i="333"/>
  <c r="O181" i="333" s="1"/>
  <c r="J126" i="333"/>
  <c r="L315" i="334"/>
  <c r="P297" i="333"/>
  <c r="L125" i="333"/>
  <c r="O115" i="333"/>
  <c r="O125" i="333" s="1"/>
  <c r="O243" i="333"/>
  <c r="O253" i="333" s="1"/>
  <c r="L253" i="333"/>
  <c r="L239" i="333"/>
  <c r="O228" i="333"/>
  <c r="O239" i="333" s="1"/>
  <c r="P95" i="333"/>
  <c r="O14" i="333"/>
  <c r="O489" i="333" s="1"/>
  <c r="L489" i="333"/>
  <c r="K510" i="333"/>
  <c r="O151" i="334"/>
  <c r="O161" i="334" s="1"/>
  <c r="M161" i="334"/>
  <c r="O458" i="333"/>
  <c r="L501" i="333"/>
  <c r="N484" i="334"/>
  <c r="N503" i="334" s="1"/>
  <c r="L505" i="333"/>
  <c r="O396" i="333"/>
  <c r="O505" i="333" s="1"/>
  <c r="O149" i="334"/>
  <c r="M133" i="334"/>
  <c r="K35" i="333"/>
  <c r="K301" i="333" s="1"/>
  <c r="K461" i="333" s="1"/>
  <c r="K479" i="333" s="1"/>
  <c r="J61" i="330"/>
  <c r="F61" i="330"/>
  <c r="K46" i="330"/>
  <c r="K45" i="330"/>
  <c r="K47" i="330" s="1"/>
  <c r="K50" i="330" s="1"/>
  <c r="K49" i="330" s="1"/>
  <c r="K61" i="330" s="1"/>
  <c r="K22" i="329"/>
  <c r="AJ22" i="329"/>
  <c r="AL9" i="329"/>
  <c r="AL14" i="329" s="1"/>
  <c r="AI14" i="329"/>
  <c r="AL23" i="329"/>
  <c r="AL26" i="329" s="1"/>
  <c r="AI21" i="329"/>
  <c r="AL19" i="329"/>
  <c r="AL21" i="329" s="1"/>
  <c r="AK22" i="329"/>
  <c r="AL15" i="329"/>
  <c r="AL18" i="329" s="1"/>
  <c r="AI18" i="329"/>
  <c r="M47" i="328"/>
  <c r="AD36" i="328"/>
  <c r="AI24" i="328"/>
  <c r="AL23" i="328"/>
  <c r="AL24" i="328" s="1"/>
  <c r="Z36" i="328"/>
  <c r="AK36" i="328"/>
  <c r="AK45" i="328" s="1"/>
  <c r="AK47" i="328" s="1"/>
  <c r="AH46" i="328"/>
  <c r="AI46" i="328"/>
  <c r="AI17" i="328"/>
  <c r="AI19" i="328" s="1"/>
  <c r="AL9" i="328"/>
  <c r="AL17" i="328" s="1"/>
  <c r="AL19" i="328" s="1"/>
  <c r="AI29" i="328"/>
  <c r="AI30" i="328" s="1"/>
  <c r="AL28" i="328"/>
  <c r="AL29" i="328" s="1"/>
  <c r="AL39" i="328"/>
  <c r="N35" i="328"/>
  <c r="N36" i="328" s="1"/>
  <c r="AD45" i="328"/>
  <c r="J47" i="328"/>
  <c r="J50" i="328" s="1"/>
  <c r="J49" i="328" s="1"/>
  <c r="J61" i="328" s="1"/>
  <c r="N42" i="328"/>
  <c r="AL41" i="328"/>
  <c r="AL42" i="328" s="1"/>
  <c r="AE17" i="328"/>
  <c r="AE19" i="328" s="1"/>
  <c r="AE45" i="328" s="1"/>
  <c r="AE47" i="328" s="1"/>
  <c r="AH9" i="328"/>
  <c r="AH17" i="328" s="1"/>
  <c r="AH19" i="328" s="1"/>
  <c r="AD22" i="328"/>
  <c r="AD46" i="328" s="1"/>
  <c r="N22" i="328"/>
  <c r="AL20" i="328"/>
  <c r="AL22" i="328" s="1"/>
  <c r="AL46" i="328" s="1"/>
  <c r="AL40" i="328"/>
  <c r="AL33" i="328"/>
  <c r="N17" i="328"/>
  <c r="N19" i="328" s="1"/>
  <c r="AI26" i="328"/>
  <c r="AL25" i="328"/>
  <c r="AL26" i="328" s="1"/>
  <c r="F47" i="328"/>
  <c r="F50" i="328" s="1"/>
  <c r="F49" i="328" s="1"/>
  <c r="F61" i="328" s="1"/>
  <c r="Z45" i="328"/>
  <c r="AL54" i="328"/>
  <c r="AL56" i="328" s="1"/>
  <c r="AL59" i="328" s="1"/>
  <c r="AL53" i="328" s="1"/>
  <c r="AI56" i="328"/>
  <c r="AI59" i="328" s="1"/>
  <c r="AL43" i="328"/>
  <c r="AI35" i="328"/>
  <c r="AL31" i="328"/>
  <c r="AH36" i="328"/>
  <c r="AH45" i="328" s="1"/>
  <c r="AH47" i="328" s="1"/>
  <c r="AH50" i="328" s="1"/>
  <c r="AH49" i="328" s="1"/>
  <c r="AH61" i="328" s="1"/>
  <c r="AI37" i="328"/>
  <c r="AL37" i="328" s="1"/>
  <c r="N37" i="328"/>
  <c r="AJ36" i="328"/>
  <c r="AJ45" i="328" s="1"/>
  <c r="AJ47" i="328" s="1"/>
  <c r="Z22" i="328"/>
  <c r="Z46" i="328" s="1"/>
  <c r="AL27" i="328"/>
  <c r="P15" i="340" l="1"/>
  <c r="Q6" i="340"/>
  <c r="K516" i="333"/>
  <c r="K524" i="333" s="1"/>
  <c r="K518" i="333"/>
  <c r="O504" i="334"/>
  <c r="O18" i="334"/>
  <c r="O36" i="334" s="1"/>
  <c r="M553" i="334"/>
  <c r="O480" i="333"/>
  <c r="O18" i="333"/>
  <c r="O35" i="333" s="1"/>
  <c r="L525" i="333"/>
  <c r="L529" i="333" s="1"/>
  <c r="O124" i="333"/>
  <c r="P123" i="333" s="1"/>
  <c r="O123" i="333"/>
  <c r="O126" i="333" s="1"/>
  <c r="O498" i="333"/>
  <c r="O526" i="333" s="1"/>
  <c r="O367" i="333"/>
  <c r="O366" i="333"/>
  <c r="O380" i="333"/>
  <c r="O419" i="334"/>
  <c r="P418" i="334" s="1"/>
  <c r="M33" i="334"/>
  <c r="O22" i="334"/>
  <c r="O33" i="334" s="1"/>
  <c r="P18" i="334"/>
  <c r="M554" i="334"/>
  <c r="J516" i="333"/>
  <c r="J524" i="333" s="1"/>
  <c r="J518" i="333"/>
  <c r="O459" i="333"/>
  <c r="O481" i="334"/>
  <c r="O400" i="333"/>
  <c r="P398" i="333" s="1"/>
  <c r="O363" i="334"/>
  <c r="L346" i="333"/>
  <c r="O482" i="334"/>
  <c r="O32" i="333"/>
  <c r="P147" i="334"/>
  <c r="O476" i="333"/>
  <c r="P475" i="333" s="1"/>
  <c r="O381" i="333"/>
  <c r="P380" i="333" s="1"/>
  <c r="O300" i="333"/>
  <c r="P357" i="333"/>
  <c r="L546" i="334"/>
  <c r="L544" i="334"/>
  <c r="L550" i="334" s="1"/>
  <c r="O19" i="333"/>
  <c r="L35" i="333"/>
  <c r="O35" i="334"/>
  <c r="O451" i="334"/>
  <c r="O398" i="333"/>
  <c r="M315" i="334"/>
  <c r="O457" i="333"/>
  <c r="O418" i="334"/>
  <c r="O525" i="334"/>
  <c r="O554" i="334" s="1"/>
  <c r="O552" i="334" s="1"/>
  <c r="M557" i="334"/>
  <c r="H546" i="334"/>
  <c r="H544" i="334"/>
  <c r="H550" i="334" s="1"/>
  <c r="H557" i="334"/>
  <c r="P457" i="333"/>
  <c r="P180" i="333"/>
  <c r="M539" i="334"/>
  <c r="O266" i="334"/>
  <c r="O315" i="334" s="1"/>
  <c r="L300" i="333"/>
  <c r="M541" i="334"/>
  <c r="M548" i="334" s="1"/>
  <c r="M558" i="334" s="1"/>
  <c r="H558" i="334"/>
  <c r="O482" i="333"/>
  <c r="J301" i="333"/>
  <c r="J461" i="333" s="1"/>
  <c r="J479" i="333" s="1"/>
  <c r="O494" i="333"/>
  <c r="O475" i="333"/>
  <c r="M36" i="334"/>
  <c r="M316" i="334" s="1"/>
  <c r="M484" i="334" s="1"/>
  <c r="M503" i="334" s="1"/>
  <c r="O399" i="334"/>
  <c r="O401" i="334"/>
  <c r="O541" i="334" s="1"/>
  <c r="O548" i="334" s="1"/>
  <c r="O267" i="334"/>
  <c r="P266" i="334" s="1"/>
  <c r="L511" i="333"/>
  <c r="L519" i="333" s="1"/>
  <c r="L510" i="333"/>
  <c r="O34" i="334"/>
  <c r="P34" i="334" s="1"/>
  <c r="P207" i="334"/>
  <c r="O450" i="334"/>
  <c r="O480" i="334"/>
  <c r="L512" i="333"/>
  <c r="L520" i="333" s="1"/>
  <c r="O64" i="333"/>
  <c r="P63" i="333" s="1"/>
  <c r="L557" i="334"/>
  <c r="AL22" i="329"/>
  <c r="AI22" i="329"/>
  <c r="AL35" i="328"/>
  <c r="N45" i="328"/>
  <c r="N47" i="328" s="1"/>
  <c r="N50" i="328" s="1"/>
  <c r="N49" i="328" s="1"/>
  <c r="N61" i="328" s="1"/>
  <c r="Z47" i="328"/>
  <c r="Z50" i="328" s="1"/>
  <c r="Z49" i="328" s="1"/>
  <c r="Z61" i="328" s="1"/>
  <c r="AD47" i="328"/>
  <c r="AD50" i="328" s="1"/>
  <c r="AD49" i="328" s="1"/>
  <c r="AD61" i="328" s="1"/>
  <c r="N46" i="328"/>
  <c r="AL30" i="328"/>
  <c r="AL36" i="328"/>
  <c r="AL45" i="328" s="1"/>
  <c r="AL47" i="328" s="1"/>
  <c r="AL50" i="328" s="1"/>
  <c r="AL49" i="328" s="1"/>
  <c r="AL61" i="328" s="1"/>
  <c r="AI36" i="328"/>
  <c r="AI45" i="328" s="1"/>
  <c r="AI47" i="328" s="1"/>
  <c r="O558" i="334" l="1"/>
  <c r="O301" i="333"/>
  <c r="O461" i="333" s="1"/>
  <c r="O479" i="333" s="1"/>
  <c r="O483" i="334"/>
  <c r="P399" i="334"/>
  <c r="O540" i="334"/>
  <c r="O510" i="333"/>
  <c r="O525" i="333"/>
  <c r="P480" i="334"/>
  <c r="O460" i="333"/>
  <c r="O511" i="333"/>
  <c r="P18" i="333"/>
  <c r="O529" i="333"/>
  <c r="O316" i="334"/>
  <c r="L518" i="333"/>
  <c r="L516" i="333"/>
  <c r="L524" i="333" s="1"/>
  <c r="O539" i="334"/>
  <c r="M546" i="334"/>
  <c r="M544" i="334"/>
  <c r="M550" i="334" s="1"/>
  <c r="O512" i="333"/>
  <c r="O520" i="333" s="1"/>
  <c r="L301" i="333"/>
  <c r="L461" i="333" s="1"/>
  <c r="L479" i="333" s="1"/>
  <c r="M552" i="334"/>
  <c r="O544" i="334" l="1"/>
  <c r="O546" i="334"/>
  <c r="O516" i="333"/>
  <c r="O524" i="333" s="1"/>
  <c r="O518" i="333"/>
  <c r="P510" i="333"/>
  <c r="O519" i="333"/>
  <c r="O484" i="334"/>
  <c r="O503" i="334" s="1"/>
  <c r="P539" i="334"/>
  <c r="O547" i="334"/>
  <c r="O557" i="334" s="1"/>
  <c r="O550" i="334" l="1"/>
  <c r="N42" i="319" l="1"/>
  <c r="P42" i="319" s="1"/>
  <c r="L42" i="319"/>
  <c r="H42" i="319"/>
  <c r="F42" i="319"/>
  <c r="O40" i="319"/>
  <c r="M40" i="319"/>
  <c r="K40" i="319"/>
  <c r="J40" i="319"/>
  <c r="I40" i="319"/>
  <c r="G40" i="319"/>
  <c r="E40" i="319"/>
  <c r="D40" i="319"/>
  <c r="C40" i="319"/>
  <c r="B40" i="319"/>
  <c r="L39" i="319"/>
  <c r="N39" i="319" s="1"/>
  <c r="P39" i="319" s="1"/>
  <c r="F39" i="319"/>
  <c r="H39" i="319" s="1"/>
  <c r="L38" i="319"/>
  <c r="N38" i="319" s="1"/>
  <c r="P38" i="319" s="1"/>
  <c r="H38" i="319"/>
  <c r="F38" i="319"/>
  <c r="L37" i="319"/>
  <c r="N37" i="319" s="1"/>
  <c r="P37" i="319" s="1"/>
  <c r="F37" i="319"/>
  <c r="H37" i="319" s="1"/>
  <c r="N36" i="319"/>
  <c r="P36" i="319" s="1"/>
  <c r="L36" i="319"/>
  <c r="F36" i="319"/>
  <c r="H36" i="319" s="1"/>
  <c r="L35" i="319"/>
  <c r="N35" i="319" s="1"/>
  <c r="P35" i="319" s="1"/>
  <c r="F35" i="319"/>
  <c r="H35" i="319" s="1"/>
  <c r="P34" i="319"/>
  <c r="L34" i="319"/>
  <c r="N34" i="319" s="1"/>
  <c r="H34" i="319"/>
  <c r="F34" i="319"/>
  <c r="L33" i="319"/>
  <c r="N33" i="319" s="1"/>
  <c r="P33" i="319" s="1"/>
  <c r="F33" i="319"/>
  <c r="H33" i="319" s="1"/>
  <c r="N32" i="319"/>
  <c r="N40" i="319" s="1"/>
  <c r="L32" i="319"/>
  <c r="F32" i="319"/>
  <c r="L31" i="319"/>
  <c r="N31" i="319" s="1"/>
  <c r="P31" i="319" s="1"/>
  <c r="F31" i="319"/>
  <c r="H31" i="319" s="1"/>
  <c r="O30" i="319"/>
  <c r="M30" i="319"/>
  <c r="K30" i="319"/>
  <c r="J30" i="319"/>
  <c r="I30" i="319"/>
  <c r="G30" i="319"/>
  <c r="E30" i="319"/>
  <c r="D30" i="319"/>
  <c r="C30" i="319"/>
  <c r="B30" i="319"/>
  <c r="N29" i="319"/>
  <c r="P29" i="319" s="1"/>
  <c r="L29" i="319"/>
  <c r="F29" i="319"/>
  <c r="H29" i="319" s="1"/>
  <c r="L28" i="319"/>
  <c r="N28" i="319" s="1"/>
  <c r="P28" i="319" s="1"/>
  <c r="F28" i="319"/>
  <c r="H28" i="319" s="1"/>
  <c r="L27" i="319"/>
  <c r="N27" i="319" s="1"/>
  <c r="H27" i="319"/>
  <c r="H30" i="319" s="1"/>
  <c r="F27" i="319"/>
  <c r="O25" i="319"/>
  <c r="M25" i="319"/>
  <c r="K25" i="319"/>
  <c r="K26" i="319" s="1"/>
  <c r="J25" i="319"/>
  <c r="I25" i="319"/>
  <c r="G25" i="319"/>
  <c r="E25" i="319"/>
  <c r="E26" i="319" s="1"/>
  <c r="D25" i="319"/>
  <c r="C25" i="319"/>
  <c r="B25" i="319"/>
  <c r="B26" i="319" s="1"/>
  <c r="B41" i="319" s="1"/>
  <c r="B43" i="319" s="1"/>
  <c r="L24" i="319"/>
  <c r="N24" i="319" s="1"/>
  <c r="P24" i="319" s="1"/>
  <c r="F24" i="319"/>
  <c r="H24" i="319" s="1"/>
  <c r="L23" i="319"/>
  <c r="N23" i="319" s="1"/>
  <c r="P23" i="319" s="1"/>
  <c r="F23" i="319"/>
  <c r="H23" i="319" s="1"/>
  <c r="N22" i="319"/>
  <c r="P22" i="319" s="1"/>
  <c r="L22" i="319"/>
  <c r="F22" i="319"/>
  <c r="H22" i="319" s="1"/>
  <c r="P21" i="319"/>
  <c r="L21" i="319"/>
  <c r="N21" i="319" s="1"/>
  <c r="F21" i="319"/>
  <c r="H21" i="319" s="1"/>
  <c r="L20" i="319"/>
  <c r="N20" i="319" s="1"/>
  <c r="P20" i="319" s="1"/>
  <c r="F20" i="319"/>
  <c r="H20" i="319" s="1"/>
  <c r="L19" i="319"/>
  <c r="N19" i="319" s="1"/>
  <c r="P19" i="319" s="1"/>
  <c r="F19" i="319"/>
  <c r="H19" i="319" s="1"/>
  <c r="N18" i="319"/>
  <c r="P18" i="319" s="1"/>
  <c r="L18" i="319"/>
  <c r="F18" i="319"/>
  <c r="H18" i="319" s="1"/>
  <c r="P17" i="319"/>
  <c r="L17" i="319"/>
  <c r="N17" i="319" s="1"/>
  <c r="F17" i="319"/>
  <c r="H17" i="319" s="1"/>
  <c r="L16" i="319"/>
  <c r="N16" i="319" s="1"/>
  <c r="P16" i="319" s="1"/>
  <c r="F16" i="319"/>
  <c r="H16" i="319" s="1"/>
  <c r="L15" i="319"/>
  <c r="N15" i="319" s="1"/>
  <c r="P15" i="319" s="1"/>
  <c r="F15" i="319"/>
  <c r="H15" i="319" s="1"/>
  <c r="N14" i="319"/>
  <c r="P14" i="319" s="1"/>
  <c r="L14" i="319"/>
  <c r="F14" i="319"/>
  <c r="H14" i="319" s="1"/>
  <c r="L13" i="319"/>
  <c r="L25" i="319" s="1"/>
  <c r="F13" i="319"/>
  <c r="H13" i="319" s="1"/>
  <c r="O12" i="319"/>
  <c r="M12" i="319"/>
  <c r="K12" i="319"/>
  <c r="J12" i="319"/>
  <c r="I12" i="319"/>
  <c r="G12" i="319"/>
  <c r="E12" i="319"/>
  <c r="D12" i="319"/>
  <c r="C12" i="319"/>
  <c r="B12" i="319"/>
  <c r="L11" i="319"/>
  <c r="N11" i="319" s="1"/>
  <c r="P11" i="319" s="1"/>
  <c r="F11" i="319"/>
  <c r="H11" i="319" s="1"/>
  <c r="N10" i="319"/>
  <c r="P10" i="319" s="1"/>
  <c r="L10" i="319"/>
  <c r="F10" i="319"/>
  <c r="H10" i="319" s="1"/>
  <c r="L9" i="319"/>
  <c r="N9" i="319" s="1"/>
  <c r="P9" i="319" s="1"/>
  <c r="H9" i="319"/>
  <c r="F9" i="319"/>
  <c r="L8" i="319"/>
  <c r="H8" i="319"/>
  <c r="F8" i="319"/>
  <c r="L7" i="319"/>
  <c r="N7" i="319" s="1"/>
  <c r="P7" i="319" s="1"/>
  <c r="F7" i="319"/>
  <c r="H7" i="319" s="1"/>
  <c r="N6" i="319"/>
  <c r="L6" i="319"/>
  <c r="F6" i="319"/>
  <c r="F12" i="319" s="1"/>
  <c r="O5" i="319"/>
  <c r="M5" i="319"/>
  <c r="K5" i="319"/>
  <c r="J5" i="319"/>
  <c r="I5" i="319"/>
  <c r="G5" i="319"/>
  <c r="G26" i="319" s="1"/>
  <c r="E5" i="319"/>
  <c r="D5" i="319"/>
  <c r="C5" i="319"/>
  <c r="B5" i="319"/>
  <c r="L4" i="319"/>
  <c r="N4" i="319" s="1"/>
  <c r="P4" i="319" s="1"/>
  <c r="F4" i="319"/>
  <c r="H4" i="319" s="1"/>
  <c r="L3" i="319"/>
  <c r="L5" i="319" s="1"/>
  <c r="H3" i="319"/>
  <c r="F3" i="319"/>
  <c r="F5" i="319" s="1"/>
  <c r="F40" i="319" l="1"/>
  <c r="H32" i="319"/>
  <c r="P6" i="319"/>
  <c r="L12" i="319"/>
  <c r="N8" i="319"/>
  <c r="P8" i="319" s="1"/>
  <c r="H25" i="319"/>
  <c r="M26" i="319"/>
  <c r="H5" i="319"/>
  <c r="C26" i="319"/>
  <c r="C41" i="319" s="1"/>
  <c r="C43" i="319" s="1"/>
  <c r="O26" i="319"/>
  <c r="O41" i="319" s="1"/>
  <c r="O43" i="319" s="1"/>
  <c r="H40" i="319"/>
  <c r="L26" i="319"/>
  <c r="I26" i="319"/>
  <c r="K41" i="319"/>
  <c r="K43" i="319" s="1"/>
  <c r="H6" i="319"/>
  <c r="H12" i="319" s="1"/>
  <c r="N13" i="319"/>
  <c r="P13" i="319" s="1"/>
  <c r="P25" i="319" s="1"/>
  <c r="D26" i="319"/>
  <c r="D41" i="319" s="1"/>
  <c r="D43" i="319" s="1"/>
  <c r="J26" i="319"/>
  <c r="J41" i="319" s="1"/>
  <c r="J43" i="319" s="1"/>
  <c r="F30" i="319"/>
  <c r="L40" i="319"/>
  <c r="G41" i="319"/>
  <c r="G43" i="319" s="1"/>
  <c r="E41" i="319"/>
  <c r="E43" i="319" s="1"/>
  <c r="H26" i="319"/>
  <c r="H41" i="319" s="1"/>
  <c r="H43" i="319" s="1"/>
  <c r="P27" i="319"/>
  <c r="P30" i="319" s="1"/>
  <c r="N30" i="319"/>
  <c r="M41" i="319"/>
  <c r="M43" i="319" s="1"/>
  <c r="I41" i="319"/>
  <c r="I43" i="319" s="1"/>
  <c r="F25" i="319"/>
  <c r="F26" i="319" s="1"/>
  <c r="F41" i="319" s="1"/>
  <c r="F43" i="319" s="1"/>
  <c r="N25" i="319"/>
  <c r="L30" i="319"/>
  <c r="L41" i="319" s="1"/>
  <c r="L43" i="319" s="1"/>
  <c r="N3" i="319"/>
  <c r="P32" i="319"/>
  <c r="P40" i="319" s="1"/>
  <c r="P12" i="319" l="1"/>
  <c r="N12" i="319"/>
  <c r="P3" i="319"/>
  <c r="P5" i="319" s="1"/>
  <c r="P26" i="319" s="1"/>
  <c r="P41" i="319" s="1"/>
  <c r="P43" i="319" s="1"/>
  <c r="N5" i="319"/>
  <c r="N26" i="319" s="1"/>
  <c r="N41" i="319" s="1"/>
  <c r="N43" i="319" s="1"/>
  <c r="AA51" i="311" l="1"/>
  <c r="Z51" i="311"/>
  <c r="X51" i="311"/>
  <c r="W51" i="311"/>
  <c r="U51" i="311"/>
  <c r="T51" i="311"/>
  <c r="O51" i="311"/>
  <c r="L51" i="311"/>
  <c r="K51" i="311"/>
  <c r="I51" i="311"/>
  <c r="H51" i="311"/>
  <c r="F51" i="311"/>
  <c r="E51" i="311"/>
  <c r="AB50" i="311"/>
  <c r="Y50" i="311"/>
  <c r="V50" i="311"/>
  <c r="S50" i="311"/>
  <c r="P50" i="311"/>
  <c r="M50" i="311"/>
  <c r="J50" i="311"/>
  <c r="G50" i="311"/>
  <c r="AB49" i="311"/>
  <c r="Y49" i="311"/>
  <c r="V49" i="311"/>
  <c r="S49" i="311"/>
  <c r="P49" i="311"/>
  <c r="M49" i="311"/>
  <c r="J49" i="311"/>
  <c r="G49" i="311"/>
  <c r="AB48" i="311"/>
  <c r="Y48" i="311"/>
  <c r="V48" i="311"/>
  <c r="S48" i="311"/>
  <c r="P48" i="311"/>
  <c r="M48" i="311"/>
  <c r="J48" i="311"/>
  <c r="G48" i="311"/>
  <c r="AB47" i="311"/>
  <c r="Y47" i="311"/>
  <c r="V47" i="311"/>
  <c r="S47" i="311"/>
  <c r="P47" i="311"/>
  <c r="M47" i="311"/>
  <c r="J47" i="311"/>
  <c r="G47" i="311"/>
  <c r="AB46" i="311"/>
  <c r="Y46" i="311"/>
  <c r="V46" i="311"/>
  <c r="S46" i="311"/>
  <c r="P46" i="311"/>
  <c r="M46" i="311"/>
  <c r="J46" i="311"/>
  <c r="G46" i="311"/>
  <c r="AB45" i="311"/>
  <c r="Y45" i="311"/>
  <c r="V45" i="311"/>
  <c r="S45" i="311"/>
  <c r="P45" i="311"/>
  <c r="M45" i="311"/>
  <c r="J45" i="311"/>
  <c r="G45" i="311"/>
  <c r="AB44" i="311"/>
  <c r="Y44" i="311"/>
  <c r="V44" i="311"/>
  <c r="S44" i="311"/>
  <c r="P44" i="311"/>
  <c r="M44" i="311"/>
  <c r="J44" i="311"/>
  <c r="G44" i="311"/>
  <c r="AB43" i="311"/>
  <c r="Y43" i="311"/>
  <c r="V43" i="311"/>
  <c r="S43" i="311"/>
  <c r="P43" i="311"/>
  <c r="M43" i="311"/>
  <c r="J43" i="311"/>
  <c r="G43" i="311"/>
  <c r="AB42" i="311"/>
  <c r="Y42" i="311"/>
  <c r="V42" i="311"/>
  <c r="S42" i="311"/>
  <c r="P42" i="311"/>
  <c r="M42" i="311"/>
  <c r="J42" i="311"/>
  <c r="G42" i="311"/>
  <c r="AB41" i="311"/>
  <c r="Y41" i="311"/>
  <c r="V41" i="311"/>
  <c r="S41" i="311"/>
  <c r="P41" i="311"/>
  <c r="M41" i="311"/>
  <c r="J41" i="311"/>
  <c r="G41" i="311"/>
  <c r="AB40" i="311"/>
  <c r="Y40" i="311"/>
  <c r="V40" i="311"/>
  <c r="S40" i="311"/>
  <c r="P40" i="311"/>
  <c r="M40" i="311"/>
  <c r="J40" i="311"/>
  <c r="G40" i="311"/>
  <c r="AB39" i="311"/>
  <c r="Y39" i="311"/>
  <c r="V39" i="311"/>
  <c r="S39" i="311"/>
  <c r="P39" i="311"/>
  <c r="M39" i="311"/>
  <c r="J39" i="311"/>
  <c r="G39" i="311"/>
  <c r="AB38" i="311"/>
  <c r="Y38" i="311"/>
  <c r="V38" i="311"/>
  <c r="S38" i="311"/>
  <c r="P38" i="311"/>
  <c r="M38" i="311"/>
  <c r="J38" i="311"/>
  <c r="G38" i="311"/>
  <c r="AB37" i="311"/>
  <c r="Y37" i="311"/>
  <c r="V37" i="311"/>
  <c r="S37" i="311"/>
  <c r="P37" i="311"/>
  <c r="M37" i="311"/>
  <c r="J37" i="311"/>
  <c r="G37" i="311"/>
  <c r="AB36" i="311"/>
  <c r="Y36" i="311"/>
  <c r="V36" i="311"/>
  <c r="S36" i="311"/>
  <c r="P36" i="311"/>
  <c r="M36" i="311"/>
  <c r="J36" i="311"/>
  <c r="G36" i="311"/>
  <c r="D36" i="311"/>
  <c r="AB35" i="311"/>
  <c r="Y35" i="311"/>
  <c r="V35" i="311"/>
  <c r="S35" i="311"/>
  <c r="P35" i="311"/>
  <c r="M35" i="311"/>
  <c r="J35" i="311"/>
  <c r="G35" i="311"/>
  <c r="AB34" i="311"/>
  <c r="Y34" i="311"/>
  <c r="V34" i="311"/>
  <c r="S34" i="311"/>
  <c r="P34" i="311"/>
  <c r="M34" i="311"/>
  <c r="J34" i="311"/>
  <c r="G34" i="311"/>
  <c r="AB33" i="311"/>
  <c r="Y33" i="311"/>
  <c r="V33" i="311"/>
  <c r="S33" i="311"/>
  <c r="P33" i="311"/>
  <c r="M33" i="311"/>
  <c r="J33" i="311"/>
  <c r="G33" i="311"/>
  <c r="AB32" i="311"/>
  <c r="Y32" i="311"/>
  <c r="V32" i="311"/>
  <c r="S32" i="311"/>
  <c r="P32" i="311"/>
  <c r="M32" i="311"/>
  <c r="J32" i="311"/>
  <c r="G32" i="311"/>
  <c r="AB31" i="311"/>
  <c r="Y31" i="311"/>
  <c r="V31" i="311"/>
  <c r="S31" i="311"/>
  <c r="P31" i="311"/>
  <c r="M31" i="311"/>
  <c r="J31" i="311"/>
  <c r="G31" i="311"/>
  <c r="AB30" i="311"/>
  <c r="Y30" i="311"/>
  <c r="V30" i="311"/>
  <c r="S30" i="311"/>
  <c r="P30" i="311"/>
  <c r="M30" i="311"/>
  <c r="J30" i="311"/>
  <c r="G30" i="311"/>
  <c r="AB29" i="311"/>
  <c r="Y29" i="311"/>
  <c r="V29" i="311"/>
  <c r="S29" i="311"/>
  <c r="P29" i="311"/>
  <c r="M29" i="311"/>
  <c r="J29" i="311"/>
  <c r="G29" i="311"/>
  <c r="AB28" i="311"/>
  <c r="Y28" i="311"/>
  <c r="V28" i="311"/>
  <c r="Q28" i="311"/>
  <c r="S28" i="311" s="1"/>
  <c r="N28" i="311"/>
  <c r="P28" i="311" s="1"/>
  <c r="M28" i="311"/>
  <c r="J28" i="311"/>
  <c r="G28" i="311"/>
  <c r="D28" i="311"/>
  <c r="AB27" i="311"/>
  <c r="Y27" i="311"/>
  <c r="V27" i="311"/>
  <c r="S27" i="311"/>
  <c r="P27" i="311"/>
  <c r="M27" i="311"/>
  <c r="J27" i="311"/>
  <c r="G27" i="311"/>
  <c r="AB26" i="311"/>
  <c r="Y26" i="311"/>
  <c r="V26" i="311"/>
  <c r="S26" i="311"/>
  <c r="P26" i="311"/>
  <c r="M26" i="311"/>
  <c r="J26" i="311"/>
  <c r="G26" i="311"/>
  <c r="AB25" i="311"/>
  <c r="Y25" i="311"/>
  <c r="V25" i="311"/>
  <c r="S25" i="311"/>
  <c r="P25" i="311"/>
  <c r="M25" i="311"/>
  <c r="J25" i="311"/>
  <c r="G25" i="311"/>
  <c r="AB24" i="311"/>
  <c r="Y24" i="311"/>
  <c r="V24" i="311"/>
  <c r="S24" i="311"/>
  <c r="P24" i="311"/>
  <c r="M24" i="311"/>
  <c r="J24" i="311"/>
  <c r="G24" i="311"/>
  <c r="AB23" i="311"/>
  <c r="Y23" i="311"/>
  <c r="V23" i="311"/>
  <c r="S23" i="311"/>
  <c r="P23" i="311"/>
  <c r="M23" i="311"/>
  <c r="J23" i="311"/>
  <c r="G23" i="311"/>
  <c r="AB22" i="311"/>
  <c r="Y22" i="311"/>
  <c r="V22" i="311"/>
  <c r="R22" i="311"/>
  <c r="P22" i="311"/>
  <c r="M22" i="311"/>
  <c r="J22" i="311"/>
  <c r="G22" i="311"/>
  <c r="AB21" i="311"/>
  <c r="Y21" i="311"/>
  <c r="V21" i="311"/>
  <c r="S21" i="311"/>
  <c r="P21" i="311"/>
  <c r="M21" i="311"/>
  <c r="J21" i="311"/>
  <c r="G21" i="311"/>
  <c r="AB20" i="311"/>
  <c r="Y20" i="311"/>
  <c r="V20" i="311"/>
  <c r="S20" i="311"/>
  <c r="P20" i="311"/>
  <c r="M20" i="311"/>
  <c r="J20" i="311"/>
  <c r="G20" i="311"/>
  <c r="AB19" i="311"/>
  <c r="Y19" i="311"/>
  <c r="V19" i="311"/>
  <c r="S19" i="311"/>
  <c r="P19" i="311"/>
  <c r="M19" i="311"/>
  <c r="J19" i="311"/>
  <c r="G19" i="311"/>
  <c r="D19" i="311"/>
  <c r="D51" i="311" s="1"/>
  <c r="AB18" i="311"/>
  <c r="Y18" i="311"/>
  <c r="V18" i="311"/>
  <c r="S18" i="311"/>
  <c r="P18" i="311"/>
  <c r="M18" i="311"/>
  <c r="J18" i="311"/>
  <c r="G18" i="311"/>
  <c r="AB17" i="311"/>
  <c r="Y17" i="311"/>
  <c r="V17" i="311"/>
  <c r="S17" i="311"/>
  <c r="P17" i="311"/>
  <c r="M17" i="311"/>
  <c r="J17" i="311"/>
  <c r="G17" i="311"/>
  <c r="AB16" i="311"/>
  <c r="Y16" i="311"/>
  <c r="V16" i="311"/>
  <c r="S16" i="311"/>
  <c r="P16" i="311"/>
  <c r="M16" i="311"/>
  <c r="J16" i="311"/>
  <c r="G16" i="311"/>
  <c r="AB15" i="311"/>
  <c r="Y15" i="311"/>
  <c r="V15" i="311"/>
  <c r="S15" i="311"/>
  <c r="P15" i="311"/>
  <c r="M15" i="311"/>
  <c r="J15" i="311"/>
  <c r="G15" i="311"/>
  <c r="AB14" i="311"/>
  <c r="Y14" i="311"/>
  <c r="V14" i="311"/>
  <c r="S14" i="311"/>
  <c r="P14" i="311"/>
  <c r="M14" i="311"/>
  <c r="J14" i="311"/>
  <c r="G14" i="311"/>
  <c r="AB13" i="311"/>
  <c r="Y13" i="311"/>
  <c r="V13" i="311"/>
  <c r="S13" i="311"/>
  <c r="P13" i="311"/>
  <c r="M13" i="311"/>
  <c r="J13" i="311"/>
  <c r="G13" i="311"/>
  <c r="AB12" i="311"/>
  <c r="Y12" i="311"/>
  <c r="V12" i="311"/>
  <c r="S12" i="311"/>
  <c r="P12" i="311"/>
  <c r="M12" i="311"/>
  <c r="J12" i="311"/>
  <c r="G12" i="311"/>
  <c r="AB11" i="311"/>
  <c r="Y11" i="311"/>
  <c r="V11" i="311"/>
  <c r="S11" i="311"/>
  <c r="P11" i="311"/>
  <c r="M11" i="311"/>
  <c r="J11" i="311"/>
  <c r="G11" i="311"/>
  <c r="AB10" i="311"/>
  <c r="Y10" i="311"/>
  <c r="V10" i="311"/>
  <c r="S10" i="311"/>
  <c r="P10" i="311"/>
  <c r="M10" i="311"/>
  <c r="J10" i="311"/>
  <c r="G10" i="311"/>
  <c r="AB9" i="311"/>
  <c r="Y9" i="311"/>
  <c r="V9" i="311"/>
  <c r="S9" i="311"/>
  <c r="P9" i="311"/>
  <c r="M9" i="311"/>
  <c r="J9" i="311"/>
  <c r="G9" i="311"/>
  <c r="AB8" i="311"/>
  <c r="Y8" i="311"/>
  <c r="V8" i="311"/>
  <c r="S8" i="311"/>
  <c r="P8" i="311"/>
  <c r="M8" i="311"/>
  <c r="J8" i="311"/>
  <c r="G8" i="311"/>
  <c r="V51" i="311" l="1"/>
  <c r="S22" i="311"/>
  <c r="S51" i="311" s="1"/>
  <c r="R51" i="311"/>
  <c r="J51" i="311"/>
  <c r="G51" i="311"/>
  <c r="M51" i="311"/>
  <c r="Y51" i="311"/>
  <c r="N51" i="311"/>
  <c r="P51" i="311"/>
  <c r="AB51" i="311"/>
  <c r="Q51" i="311"/>
  <c r="E43" i="269" l="1"/>
  <c r="D43" i="269"/>
  <c r="C43" i="269"/>
  <c r="B43" i="269"/>
  <c r="E33" i="269"/>
  <c r="D33" i="269"/>
  <c r="C33" i="269"/>
  <c r="B33" i="269"/>
  <c r="E28" i="269"/>
  <c r="D28" i="269"/>
  <c r="C28" i="269"/>
  <c r="B28" i="269"/>
  <c r="E15" i="269"/>
  <c r="D15" i="269"/>
  <c r="C15" i="269"/>
  <c r="B15" i="269"/>
  <c r="E8" i="269"/>
  <c r="D8" i="269"/>
  <c r="C8" i="269"/>
  <c r="B8" i="269"/>
  <c r="B29" i="269" l="1"/>
  <c r="D29" i="269"/>
  <c r="D44" i="269" s="1"/>
  <c r="D46" i="269" s="1"/>
  <c r="C29" i="269"/>
  <c r="C44" i="269" s="1"/>
  <c r="C46" i="269" s="1"/>
  <c r="E29" i="269"/>
  <c r="E44" i="269" s="1"/>
  <c r="E46" i="269" s="1"/>
  <c r="B44" i="269"/>
  <c r="B46" i="269" s="1"/>
  <c r="E29" i="281" l="1"/>
  <c r="B7" i="264" l="1"/>
  <c r="F29" i="236" l="1"/>
  <c r="F28" i="236"/>
  <c r="E27" i="236"/>
  <c r="D27" i="236"/>
  <c r="C27" i="236"/>
  <c r="F26" i="236"/>
  <c r="F25" i="236"/>
  <c r="F24" i="236"/>
  <c r="F23" i="236"/>
  <c r="F22" i="236"/>
  <c r="F21" i="236"/>
  <c r="F20" i="236"/>
  <c r="E17" i="236"/>
  <c r="D17" i="236"/>
  <c r="C17" i="236"/>
  <c r="F16" i="236"/>
  <c r="F15" i="236"/>
  <c r="F14" i="236"/>
  <c r="F13" i="236"/>
  <c r="F12" i="236"/>
  <c r="E10" i="236"/>
  <c r="D10" i="236"/>
  <c r="C10" i="236"/>
  <c r="F9" i="236"/>
  <c r="F10" i="236" s="1"/>
  <c r="E7" i="236"/>
  <c r="E18" i="236" s="1"/>
  <c r="D7" i="236"/>
  <c r="D18" i="236" s="1"/>
  <c r="C7" i="236"/>
  <c r="C18" i="236" s="1"/>
  <c r="F6" i="236"/>
  <c r="F5" i="236"/>
  <c r="F4" i="236"/>
  <c r="F17" i="236" l="1"/>
  <c r="F7" i="236"/>
  <c r="E30" i="236"/>
  <c r="F18" i="236"/>
  <c r="F27" i="236"/>
  <c r="C30" i="236"/>
  <c r="D30" i="236"/>
  <c r="F30" i="236" l="1"/>
  <c r="B14" i="279" l="1"/>
  <c r="C13" i="262" l="1"/>
  <c r="C18" i="262" s="1"/>
  <c r="C7" i="262"/>
  <c r="C4" i="262"/>
  <c r="C8" i="262" l="1"/>
  <c r="C9" i="262" s="1"/>
  <c r="B6" i="279" l="1"/>
</calcChain>
</file>

<file path=xl/sharedStrings.xml><?xml version="1.0" encoding="utf-8"?>
<sst xmlns="http://schemas.openxmlformats.org/spreadsheetml/2006/main" count="3678" uniqueCount="1423">
  <si>
    <t>10.</t>
  </si>
  <si>
    <t>11.</t>
  </si>
  <si>
    <t>12.</t>
  </si>
  <si>
    <t>13.</t>
  </si>
  <si>
    <t>14.</t>
  </si>
  <si>
    <t>15.</t>
  </si>
  <si>
    <t>16.</t>
  </si>
  <si>
    <t>17.</t>
  </si>
  <si>
    <t>18.</t>
  </si>
  <si>
    <t>19.</t>
  </si>
  <si>
    <t>20.</t>
  </si>
  <si>
    <t>21.</t>
  </si>
  <si>
    <t>22.</t>
  </si>
  <si>
    <t>23.</t>
  </si>
  <si>
    <t>24.</t>
  </si>
  <si>
    <t>25.</t>
  </si>
  <si>
    <t>26.</t>
  </si>
  <si>
    <t>27.</t>
  </si>
  <si>
    <t>28.</t>
  </si>
  <si>
    <t>29.</t>
  </si>
  <si>
    <t>30.</t>
  </si>
  <si>
    <t>31.</t>
  </si>
  <si>
    <t>Státusz</t>
  </si>
  <si>
    <t>EU-s forrás</t>
  </si>
  <si>
    <t>Hazai forrás</t>
  </si>
  <si>
    <t>Végrehajtás alatt</t>
  </si>
  <si>
    <t>Székesfehérvár Megyei Jogú Város Önkormányzat</t>
  </si>
  <si>
    <t>Költségvetési szervek összesen</t>
  </si>
  <si>
    <t>~ ebből: Szent István Király Múzeum támogatása</t>
  </si>
  <si>
    <t xml:space="preserve">              Vörösmarty Színház támogatása</t>
  </si>
  <si>
    <t>2, Munkaadókat terhelő járulékok és szociális hozzájárulási adó</t>
  </si>
  <si>
    <t>Napsugár Óvoda</t>
  </si>
  <si>
    <t>Ligetsori Óvoda</t>
  </si>
  <si>
    <t>Egyesített Szociális Intézmény</t>
  </si>
  <si>
    <t>Polgármesteri Hivatal</t>
  </si>
  <si>
    <t>Munkaadókat terhelő járulékok és szociális hozzájárulási adó</t>
  </si>
  <si>
    <t>g.=b. +…+ f.</t>
  </si>
  <si>
    <t>h.</t>
  </si>
  <si>
    <t>i.</t>
  </si>
  <si>
    <t>j.</t>
  </si>
  <si>
    <t>k.=h. +i.+ j.</t>
  </si>
  <si>
    <t>l.</t>
  </si>
  <si>
    <t>m.</t>
  </si>
  <si>
    <t>n.</t>
  </si>
  <si>
    <t>Igazgatási tevékenység</t>
  </si>
  <si>
    <t xml:space="preserve">II. </t>
  </si>
  <si>
    <t>Hatósági tevékenység</t>
  </si>
  <si>
    <t xml:space="preserve">III. </t>
  </si>
  <si>
    <t>Városfejlesztés</t>
  </si>
  <si>
    <t>Vagyongazdálkodás</t>
  </si>
  <si>
    <t>Humán Szolgáltatás</t>
  </si>
  <si>
    <t>A.</t>
  </si>
  <si>
    <t>Kiadások összesen (I-VIII.)</t>
  </si>
  <si>
    <t>Céltartalék összesen</t>
  </si>
  <si>
    <t>IX.</t>
  </si>
  <si>
    <t>Tartalékok összesen</t>
  </si>
  <si>
    <t>C.</t>
  </si>
  <si>
    <t>KIADÁSOK MINDÖSSZESEN (I-IX.)</t>
  </si>
  <si>
    <t>Bevételek</t>
  </si>
  <si>
    <t>január</t>
  </si>
  <si>
    <t>február</t>
  </si>
  <si>
    <t>március</t>
  </si>
  <si>
    <t>április</t>
  </si>
  <si>
    <t>május</t>
  </si>
  <si>
    <t>június</t>
  </si>
  <si>
    <t>július</t>
  </si>
  <si>
    <t>augusztus</t>
  </si>
  <si>
    <t>szeptember</t>
  </si>
  <si>
    <t>október</t>
  </si>
  <si>
    <t>november</t>
  </si>
  <si>
    <t>december</t>
  </si>
  <si>
    <t>összesen</t>
  </si>
  <si>
    <t>Kiadások</t>
  </si>
  <si>
    <t>Igazgatási és egyéb központosított kiadások</t>
  </si>
  <si>
    <t>Tartalék</t>
  </si>
  <si>
    <t>Költségvetési szervek  kiadásai</t>
  </si>
  <si>
    <t xml:space="preserve">             Alba Regia Sport Club - Ingatlan üzemeltetésével összefüggő költségekhez</t>
  </si>
  <si>
    <t>Beruházások</t>
  </si>
  <si>
    <t>MEGNEVEZÉS</t>
  </si>
  <si>
    <t>Működési bevételek</t>
  </si>
  <si>
    <t>Személyi juttatások</t>
  </si>
  <si>
    <t>Közhatalmi bevételek</t>
  </si>
  <si>
    <t>Dologi kiadások</t>
  </si>
  <si>
    <t>Tartalékok</t>
  </si>
  <si>
    <t>Működési célú pénzeszköz átvétel</t>
  </si>
  <si>
    <t>Felhalmozási bevételek</t>
  </si>
  <si>
    <t>Felújítások</t>
  </si>
  <si>
    <t>Felhalmozási célú pénzeszköz átvétel</t>
  </si>
  <si>
    <t>Költségvetési bevételek-kiadások egyenlege</t>
  </si>
  <si>
    <t>Költségvetési kiadások összesen:</t>
  </si>
  <si>
    <t>Költségvetési bevételek összesen:</t>
  </si>
  <si>
    <t>VAGYONGAZDÁLKODÁS</t>
  </si>
  <si>
    <t>VÁROS- ÉS KÖZSÉGGAZDÁLKODÁS</t>
  </si>
  <si>
    <t>HUMÁN SZOLGÁLTATÁS</t>
  </si>
  <si>
    <t xml:space="preserve">             Alba Regia Atlétikai Klub</t>
  </si>
  <si>
    <t>NEMZETISÉGI ÖNKORMÁNYZATOK</t>
  </si>
  <si>
    <t>Társadalmi Felelősségvállalási Alap</t>
  </si>
  <si>
    <t>Céltartalék</t>
  </si>
  <si>
    <t>Önkormányzat mindösszesen</t>
  </si>
  <si>
    <t xml:space="preserve">           Fehérvári Kézművesek Egyesülete</t>
  </si>
  <si>
    <t xml:space="preserve">           Hermann László Vonószenekari Egyesület</t>
  </si>
  <si>
    <t xml:space="preserve">           Székesfehérvári Művészek Társasága</t>
  </si>
  <si>
    <t>Általános tartalék</t>
  </si>
  <si>
    <t>Kiadások összesen</t>
  </si>
  <si>
    <t>I.</t>
  </si>
  <si>
    <t>Pénzügyi igazgatási feladatok</t>
  </si>
  <si>
    <t>Különféle adók, díjak, pénzügyi kiadások</t>
  </si>
  <si>
    <t>Közösségi, társadalmi és információs tevékenység</t>
  </si>
  <si>
    <t>Társadalmi kapcsolatok kiadásai</t>
  </si>
  <si>
    <t>Személyügyi kiadások</t>
  </si>
  <si>
    <t>Informatikai terület</t>
  </si>
  <si>
    <t>Szociális ellátási és gyermekvédelmi feladatok</t>
  </si>
  <si>
    <t>Fejlesztési, felhalmozási ráfordítások</t>
  </si>
  <si>
    <t>IV.</t>
  </si>
  <si>
    <t>Lakás-, vagyongazdálkodási kiadások</t>
  </si>
  <si>
    <t>V.</t>
  </si>
  <si>
    <t>Székesfehérvár Városgondnoksága Kft.</t>
  </si>
  <si>
    <t>Főépítészi kiadások</t>
  </si>
  <si>
    <t>Környezetvédelmi kiadások</t>
  </si>
  <si>
    <t>VI.</t>
  </si>
  <si>
    <t>Közoktatási feladatok</t>
  </si>
  <si>
    <t>Szociális intézményi és egészségügyi feladatok</t>
  </si>
  <si>
    <t>Közművelődési kiadások</t>
  </si>
  <si>
    <t>Diáksport és szabadidős tevékenység</t>
  </si>
  <si>
    <t>VII.</t>
  </si>
  <si>
    <t>VIII.</t>
  </si>
  <si>
    <t>Polgármesteri keret</t>
  </si>
  <si>
    <t>Képviselői Alap</t>
  </si>
  <si>
    <t xml:space="preserve">             Egyéb sportszakosztályi támogatások</t>
  </si>
  <si>
    <t xml:space="preserve">              Kegyeleti rendelet végrehajtása</t>
  </si>
  <si>
    <t xml:space="preserve">              Rászorulókat segítő karácsonyi programok és támogatások</t>
  </si>
  <si>
    <t>Nemzetközi kapcsolatok és reprezentáció</t>
  </si>
  <si>
    <t>~ ebből: Önkormányzati Informatikai Központ Nonprofit Kft.</t>
  </si>
  <si>
    <t>Rendvédelmi, közbiztonsági feladatok, védelmi felkészítés</t>
  </si>
  <si>
    <t>II.</t>
  </si>
  <si>
    <t>HATÓSÁGI TEVÉKENYSÉG</t>
  </si>
  <si>
    <t>III.</t>
  </si>
  <si>
    <t>IGAZGATÁSI TEVÉKENYSÉG</t>
  </si>
  <si>
    <t>Közbeszerzési és egyéb jogi eljárásokkal kapcsolatos kiadások</t>
  </si>
  <si>
    <t xml:space="preserve">             Köfém Sport Club Női Kézilabda Szakosztály</t>
  </si>
  <si>
    <t xml:space="preserve">           KÖFÉM Oktatási és Közművelődési Központ Nonprofit Közhasznú Kft.</t>
  </si>
  <si>
    <t>Környezetvédelmi Alap</t>
  </si>
  <si>
    <t>~ ebből: Nemzetközi kapcsolatok</t>
  </si>
  <si>
    <t xml:space="preserve">              Reprezentáció</t>
  </si>
  <si>
    <t xml:space="preserve">              Határon túli magyar kapcsolatok</t>
  </si>
  <si>
    <t xml:space="preserve">              Székesfehérvári Csemete Alapítvány támogatása - bölcsődei ellátás</t>
  </si>
  <si>
    <t xml:space="preserve">           Székesfehérvári Egyházmegye</t>
  </si>
  <si>
    <t xml:space="preserve"> - Kulturális feladatok</t>
  </si>
  <si>
    <t xml:space="preserve">  - Közművelődési megállapodások, támogatások</t>
  </si>
  <si>
    <t xml:space="preserve">           Vörösmarty Társaság</t>
  </si>
  <si>
    <t>~ ebből: Diáksportkör kiadásai</t>
  </si>
  <si>
    <t xml:space="preserve">              Sportcélok és feladatok</t>
  </si>
  <si>
    <t>~ ebből: Nyugdíjazással kapcsolatos kifizetések</t>
  </si>
  <si>
    <t xml:space="preserve">              Székesfehérvári Református Egyházközség támogatása - Olajfa Református Óvoda</t>
  </si>
  <si>
    <t>Tagdíjak, testületek</t>
  </si>
  <si>
    <t xml:space="preserve">              Alapítvány a Székesfehérvári Fogyasztóvédelemért</t>
  </si>
  <si>
    <t xml:space="preserve">           Alba Regia Vegyeskar Egyesület</t>
  </si>
  <si>
    <t xml:space="preserve">           Székesfehérvári "Bakony" Népzenei Együttes Egyesület</t>
  </si>
  <si>
    <t xml:space="preserve">           Székesfehérvári Ifjúsági Fúvószenekar Egyesület</t>
  </si>
  <si>
    <t xml:space="preserve">           "Aranybulla" Könyvtár Alapítvány</t>
  </si>
  <si>
    <t>Kötelező feladat</t>
  </si>
  <si>
    <t>Önként vállalt feladat</t>
  </si>
  <si>
    <t>-</t>
  </si>
  <si>
    <t>Sportlétesítményekkel kapcsolatos kiadások</t>
  </si>
  <si>
    <t xml:space="preserve">             Handball Future Szolgáltató Kft.- Ingatlan üzemeltetésével összefüggő költségekhez</t>
  </si>
  <si>
    <t>Megnevezés</t>
  </si>
  <si>
    <t>További évek összesen</t>
  </si>
  <si>
    <t>Mindösszesen</t>
  </si>
  <si>
    <t>a.</t>
  </si>
  <si>
    <t>b.</t>
  </si>
  <si>
    <t>c.</t>
  </si>
  <si>
    <t>d.</t>
  </si>
  <si>
    <t>e.</t>
  </si>
  <si>
    <t>f.</t>
  </si>
  <si>
    <t>g.=b.+…+f.</t>
  </si>
  <si>
    <t>Összesen:</t>
  </si>
  <si>
    <t>Mindösszesen:</t>
  </si>
  <si>
    <t>Jogcím</t>
  </si>
  <si>
    <t>Kedvezmény összege</t>
  </si>
  <si>
    <t>Mentesség összege</t>
  </si>
  <si>
    <t>Elengedett összeg</t>
  </si>
  <si>
    <t>Összesen</t>
  </si>
  <si>
    <t>Helyi adók</t>
  </si>
  <si>
    <t>Iparűzési adó</t>
  </si>
  <si>
    <t>~ Foglalkoztatás növeléséhez kapcsolódó adóalap-mentesség</t>
  </si>
  <si>
    <t xml:space="preserve">1990. évi C. törvény 39/D.§ </t>
  </si>
  <si>
    <t>~ Vállalkozói szintű adóalap-mentesség</t>
  </si>
  <si>
    <t>Iparűzési adó összesen:</t>
  </si>
  <si>
    <t>Építményadó</t>
  </si>
  <si>
    <t>~ Adóalany- feltételes- mentesség</t>
  </si>
  <si>
    <t xml:space="preserve">1990. évi C. törvény 3.§ (2) </t>
  </si>
  <si>
    <t>Építményadó összesen:</t>
  </si>
  <si>
    <t>Idegenforgalmi adó</t>
  </si>
  <si>
    <t>~ 18. életévét be nem töltött magánszemély mentessége</t>
  </si>
  <si>
    <t>1990. évi C. törvény 31.§ (1) a) pont</t>
  </si>
  <si>
    <t>~ Gyógyintézetben, szociális intézményben ellátott magánszemély mentessége</t>
  </si>
  <si>
    <t>1990. évi C. törvény 31.§ (1) b) pont</t>
  </si>
  <si>
    <t>~ Hallgatói jogviszonyhoz, szakképzéshez, munkavégzéshez kapcsolódó mentesség</t>
  </si>
  <si>
    <t>1990. évi C. törvény 31.§ (1) c) pont</t>
  </si>
  <si>
    <t>~ Üdülő tulajdonosi, bérlői jogviszonyhoz kapcsolódó mentesség</t>
  </si>
  <si>
    <t>1990. évi C. törvény 31.§ (1) d) pont</t>
  </si>
  <si>
    <t>~ 70. életévét betöltött magánszemély mentessége</t>
  </si>
  <si>
    <t>47/2010. (XII.14.) Önkormányzati rendelet 4.§ (1)</t>
  </si>
  <si>
    <t>Idegenforgalmi adó összesen:</t>
  </si>
  <si>
    <t>I.Helyi adók összesen</t>
  </si>
  <si>
    <t>Gépjármű adó</t>
  </si>
  <si>
    <t xml:space="preserve"> </t>
  </si>
  <si>
    <t>~ Költségvetési szerv, egyház, tűzoltóság tulajdonában lévő gépjármű után</t>
  </si>
  <si>
    <t>1991. évi LXXXII. törvény 5.§ a.), d.), e.)</t>
  </si>
  <si>
    <t>~ Társadalmi szerv, alapítvány tulajdonában lévő gépjármű után</t>
  </si>
  <si>
    <t>1991. évi LXXXII. törvény 5.§ b.)</t>
  </si>
  <si>
    <t>~ Helyi és helyközi tömegközlekedést bonyolító gépjármű után</t>
  </si>
  <si>
    <t>1991. évi LXXXII. törvény 5.§ c.)</t>
  </si>
  <si>
    <t>~ Súlyos mozgáskorlátozott személyek mentessége</t>
  </si>
  <si>
    <t>1991. évi LXXXII. törvény 5.§ f.)</t>
  </si>
  <si>
    <t>~ Környezetvédelmi besoroláshoz kapcsolódó kedvezmény</t>
  </si>
  <si>
    <t>1991. évi LXXXII. Törvény 8.§ (1), (2)</t>
  </si>
  <si>
    <t>II.Gépjármű adó összesen</t>
  </si>
  <si>
    <t>III.Elengedett bérleti díj</t>
  </si>
  <si>
    <t>IV.Egyéb nyújtott kedvezmény, elengedett kölcsön</t>
  </si>
  <si>
    <t>Ssz.</t>
  </si>
  <si>
    <t>1.</t>
  </si>
  <si>
    <t>2.</t>
  </si>
  <si>
    <t>3.</t>
  </si>
  <si>
    <t>4.</t>
  </si>
  <si>
    <t>5.</t>
  </si>
  <si>
    <t>6.</t>
  </si>
  <si>
    <t>7.</t>
  </si>
  <si>
    <t>8.</t>
  </si>
  <si>
    <t>9.</t>
  </si>
  <si>
    <t>Rovat száma</t>
  </si>
  <si>
    <t>K1</t>
  </si>
  <si>
    <t>K2</t>
  </si>
  <si>
    <t>K3</t>
  </si>
  <si>
    <t>K4</t>
  </si>
  <si>
    <t>K6</t>
  </si>
  <si>
    <t>K7</t>
  </si>
  <si>
    <t>K8</t>
  </si>
  <si>
    <t>7, Beruházások</t>
  </si>
  <si>
    <t>8, Felújítások</t>
  </si>
  <si>
    <t>(K1-K8)</t>
  </si>
  <si>
    <t>B1</t>
  </si>
  <si>
    <t>B2</t>
  </si>
  <si>
    <t>B3</t>
  </si>
  <si>
    <t>B4</t>
  </si>
  <si>
    <t>B5</t>
  </si>
  <si>
    <t>B6</t>
  </si>
  <si>
    <t>B7</t>
  </si>
  <si>
    <t>4. Előző évi felhalmozási célú költségvetési maradvány igénybevétele</t>
  </si>
  <si>
    <t>5. Maradvány igénybevétele (3+4)</t>
  </si>
  <si>
    <t>B8</t>
  </si>
  <si>
    <t>Szennyvízcsatorna építések</t>
  </si>
  <si>
    <t>Székesfehérvár Vizi Társulat éves tagdíja</t>
  </si>
  <si>
    <t>Egyéb</t>
  </si>
  <si>
    <t>Tervezési munkák</t>
  </si>
  <si>
    <t>Hatósági és egyéb díjak</t>
  </si>
  <si>
    <t>Belvárosi épületek rekonstrukcióját szolgáló fejlesztési alap (vissza nem térítendő támogatás)</t>
  </si>
  <si>
    <t>Tervezett felújítási munka</t>
  </si>
  <si>
    <t>Vörösmarty Mihály Könyvtár</t>
  </si>
  <si>
    <t>Polgármesteri Hivatal épületeit érintő felújítások</t>
  </si>
  <si>
    <t>Vis Maior</t>
  </si>
  <si>
    <t>5, Egyéb működési célú kiadások</t>
  </si>
  <si>
    <t>3. Előző évi működési célú költségvetési  maradvány igénybevétele</t>
  </si>
  <si>
    <t>Állami hozzájárulás jogcíme</t>
  </si>
  <si>
    <t>Támogatás mértéke (Ft)</t>
  </si>
  <si>
    <t>Jogosultság alapja (fő)</t>
  </si>
  <si>
    <t>Állami hozzájárulás összege (eFt)</t>
  </si>
  <si>
    <t>Nem közművel összegyűjtött háztartási szennyvíz ártalmatlanítása</t>
  </si>
  <si>
    <t>2. sz. melléklet II.1.</t>
  </si>
  <si>
    <t>2. sz. melléklet II.2.</t>
  </si>
  <si>
    <t>Óvodaműködtetési támogatás</t>
  </si>
  <si>
    <t>Szociális étkeztetés</t>
  </si>
  <si>
    <t>2. sz. melléklet III.3.f)</t>
  </si>
  <si>
    <t>Időskorúak nappali intézményi ellátása</t>
  </si>
  <si>
    <t>2. sz. melléklet III.3.g)</t>
  </si>
  <si>
    <t>Fogyatékos és demens személyek nappali intézményi ellátása</t>
  </si>
  <si>
    <t>2. sz. melléklet III.3.i)</t>
  </si>
  <si>
    <t>Hajléktalanok nappali intézményi ellátása</t>
  </si>
  <si>
    <t>2. sz. melléklet III.3.k)</t>
  </si>
  <si>
    <t>Hajléktalanok átmeneti intézményei</t>
  </si>
  <si>
    <t>2. sz. melléklet III.4.a)</t>
  </si>
  <si>
    <t>2. sz. melléklet III.4.b)</t>
  </si>
  <si>
    <t>2. sz. melléklet III.5.a)</t>
  </si>
  <si>
    <t xml:space="preserve">2. sz. melléklet IV.1.a) </t>
  </si>
  <si>
    <t>Megyei hatókörű városi múzeumok feladatainak támogatása</t>
  </si>
  <si>
    <t xml:space="preserve">2. sz. melléklet IV.1.b) </t>
  </si>
  <si>
    <t xml:space="preserve">2. sz. melléklet IV.1.c) </t>
  </si>
  <si>
    <t>A települési önkormányzatok által fenntartott, illetve támogatott előadó-művészeti szervezetek támogatása</t>
  </si>
  <si>
    <t>2. sz. melléklet összesen:</t>
  </si>
  <si>
    <t>Tájékoztató Székesfehérvár Megyei Jogú Város Önkormányzat és  Költségvetési szervei</t>
  </si>
  <si>
    <t>Költségvetési szervek</t>
  </si>
  <si>
    <t>b/1</t>
  </si>
  <si>
    <t>c/1</t>
  </si>
  <si>
    <t>d/1</t>
  </si>
  <si>
    <t>1, Helyi önkormányzatok működésének általános támogatása</t>
  </si>
  <si>
    <t xml:space="preserve">4, Települési önkormányzatok kulturális feladatainak támogatása </t>
  </si>
  <si>
    <t>6, Önkormányzatok működési támogatásai összesen (1+2+3+4+5):</t>
  </si>
  <si>
    <t>B111</t>
  </si>
  <si>
    <t>B112</t>
  </si>
  <si>
    <t>B113</t>
  </si>
  <si>
    <t>B114</t>
  </si>
  <si>
    <t>B115</t>
  </si>
  <si>
    <t>B11</t>
  </si>
  <si>
    <t>B21</t>
  </si>
  <si>
    <t>B34</t>
  </si>
  <si>
    <t>B351</t>
  </si>
  <si>
    <t>B354</t>
  </si>
  <si>
    <t>B355</t>
  </si>
  <si>
    <t>B35</t>
  </si>
  <si>
    <t>B36</t>
  </si>
  <si>
    <t>B404</t>
  </si>
  <si>
    <t>B408</t>
  </si>
  <si>
    <t>B52</t>
  </si>
  <si>
    <t>11, Általános tartalék</t>
  </si>
  <si>
    <t>12, Céltartalék</t>
  </si>
  <si>
    <t>13, Tartalékok összesen:</t>
  </si>
  <si>
    <t>14,Költségvetési kiadások összesen:</t>
  </si>
  <si>
    <t>K9</t>
  </si>
  <si>
    <t>~ ebből: Tulajdonosi bevételek</t>
  </si>
  <si>
    <t xml:space="preserve">              Kiszámlázott általános forgalmi adó, és általános forgalmi adó visszatérítése</t>
  </si>
  <si>
    <t>B406-B407</t>
  </si>
  <si>
    <t xml:space="preserve">              Kamatbevételek</t>
  </si>
  <si>
    <t>B813</t>
  </si>
  <si>
    <t>FORRÁSOK</t>
  </si>
  <si>
    <t>Épületek bérl. díj bevétele</t>
  </si>
  <si>
    <t>Ebből:</t>
  </si>
  <si>
    <t>Lakások</t>
  </si>
  <si>
    <t>Nem lakás célú helyiségek</t>
  </si>
  <si>
    <t>Nem lakáscélú helyiségek bérleti díj ÁFA bevétele</t>
  </si>
  <si>
    <t>Önkormányzati egyéb bevételből biztosított forrás</t>
  </si>
  <si>
    <t>ÖSSZES FORRÁS</t>
  </si>
  <si>
    <t>FELHASZNÁLÁSOK</t>
  </si>
  <si>
    <t>Önkormányzati ingatlankezelés üzemeltetési költsége</t>
  </si>
  <si>
    <t>Önkormányzati ingatlankezelés alapdíja</t>
  </si>
  <si>
    <t>Önkormányzati ingatlankezelés egyéb díja</t>
  </si>
  <si>
    <t>~ebből közös költség</t>
  </si>
  <si>
    <t>ÁFA befizetés</t>
  </si>
  <si>
    <t>ÖSSZES FELHASZNÁLÁS</t>
  </si>
  <si>
    <t>Összeg</t>
  </si>
  <si>
    <t>2. sz. melléklet IV.1.h)</t>
  </si>
  <si>
    <t>~ Méltányossági törlés</t>
  </si>
  <si>
    <t>2003. évi XCII. Törvény 134.§</t>
  </si>
  <si>
    <t>1. Költségvetési bevételek mindösszesen</t>
  </si>
  <si>
    <t>2. Költségvetési kiadások mindösszesen</t>
  </si>
  <si>
    <t>I. Költségvetési bevételek</t>
  </si>
  <si>
    <t>III. Költségvetési kiadások</t>
  </si>
  <si>
    <t>V. Költségvetési egyenleg I-III.</t>
  </si>
  <si>
    <t>VI. Finanszírozási egyenleg II-IV.</t>
  </si>
  <si>
    <t>VII. Egyenleg V-VI.</t>
  </si>
  <si>
    <t>Székesfehérvár Megyei Jogú Város Önkormányzat és  Költségvetési szervei</t>
  </si>
  <si>
    <t>(B1-B7)</t>
  </si>
  <si>
    <t>1. Maradvány igénybevétele</t>
  </si>
  <si>
    <t>Műszaki ellenőrzések kerete</t>
  </si>
  <si>
    <t>7, Egyéb működési célú támogatások bevételei államháztartáson belülről</t>
  </si>
  <si>
    <t>B16</t>
  </si>
  <si>
    <t>8, Működési célú támogatások államháztartáson belülről összesen (6+7):</t>
  </si>
  <si>
    <t>9, Felhalmozási célú önkormányzati támogatások</t>
  </si>
  <si>
    <t>B25</t>
  </si>
  <si>
    <t>10, Egyéb felhalmozási célú támogatások bevételei államháztartáson belülről</t>
  </si>
  <si>
    <t>11, Felhalmozási célú támogatások államháztartáson belülről összesen: (9+10)</t>
  </si>
  <si>
    <t xml:space="preserve">              Közbiztonsági problémák társadalmi kezelése</t>
  </si>
  <si>
    <t>Anyakönyvi népesség-nyilvántartási és okmánykibocsátási tevékenység</t>
  </si>
  <si>
    <t xml:space="preserve">              Alba Volán Zrt. 504/2012.(VIII.17.) kgy.hat. .I. 1. b. pontja alapján történő finanszírozására</t>
  </si>
  <si>
    <t xml:space="preserve">           Fehérvári Versünnep, a Költészet Napja - Fehérvár Médiacentrum Kft.</t>
  </si>
  <si>
    <t xml:space="preserve"> - Kulturális feladatokhoz kapcsolódó egyéb rendezvények</t>
  </si>
  <si>
    <t>Sportszakosztályi és csarnoküzemeltetési támogatások</t>
  </si>
  <si>
    <t>Egyéb sportcélú támogatások</t>
  </si>
  <si>
    <t>~ ebből: Civil nap megrendezési költségei</t>
  </si>
  <si>
    <t xml:space="preserve">              Önkormányzati kitüntetések, címek</t>
  </si>
  <si>
    <t xml:space="preserve">              Lakásbérlők és Lakástulajdonosok Érdekvédelmi Egyesülete</t>
  </si>
  <si>
    <t xml:space="preserve">              Alba Regia Nyugdíjas Egyesület</t>
  </si>
  <si>
    <t xml:space="preserve">              Széna Egyesület a Családokért</t>
  </si>
  <si>
    <t xml:space="preserve">              Szegényeket Támogató Alapítvány</t>
  </si>
  <si>
    <t xml:space="preserve">              Ifjúság A Jövő Családjaiért Kulturális Közhasznú Egyesület</t>
  </si>
  <si>
    <t xml:space="preserve">              Székesfehérvári Egyházmegye-Belvárosi templomok turisztikai célú támogatása</t>
  </si>
  <si>
    <t xml:space="preserve">              Székesfehérvári Városszépítő- és Védő Egyesület</t>
  </si>
  <si>
    <t xml:space="preserve">              Magyar Hadisírgondozó Szövetség</t>
  </si>
  <si>
    <t xml:space="preserve">              Fehérvári Tűzoltó Egyesület</t>
  </si>
  <si>
    <t>Lakáselidegenítés kiadásai</t>
  </si>
  <si>
    <t xml:space="preserve">           Primavera Vegyeskórus Egyesület</t>
  </si>
  <si>
    <t xml:space="preserve">           Székesfehérvár-Tác Önkormányzati Társulás működésével kapcsolatos költségekre</t>
  </si>
  <si>
    <t xml:space="preserve">           "Ars Musica" Zenebarátok Egyesülete</t>
  </si>
  <si>
    <t>Cím</t>
  </si>
  <si>
    <t>Egyéb felhalmozási célú kiadások</t>
  </si>
  <si>
    <t>Költségvetési kiadások összesen</t>
  </si>
  <si>
    <t>Finanszírozási kiadások</t>
  </si>
  <si>
    <t>Kiadások  összesen</t>
  </si>
  <si>
    <t>K5</t>
  </si>
  <si>
    <t>g.</t>
  </si>
  <si>
    <t>k.</t>
  </si>
  <si>
    <t>l.=i.+j.+k.</t>
  </si>
  <si>
    <t>m.=h.+l.</t>
  </si>
  <si>
    <t>o.=m.+n.</t>
  </si>
  <si>
    <t>Humán Szolgáltató Intézet</t>
  </si>
  <si>
    <t>Frim Jakab Képességfejlesztő Szakosított Otthon</t>
  </si>
  <si>
    <t>Eü. Ellátás összesen</t>
  </si>
  <si>
    <t>Százszorszép Bölcsőde</t>
  </si>
  <si>
    <t>Napraforgó Bölcsőde</t>
  </si>
  <si>
    <t>Bölcsőde összesen</t>
  </si>
  <si>
    <t>Árpád Úti Óvoda</t>
  </si>
  <si>
    <t>Felsővárosi Óvoda</t>
  </si>
  <si>
    <t>Hosszúsétatéri Óvoda</t>
  </si>
  <si>
    <t>Maroshegyi Óvoda</t>
  </si>
  <si>
    <t>Szárazréti Óvoda</t>
  </si>
  <si>
    <t>Szivárvány Óvoda</t>
  </si>
  <si>
    <t>Óvodák összesen</t>
  </si>
  <si>
    <t>Humán Szolg. összesen</t>
  </si>
  <si>
    <t>Kríziskezelő Központ</t>
  </si>
  <si>
    <t>Szociális ellátás összesen</t>
  </si>
  <si>
    <t xml:space="preserve">Székesfehérvári Intézményi Központ </t>
  </si>
  <si>
    <t>Városi Levéltár és Kutatóintézet</t>
  </si>
  <si>
    <t>Szent István Király Múzeum</t>
  </si>
  <si>
    <t>Vörösmarty Színház</t>
  </si>
  <si>
    <t>A Szabadművelődés Háza</t>
  </si>
  <si>
    <t>Kulturális ellátás összesen</t>
  </si>
  <si>
    <t>Intézmények összesen:</t>
  </si>
  <si>
    <t xml:space="preserve">Polgármesteri Hivatal </t>
  </si>
  <si>
    <t>Működési célú támogatások államháztartáson belülről</t>
  </si>
  <si>
    <t>Felhalmozási célú támogatások államháztartáson belülről</t>
  </si>
  <si>
    <t xml:space="preserve"> Közhatalmi bevételek</t>
  </si>
  <si>
    <t>Működési célú átvett pénzeszközök</t>
  </si>
  <si>
    <t>Felhalmozási célú átvett pénzeszközök</t>
  </si>
  <si>
    <t>Költségvetési  bevételek összesen</t>
  </si>
  <si>
    <t>Önkormányzati támogatás</t>
  </si>
  <si>
    <t>Maradvány igénybevétele</t>
  </si>
  <si>
    <t>(B1+B3+B4+B6)</t>
  </si>
  <si>
    <t>(B2+B5+B7)</t>
  </si>
  <si>
    <t>j.=c.+e +f.+h.</t>
  </si>
  <si>
    <t>k.=d.+g.+i.</t>
  </si>
  <si>
    <t>l.=j.+k.</t>
  </si>
  <si>
    <t>n.=l.+m.</t>
  </si>
  <si>
    <t xml:space="preserve">Humán Szolgáltató összesen </t>
  </si>
  <si>
    <t>Élelmezés</t>
  </si>
  <si>
    <t>Élelmezés  ÁFA</t>
  </si>
  <si>
    <t>Székesfehérvári Intézményi Központ</t>
  </si>
  <si>
    <t xml:space="preserve">           Vox Mirabilis Közhasznú Kulturális Egyesület</t>
  </si>
  <si>
    <t>Egyéb működési célú kiadások</t>
  </si>
  <si>
    <t>Egyéb felhalmozási célú  kiadások</t>
  </si>
  <si>
    <t>9, Egyéb felhalmozási célú kiadások</t>
  </si>
  <si>
    <t>K5(k512)</t>
  </si>
  <si>
    <t>K1-8.</t>
  </si>
  <si>
    <t>K1-5.</t>
  </si>
  <si>
    <t>K6-8.</t>
  </si>
  <si>
    <t>(K1-8.)</t>
  </si>
  <si>
    <t>B1-7.</t>
  </si>
  <si>
    <t>o.=g.+k.+n.</t>
  </si>
  <si>
    <t>Ybl Miklós-program: Intézményfelújítások</t>
  </si>
  <si>
    <t>Közlekedési kiadások</t>
  </si>
  <si>
    <t>~ ebből: HEROSZ Egyesület</t>
  </si>
  <si>
    <t>Alba Volán Zrt. - 2006. január 1. napjától 2012. december 31. napjáig terjedő időszak veszteségének kiegyenlése</t>
  </si>
  <si>
    <t>Költségvetési szervek összesen:</t>
  </si>
  <si>
    <t xml:space="preserve"> belül a kiemelt dologi előirányzatok (eFt-ban)</t>
  </si>
  <si>
    <t>Közüzemi díjak</t>
  </si>
  <si>
    <t>Közüzemi díjak ÁFA</t>
  </si>
  <si>
    <t>KÖLTSÉGVETÉSI SZERVEK</t>
  </si>
  <si>
    <t xml:space="preserve"> Eü. ellátás összesen</t>
  </si>
  <si>
    <t>Felhalmozási célú támogatások bevételei államháztartáson belülről</t>
  </si>
  <si>
    <t>Működési költségvetési kiadások összesen:</t>
  </si>
  <si>
    <t>Működési költségvetési bevételek összesen:</t>
  </si>
  <si>
    <t>Működési költségvetési kiadások</t>
  </si>
  <si>
    <t>Működési költségvetési bevételek</t>
  </si>
  <si>
    <t>Felhalmozási költségvetési kiadások</t>
  </si>
  <si>
    <t>Felhalmozási költségvetési bevételek</t>
  </si>
  <si>
    <t xml:space="preserve">Felhalmozási bevételek </t>
  </si>
  <si>
    <t>Működési költségvetési bevételek-kiadások egyenlege</t>
  </si>
  <si>
    <t>Felhalmozási költségvetési bevételek- kiadások egyenlege</t>
  </si>
  <si>
    <t>Felhalmozási költségvetési kiadások összesen:</t>
  </si>
  <si>
    <t>Felhalmozási költségvetési bevételek összesen:</t>
  </si>
  <si>
    <t>Működési finanszírozási kiadások</t>
  </si>
  <si>
    <t>Működési finanszírozási bevételek</t>
  </si>
  <si>
    <t>Működési finanszírozási bevételek-kiadások egyenlege</t>
  </si>
  <si>
    <t>Működési finanszírozási kiadások összesen:</t>
  </si>
  <si>
    <t>Működési finanszírozási bevételek összesen:</t>
  </si>
  <si>
    <t>Működési egyenleg</t>
  </si>
  <si>
    <t>Felhalmozási finanszírozási kiadások</t>
  </si>
  <si>
    <t>Felhalmozási finanszírozási kiadások összesen:</t>
  </si>
  <si>
    <t>Felhalmozási finanszírozási bevételek</t>
  </si>
  <si>
    <t>Felhalmozási finanszírozási bevételek összesen:</t>
  </si>
  <si>
    <t>Felhalmozási egyenleg</t>
  </si>
  <si>
    <t>Finanszírozási kiadások összesen:</t>
  </si>
  <si>
    <t>Finanszírozási bevételek összesen:</t>
  </si>
  <si>
    <t>Egyenleg</t>
  </si>
  <si>
    <t>Finanszírozási bevételek-kiadások egyenlege</t>
  </si>
  <si>
    <t>Felhalmozási finanszírozási bevételek-kiadások egyenlege</t>
  </si>
  <si>
    <t>Pályázat tervezett kiírása</t>
  </si>
  <si>
    <t>Pályázat célja</t>
  </si>
  <si>
    <t>Maximálisan felosztható összeg</t>
  </si>
  <si>
    <t>Támogatási keretek, alapok</t>
  </si>
  <si>
    <t>2. Irányító szervi támogatás</t>
  </si>
  <si>
    <t>Irányító szervi támogatás folyósítása</t>
  </si>
  <si>
    <t xml:space="preserve">Irányító szervi támogatás </t>
  </si>
  <si>
    <t>I. Költségvetési egyenleg (1-2) az Áht. szerint</t>
  </si>
  <si>
    <t>6. Irányító szervi támogatás</t>
  </si>
  <si>
    <t>B816</t>
  </si>
  <si>
    <t>3, Települési önkormányzatok szociális, gyermekjóléti és gyermekétkeztetési feladatainak támogatása</t>
  </si>
  <si>
    <t>K915</t>
  </si>
  <si>
    <t>2. sz. melléklet III.3.b)</t>
  </si>
  <si>
    <t>2. sz. melléklet III.3.c)</t>
  </si>
  <si>
    <t>2. sz. melléklet III.5.b)</t>
  </si>
  <si>
    <t>2. sz. melléklet I.2.</t>
  </si>
  <si>
    <t>Megyeszékhely megyei jogú városok közművelődési feladatainak támogatása</t>
  </si>
  <si>
    <t xml:space="preserve">2. sz. melléklet IV.2. </t>
  </si>
  <si>
    <t>2. sz. melléklet III. d)</t>
  </si>
  <si>
    <t>Székesfehérvár környezeti, történelmi értékeit és hagyományait bemutató programok támogatása</t>
  </si>
  <si>
    <t>Székesfehérváron megvalósuló szociális és esélyegyenlőségi programok támogatása</t>
  </si>
  <si>
    <t>Székesfehérvári civil szervezetek működési költségeinek támogatása</t>
  </si>
  <si>
    <t>Mészöly Géza u. Orvosi rendelő</t>
  </si>
  <si>
    <t>Akadálymentesítéshez, lift kialakításához kapcsolódó munkák</t>
  </si>
  <si>
    <t>Tartalék keret</t>
  </si>
  <si>
    <t>K5 (K501-K512)</t>
  </si>
  <si>
    <t>K5 (K513)</t>
  </si>
  <si>
    <t>2, Települési önkormányzatok egyes köznevelési feladatainak támogatása</t>
  </si>
  <si>
    <t>5, Működési célú költségvetési támogatások és kiegészítő támogatások</t>
  </si>
  <si>
    <t>Nyítnikék Bölcsőde</t>
  </si>
  <si>
    <t>Rákóczi Utcai Óvoda</t>
  </si>
  <si>
    <t>Tolnai Utcai Óvoda</t>
  </si>
  <si>
    <t>Alba Regia Szimfonikus Zenekar</t>
  </si>
  <si>
    <t>Projektzárás alatt</t>
  </si>
  <si>
    <t xml:space="preserve">VÁROSFEJLESZTÉS </t>
  </si>
  <si>
    <t xml:space="preserve">           Alba Regia Táncegyesület - közszolgáltatási szerződés</t>
  </si>
  <si>
    <t xml:space="preserve">           Alba Regia Táncegyesület - programok és működési támogatás</t>
  </si>
  <si>
    <t xml:space="preserve">           Gárdonyi Géza Művelődési Ház és Könyvtár Egyesület</t>
  </si>
  <si>
    <t xml:space="preserve">             Alba Regia SC Kft. Kosárlabda Szakosztály</t>
  </si>
  <si>
    <t xml:space="preserve">             Delfin Sportegyesület- működésre</t>
  </si>
  <si>
    <t xml:space="preserve">             Laroco Motorsport Klub Veszprém-Fehérvár rally megrendezése</t>
  </si>
  <si>
    <t xml:space="preserve">             Pro Rekreatione Közhasznú Nonprofit Kft.- Velence-tavi Vízi Sportiskola működési támogatás</t>
  </si>
  <si>
    <t xml:space="preserve">           Fehérvári Programszervező Kft.</t>
  </si>
  <si>
    <t>Projekt megnevezése</t>
  </si>
  <si>
    <t>Bevétel összesen*</t>
  </si>
  <si>
    <t>Kiadás összesen*</t>
  </si>
  <si>
    <t>* Megjegyzés: Tartalmazza a finanszírozási célú bevételeket és kiadásokat, kivéve az irányító szervi támogatást a duplikáció elkerülése okán.</t>
  </si>
  <si>
    <t>~ ebből: Székesfehérvári Többcélú Kistérségi Társulás feladatellátásához való működési hozzájárulás</t>
  </si>
  <si>
    <t>Lakáselidegenítés tervezett előirányzatainak felhasználása (eFt-ban)</t>
  </si>
  <si>
    <t>BEVÉTELEK</t>
  </si>
  <si>
    <t>Tárgyévi lakásértékesítések bevételei</t>
  </si>
  <si>
    <t>Előző években értékesített lakások tárgyévi törlesztő részlete</t>
  </si>
  <si>
    <t>KIADÁSOK</t>
  </si>
  <si>
    <t>Életjáradék lakásért</t>
  </si>
  <si>
    <t>Fehérvári Programszervező Kft. által szervezett önkormányzati rendezvények részbeni fedezetének biztosítására</t>
  </si>
  <si>
    <t>2. sz. melléklet II.4.</t>
  </si>
  <si>
    <t>2. sz. melléklet III.3.a)</t>
  </si>
  <si>
    <t>1991. évi LXXXII. törvény 5.§ g)</t>
  </si>
  <si>
    <t>~ Környzetkímélő gépkocsi után</t>
  </si>
  <si>
    <t>Feladat megnevezése</t>
  </si>
  <si>
    <t>Szennyvízcsatorna összesen:</t>
  </si>
  <si>
    <t>Útfelújítások</t>
  </si>
  <si>
    <t xml:space="preserve">          Jelzőlámpa-rendszer fejlesztése</t>
  </si>
  <si>
    <t xml:space="preserve">          Közműoszlop-kiváltások</t>
  </si>
  <si>
    <t>Egyéb javaslat</t>
  </si>
  <si>
    <t>Útfelújítások összesen:</t>
  </si>
  <si>
    <t>Csapadékvíz elvezetés, árvíz-belvíz védekezés</t>
  </si>
  <si>
    <t>Csapadékcsatorna üzemeltetés</t>
  </si>
  <si>
    <t>Csapadékvíz elvezetés, árvíz-belvíz védekezés összesen:</t>
  </si>
  <si>
    <t>Korlátozási kártalanítás</t>
  </si>
  <si>
    <t>Szemünk Fénye program</t>
  </si>
  <si>
    <t>Székesfehérvári Sóstó Természetvédelmi Terület és Vidámparki Csónakázótó rehabilitációjára, figyelemmel a 1285/2015.(IV.30.) Korm. Határozatra, valamint a megvalósítás ütemezésére</t>
  </si>
  <si>
    <t>Belvárosi épületek rekonstrukcióját szolgáló fejlesztési alap (visszatérítendő támogatás)</t>
  </si>
  <si>
    <t>544/2015. (VII.23.) kgy.határozathoz kapcsolódó fejlesztési keret</t>
  </si>
  <si>
    <t>Egyéb összesen:</t>
  </si>
  <si>
    <t>Fő és gyűjtőutak felújítása - Ligetsor (Ligetsor felújítás és parkolómező, körforgalom, iskola-óvoda előtti tér, sétány)</t>
  </si>
  <si>
    <t>Székesfehérvár-Csala 22 kV-os vezeték kiváltása</t>
  </si>
  <si>
    <t>Székesfehérvári Család- és Gyermekjóléti Központ</t>
  </si>
  <si>
    <t>Autóbusz-hálózat átalakításával összefüggő feladatok</t>
  </si>
  <si>
    <t>Államigazgatási feladat</t>
  </si>
  <si>
    <t>Államigaz-gatási feladat</t>
  </si>
  <si>
    <t>álláshely</t>
  </si>
  <si>
    <t>3. számú Bölcsőde</t>
  </si>
  <si>
    <t>Székesfehérvári Mikrovállalkozások Kamattámogatási Programja</t>
  </si>
  <si>
    <t>2019. év</t>
  </si>
  <si>
    <t>Álláshely</t>
  </si>
  <si>
    <t>6, Működési költségvetési kiadások összesen</t>
  </si>
  <si>
    <t>10, Felhalmozási költségvetési kiadások összesen</t>
  </si>
  <si>
    <t>6, Működési költségvetési kiadások  összesen:</t>
  </si>
  <si>
    <t>10, Felhalmozási költségvetési kiadások összesen:</t>
  </si>
  <si>
    <t>Működési költségvetési kiadások összesen</t>
  </si>
  <si>
    <t>7. számú Bölcsőde</t>
  </si>
  <si>
    <t>Székesfehérvári Stadionrekonstrukciós program megvalósítására, figyelemmel a 1285/2015.(IV.30.) Korm. Határozatra, valamint a megvalósítás ütemezésére *</t>
  </si>
  <si>
    <t>Előző évi felhalmozási célú költségvetési maradvány igénybevétele</t>
  </si>
  <si>
    <t>Előző évi működési célú költségvetési maradvány igénybevétele</t>
  </si>
  <si>
    <t>K9121</t>
  </si>
  <si>
    <t>16, Államháztartáson belüli megelőlegezések visszafizetése</t>
  </si>
  <si>
    <t>K914</t>
  </si>
  <si>
    <t>B8121</t>
  </si>
  <si>
    <t>15, Forgatási célú belföldi értékpapírok vásárlása</t>
  </si>
  <si>
    <t>3. Forgatási célú belföldi értékpapírok beváltása, értékesítése</t>
  </si>
  <si>
    <t>IV. Finanszírozási kiadások összesen (1+2+3)</t>
  </si>
  <si>
    <t>Házi segítségnyújtás-személyi gondozás</t>
  </si>
  <si>
    <t>A települési önkormányzatok által biztosított egyes szociális szakosított ellátások, valamint a gyermekek átmeneti gondosásával kapcsolatos feladatok támogatása- A finanszírozás szempontjából elismert szakmai dolgozók bértámogatása</t>
  </si>
  <si>
    <t>2. sz. melléklet III.6)</t>
  </si>
  <si>
    <t>2. sz. melléklet III.7)</t>
  </si>
  <si>
    <t>48/2015. (XI.30.) Önkormányzati rendelet 4.§ (1)</t>
  </si>
  <si>
    <t>8. számú Bölcsőde</t>
  </si>
  <si>
    <t>Belvárosi Bunszvik Teréz Óvoda</t>
  </si>
  <si>
    <t>Gyöngyvirág Óvoda-Székesfehérvár</t>
  </si>
  <si>
    <t xml:space="preserve">          Balatoni u. járda töltésmegerősítés kiviteli terv készítés</t>
  </si>
  <si>
    <t>Iskolák előtti közösségi terek kialakítása</t>
  </si>
  <si>
    <t>Közösségi terek tervezése, létrehozása</t>
  </si>
  <si>
    <t>Nyílászáró csere</t>
  </si>
  <si>
    <t>Székesfehérvár déli összekötőút megvalósítása, előkészítése</t>
  </si>
  <si>
    <t>Varga csatorna mederrendezése</t>
  </si>
  <si>
    <t>Kégl és Távírda utca csapadékcsatorna rekonstrukció</t>
  </si>
  <si>
    <t>Székesfehérvár szennyvíztisztító telep biogáz vonalának fejlesztése</t>
  </si>
  <si>
    <t>Középiskolai Campus</t>
  </si>
  <si>
    <t>Palotavárosi tavak sport és rekreációs célú hasznosítása</t>
  </si>
  <si>
    <t>Forgatási célú belföldi értékpapírok beváltása, értékesítése</t>
  </si>
  <si>
    <t>Forgatási célú belföldi értékpapírok vásárlása</t>
  </si>
  <si>
    <t>Államháztartáson belüli megelőlegezések visszafizetése</t>
  </si>
  <si>
    <t>Utastájékoztatás (arculattervezés, táblacsere, menetrend, menetrendfüzet)</t>
  </si>
  <si>
    <t>Integrált Területi Program (ITP) felújításai</t>
  </si>
  <si>
    <t>Integrált Területi Program (ITP) felújításai összesen:</t>
  </si>
  <si>
    <t>Árpád-ház programhoz kapcsolódó tervezési, előkészítési feladatok figyelemmel az 1315/2016.(VII.1.) Korm.határozatra</t>
  </si>
  <si>
    <t>Fel nem osztott keret</t>
  </si>
  <si>
    <t>Szolidaritási hozzájárulás</t>
  </si>
  <si>
    <t>~ ebből: Városrészi közbiztonsági feladatok támogatása</t>
  </si>
  <si>
    <t xml:space="preserve">              Térfigyelő kamerarendszer bővítése (Közbiztonság növelését szolgáló fejlesztések megvalósítása)</t>
  </si>
  <si>
    <t>~ ebből: Helyi közösségi közlekedés finanszírozási kerete</t>
  </si>
  <si>
    <t xml:space="preserve">              Önálló Főiskolai Közalapítvány támogatása</t>
  </si>
  <si>
    <t xml:space="preserve">              Mozgássérültek Fejér Megyei Egyesülete által fenntartott Viktória Rehabilitációs Központ egészségügyi és szociális ellátásának támogatása</t>
  </si>
  <si>
    <t xml:space="preserve">              Székesfehérvár Fejlődéséért Alapítvány támogatása</t>
  </si>
  <si>
    <t xml:space="preserve">           Bory-Vár Alapítvány támogatása</t>
  </si>
  <si>
    <t>~ ebből: Fehérvár FC Kft.</t>
  </si>
  <si>
    <t xml:space="preserve">             Alba Volán Sportclub Öttusa Szakosztály</t>
  </si>
  <si>
    <t xml:space="preserve">             Fehérvár Enthroners Sportegyesület</t>
  </si>
  <si>
    <t xml:space="preserve">             Fehérvár Frizbi Sportegyesület</t>
  </si>
  <si>
    <t>TÁMOGATÁSI ALAPOK (KERETEK, ALAPOK)</t>
  </si>
  <si>
    <t>2020. év</t>
  </si>
  <si>
    <t>I. Európai uniós és hazai forrásból megvalósuló projektekkel kapcsolatos kiadások</t>
  </si>
  <si>
    <t>Fő és gyűjtőutak felújítása - Berényi u. II. ütem</t>
  </si>
  <si>
    <t>Segítő Fehérvár program</t>
  </si>
  <si>
    <t>Felsőváros vízrendezése II. üteme</t>
  </si>
  <si>
    <t>Székesfehérvári szennyvíztisztító telep biogáz vonalának fejlesztése</t>
  </si>
  <si>
    <t>II. Egyéb beruházási, felhalmozási kiadások</t>
  </si>
  <si>
    <t>Alba Geotrade Zrt. – központi közműnyilvántartás és alaptérkép vezetése</t>
  </si>
  <si>
    <t>II. Egyéb beruházási, felhalmozási kiadások összesen</t>
  </si>
  <si>
    <t>III. Helyi közösségi közlekedéssel kapcsolatos kiadások</t>
  </si>
  <si>
    <t>III. Helyi közösségi közlekedéssel kapcsolatos kiadások összesen</t>
  </si>
  <si>
    <t>Projekt összköltség</t>
  </si>
  <si>
    <t>2015. évi támogatás</t>
  </si>
  <si>
    <t>2016. évi támogatás</t>
  </si>
  <si>
    <t>2017. évi támogatás</t>
  </si>
  <si>
    <t>2018. évi támogatás</t>
  </si>
  <si>
    <t>2019. évi támogatás</t>
  </si>
  <si>
    <t>2020. évi támogatás</t>
  </si>
  <si>
    <t>Kisléptékű közlekedési célú fejlesztés a munkaerő mobilitás és a gazdaságfejlesztés érdekében</t>
  </si>
  <si>
    <t>Helyi foglalkoztatási együttműködések Székesfehérvár és járása területén</t>
  </si>
  <si>
    <t>* megjegyzés: a projekt összege Áfá-t nem tartalmaz.</t>
  </si>
  <si>
    <t>Államháztartáson belüli megelőlegezések</t>
  </si>
  <si>
    <t>4, Ellátottak pénzbeli juttatásai</t>
  </si>
  <si>
    <t>Ellátottak pénzbeli juttatásai</t>
  </si>
  <si>
    <t>II. Finanszírozási bevételek összesen (1+2+3)</t>
  </si>
  <si>
    <t>Előkészítés alatt</t>
  </si>
  <si>
    <t>Egyenleg (I-II.)</t>
  </si>
  <si>
    <t>Budai u. 56/a ingatlan felújítása (Csemete Gyermekcentrum Bölcsőde)</t>
  </si>
  <si>
    <t xml:space="preserve">              Kégl György Program - Egészségügyi feladatok</t>
  </si>
  <si>
    <t xml:space="preserve">              Kégl György Program - Fejér Megyei Szent György Egyetemi Oktató Kórház működési és fejlesztési támogatása</t>
  </si>
  <si>
    <t>Fejlesztési kiadások, Viziközmű-fejlesztési Alap</t>
  </si>
  <si>
    <t xml:space="preserve">              Székesfehérvári Tankerületi Központ- oktatásszakmai munkájának támogatása</t>
  </si>
  <si>
    <t xml:space="preserve">              Székesfehérvári Szakképzési Centrum - oktatásszakmai munkájának támogatása</t>
  </si>
  <si>
    <t xml:space="preserve">           Kákics Kulturális Egyesület</t>
  </si>
  <si>
    <t xml:space="preserve">              Alba Civitan Rehabilitációs Nonprofit Kft. támogatása</t>
  </si>
  <si>
    <t>1000 fa ültetése projekt</t>
  </si>
  <si>
    <t>Óvodapedagógusok és az óvodapedagógusok nevelőmunkáját közvetlenül segítők bértámogatása</t>
  </si>
  <si>
    <t>Kiegészítő támogatás az óvodapedagógusok és pedagógus szakképzettséggel rendelkező segítők minősítéséből adódó többletkiadásokhoz</t>
  </si>
  <si>
    <t>Család - és gyermekjóléti szolgálat</t>
  </si>
  <si>
    <t>Család- és gyermekjóléti központ</t>
  </si>
  <si>
    <t>Házi segítségnyújtás-szociális segítség</t>
  </si>
  <si>
    <t>A települési önkormányzatok által biztosított egyes szociális szakosított ellátások, valamint a gyermekek átmeneti gondosásával kapcsolatos feladatok támogatása- Intézményüzemeltetési támogatás</t>
  </si>
  <si>
    <t>Intézményi gyermekétkeztetés támogatása - Az intézményi gyermekétkeztetés kapcsán az étkeztetési feladatot ellátók után járó bértámogatás</t>
  </si>
  <si>
    <t>Intézményi gyermekétkeztetés támogatása - Az intézményi gyermekétkeztetés üzemeltetési támogatása</t>
  </si>
  <si>
    <t>A rászoruló gyermekek szünidei étkeztetésének támogatása</t>
  </si>
  <si>
    <t>Bölcsőde, mini bölcsőde támogatása</t>
  </si>
  <si>
    <t>Megyei hatókörű városi könyvtárak feladatainak támogatása</t>
  </si>
  <si>
    <t>Megyei hatókörű városi könyvtár kistelepülési könyvtári célú kiegészítő támogatása</t>
  </si>
  <si>
    <t xml:space="preserve">Saára Gyula program </t>
  </si>
  <si>
    <t xml:space="preserve">          Kégl és Távírda utca felújítása</t>
  </si>
  <si>
    <t xml:space="preserve">           Széchenyi út - Horvát István út új sáv kiépítése középsziget csökkentésével</t>
  </si>
  <si>
    <t>Varga csatorna árapasztó műtárgy kivitelezése</t>
  </si>
  <si>
    <t>Zombori utca csapadékcsatorna átépítése</t>
  </si>
  <si>
    <t>Arany János u. 10. szám alatti ingatlan felújításával kapcsolatos tervezési feladatok</t>
  </si>
  <si>
    <t>Alba Geotrade Zrt. EKN. Vezetés, bemérések</t>
  </si>
  <si>
    <t>Multifunkcionális csarnok megvalósításához szükséges tervezési, előkészítési feladatok</t>
  </si>
  <si>
    <t>„Az ország bölcsője” kiemelt székesfehérvári alprogram első szakaszának megvalósításáról és a második szakasz egyes fejlesztési elemeinek bemutatásáról szóló 1469/2016. (VII.25.) értelmében</t>
  </si>
  <si>
    <t>Az árpád-ház program részét képező "Az ország bölcsője" kiemelt székesfehérvári alprogram második szakasz további elemeinek előzetes koncepciójáról szóló 1792/2017. (XI.8.) Kormányhatározat alapján</t>
  </si>
  <si>
    <t>Városmester üzemeltetés, fejlesztés</t>
  </si>
  <si>
    <t>Parkolóház kialakítására (282/2017.(IV.7.) kgy.hat.alapján)</t>
  </si>
  <si>
    <t>Gárdonyi Géza Művelődési Ház és Könyvtár felújítására irányuló beruházás előkészítése (1841/2017.(XI.10.) Kormány határozat alapján)</t>
  </si>
  <si>
    <t>Zöld város - Fehérvár Tüdeje</t>
  </si>
  <si>
    <t>Fekete Sas Szálló rekonstrukciójához és fejlesztéséhez szükséges előkészítő és tervezési feladatok</t>
  </si>
  <si>
    <t>Velencei Gyermek- és Ifjúsági Tábor fejlesztése</t>
  </si>
  <si>
    <t>A belváros élhetőségének javítását szolgáló Zichy-liget projekt tervezése</t>
  </si>
  <si>
    <t>Fő és gyűjtőutak felújítása- Berényi u. II. ütem</t>
  </si>
  <si>
    <t>Túrózsáki út melletti szabadidőpark létrehozása és sétány kialakiítása (Túrózsáki út-Bártfai út)</t>
  </si>
  <si>
    <t>Felsőváros vízrendezése I. ütem</t>
  </si>
  <si>
    <t>Felsőváros vízrendezése III. ütem</t>
  </si>
  <si>
    <t>Berényi u. II. ütem vízrendezés</t>
  </si>
  <si>
    <t>Bölcsődei intézmények eszközfejlesztése</t>
  </si>
  <si>
    <t>Óvodai udvarok megújítása</t>
  </si>
  <si>
    <t>Fenntartható városi közlekedés I. ütem</t>
  </si>
  <si>
    <t>Fenntartható városi közlekedés III. ütem</t>
  </si>
  <si>
    <t>Innovatív Szociális Szolgáltató Központ kialakítása Székesfehérváron</t>
  </si>
  <si>
    <t>Tervfelülvizsgálatok, közműegyeztetések</t>
  </si>
  <si>
    <t>Székesfehérvár déli összekötőút megvalósítása</t>
  </si>
  <si>
    <t>I. számú Gondozási egység tetőtér beépítési munkáival készülő férőhely bővítés feladataira</t>
  </si>
  <si>
    <t>I. számú Gondozási egység villamos hálózat rekonstrukciója kiviteli terv alapján (tervezés és kivitelezés)</t>
  </si>
  <si>
    <t>III. számú gondozási központ lépcsőházi acél üvegportál cseréje műanyag szerkezetre, hőtükrös fóliázással</t>
  </si>
  <si>
    <t>III. számú gondozási központ villamos és gépészeti rendszerének felújításával kapcsolatos tervezési és kivitelezési feladatok, valamint a IV. számú gondozási központ bővítésével kapcsolatos tervezési feladatok</t>
  </si>
  <si>
    <t>Árpád úti Óvoda Vízivárosi Tagóvodája</t>
  </si>
  <si>
    <t>Homlokzati FENFA elemek és nyílászárók cseréje</t>
  </si>
  <si>
    <t>Gyöngyvirág Óvoda</t>
  </si>
  <si>
    <t xml:space="preserve">Arany János Óvoda, Általános Iskola, Speciális Szakiskola és EGYMI </t>
  </si>
  <si>
    <t>Felújítási munkálatokkal kapcsolatos feladatok</t>
  </si>
  <si>
    <t>Csók István Képtár</t>
  </si>
  <si>
    <t>Homlokzat helyreállítása, árkádsor alatti világítás kiépítése lépcső helyreállítással</t>
  </si>
  <si>
    <t>Konyha felújítás tervezése és homlokzati nyílászárók cseréje</t>
  </si>
  <si>
    <t>Épület felújítása és eszközbeszerzés a TOP 6.6.1-16 kódszámú pályázati felhívás keretében</t>
  </si>
  <si>
    <t>Ybl Miklós lakótelepi rendelőépület</t>
  </si>
  <si>
    <t>Gyermekorvosi rendelő és védőnői tanácsadó átalakítása, bővítése, felújítása a TOP 6.2.1-16 kódszámú pályázati felhívás keretében</t>
  </si>
  <si>
    <t>Batthyány utcai Orvosi Rendelő</t>
  </si>
  <si>
    <t>Felnőtt háziorvosi rendelő felújítása</t>
  </si>
  <si>
    <t>Szekfű Gyula utcai rendelőépület</t>
  </si>
  <si>
    <t>Bory-vár épületdiagnosztikai és tartószerkezeti vizsgálat</t>
  </si>
  <si>
    <t>Bartók Béla tér fejlesztése  (TOP-7.1.1-16 )</t>
  </si>
  <si>
    <t>Az Önkormányzat költségvetési kiadásai feladatonkénti bontásban
(eFt-ban)</t>
  </si>
  <si>
    <t xml:space="preserve">             Vadmadárkórház Természetvédelmi Alapítvány a Vadon Élő Madarak Megmentéséért</t>
  </si>
  <si>
    <t>Közműellátási feladatok</t>
  </si>
  <si>
    <t xml:space="preserve">              "Aranyeső" Alapítvány az egészséges emberért támogatása - Hétpettyes Óvoda</t>
  </si>
  <si>
    <t xml:space="preserve">              "Lánczos Kornél-Szekfű Gyula" Ösztöndíj Közalapítvány támogatása</t>
  </si>
  <si>
    <t xml:space="preserve">              Tóth István és Tóth Terézia Ösztöndíj Közalapítvány támogatása</t>
  </si>
  <si>
    <t xml:space="preserve">              "Alba Regia" tanulmányi ösztöndíj</t>
  </si>
  <si>
    <t xml:space="preserve">              HPV 9 komponensű oltóanyag beszerzése a székesfehérvári lakóhellyel rendelkező 2017. és 2018. évben 12. életévüket betöltő fiú gyermekek részére</t>
  </si>
  <si>
    <t xml:space="preserve">              Fehérvári Pályakezdő Orvosok Egyesülete támogatása</t>
  </si>
  <si>
    <t xml:space="preserve">              Segítő Fehérvár program</t>
  </si>
  <si>
    <t xml:space="preserve">           Városi rendezvények</t>
  </si>
  <si>
    <t xml:space="preserve">           "Szín-Tér"/Színjátszó-Versmondó/ Egyesület </t>
  </si>
  <si>
    <t xml:space="preserve">         Könyvkiadás</t>
  </si>
  <si>
    <t xml:space="preserve">         Kulturális célú kiadások év közben jelentkező többletfeladatok</t>
  </si>
  <si>
    <t xml:space="preserve">         Jazz Fesztivál megrendezése- M.A.P.! Workshop Kft.</t>
  </si>
  <si>
    <t xml:space="preserve">         Székelyföldi Verstábor - Fortis Hungarorum Kulturális Egyesület</t>
  </si>
  <si>
    <t xml:space="preserve">         Magyar Zsidó Kulturális Egyesület</t>
  </si>
  <si>
    <t xml:space="preserve">         Bálok támogatása </t>
  </si>
  <si>
    <t xml:space="preserve">             Fehérvár AV 19 Sport Club Jégkorong Szakosztály</t>
  </si>
  <si>
    <t>~ ebből: Fehérvár AV 19 Sport Club  - Ingatlan üzemeltetésével, fejlesztésével összefüggő költségekhez</t>
  </si>
  <si>
    <t xml:space="preserve">             Track&amp;Race - Sportügynökség Korlátolt Felelősségű Társaság - "Gyulai István Memorial-Atlétikai Magyar Nagydíj" </t>
  </si>
  <si>
    <t xml:space="preserve">             Alba Regia Atlétikai Klub - Országos atlétikai versenyek megrendezésére</t>
  </si>
  <si>
    <t xml:space="preserve">             Felsővárosi Fésüs Röplabda Akadémia Fehérvár</t>
  </si>
  <si>
    <t xml:space="preserve">            "Fehérvár Kiskút Teniszklub" Sportegyesület </t>
  </si>
  <si>
    <t xml:space="preserve">          Arany János utca és kapcsolódó terek felújítása</t>
  </si>
  <si>
    <t xml:space="preserve">          Nagyszombati út felújításához kapcsolódó tervezési feladatok</t>
  </si>
  <si>
    <t xml:space="preserve">          Börgöndi járda és csapadékcsatorna építése, buszforduló átépítése, parkolók kialakítása</t>
  </si>
  <si>
    <t>2021. év</t>
  </si>
  <si>
    <t>Szekfű Gyula utcai rendelőépület - Felnőtt fogászati, fogszabályzós szakrendelés, valamint háziorvosi rendelő felújítása, fejlesztése</t>
  </si>
  <si>
    <t>I. Európai uniós és hazai forrásból megvalósuló projektekkel kapcsolatos kiadások összesen</t>
  </si>
  <si>
    <t>2021. évi támogatás</t>
  </si>
  <si>
    <t xml:space="preserve">Maroshegyi Óvoda bővítése </t>
  </si>
  <si>
    <t>32.</t>
  </si>
  <si>
    <t>Batthyány utcai Orvosi Rendelő - Felnőtt háziorvosi rendelő felújítása</t>
  </si>
  <si>
    <t>33.</t>
  </si>
  <si>
    <t>34.</t>
  </si>
  <si>
    <t>35.</t>
  </si>
  <si>
    <t>36.</t>
  </si>
  <si>
    <t xml:space="preserve">Szent István Király  Múzeum épületének rekonstrukciója, előkészítése </t>
  </si>
  <si>
    <t>37.</t>
  </si>
  <si>
    <t>39.</t>
  </si>
  <si>
    <t>40.</t>
  </si>
  <si>
    <t>41.</t>
  </si>
  <si>
    <t>42.</t>
  </si>
  <si>
    <t>43.</t>
  </si>
  <si>
    <t>x</t>
  </si>
  <si>
    <t>Víziközmű-fejlesztési Alap</t>
  </si>
  <si>
    <t xml:space="preserve">              Fejér Megyei Rendőr-Főkapitányság - Székesfehérvári Rendőrkapitányság működésére</t>
  </si>
  <si>
    <t xml:space="preserve">              Színes Diploma átadó ünnepség megrendezésére - Pedagógusok Szakszervezete Fejér Megyei Szervezete</t>
  </si>
  <si>
    <t xml:space="preserve">           Székesfehérvári Turisztikai Közhasznú Nonprofit Kft. - működéshez</t>
  </si>
  <si>
    <t>Felújítási kiadások</t>
  </si>
  <si>
    <t>12, Építményadó</t>
  </si>
  <si>
    <t>13, Vagyoni típusú adók összesen: (12)</t>
  </si>
  <si>
    <t>14, Iparűzési adó</t>
  </si>
  <si>
    <t>15, Értékesítési és forgalmi adók (14)</t>
  </si>
  <si>
    <t>16, Gépjárműadó</t>
  </si>
  <si>
    <t>17, Idegenforgalmi adó</t>
  </si>
  <si>
    <t>18, Egyéb áruhasználati és szolgáltatási adók (17)</t>
  </si>
  <si>
    <t>19, Termékek és szolgáltatások adói összesen (15+16+18):</t>
  </si>
  <si>
    <t>20, Egyéb települési adó</t>
  </si>
  <si>
    <t>21, Adópótlék, adóbírság</t>
  </si>
  <si>
    <t>22, Szabálysértési pénz és helyszíni bírság és közigazgatási bírság</t>
  </si>
  <si>
    <t>23, Egyéb bírság</t>
  </si>
  <si>
    <t>24, Egyéb közhatalmi bevételek összesen (20+21+22+23):</t>
  </si>
  <si>
    <t>25, Közhatalmi bevételek összesen (13+19+24):</t>
  </si>
  <si>
    <t>26, Működési bevételek</t>
  </si>
  <si>
    <t>27, Ingatlanok értékesítése</t>
  </si>
  <si>
    <t>28, Felhalmozási bevételek összesen (27):</t>
  </si>
  <si>
    <t>29, Működési célú átvett pénzeszközök</t>
  </si>
  <si>
    <t>30, Felhalmozási célú átvett pénzeszközök</t>
  </si>
  <si>
    <t>33, Költségvetési bevételek összesen (31+32):</t>
  </si>
  <si>
    <t>31, Működési költségvetési bevételek összesen (8+25+26+29):</t>
  </si>
  <si>
    <t>32, Felhalmozási költségvetési bevételek összesen (11+28+30):</t>
  </si>
  <si>
    <t>8. Finanszírozási bevételek összesen (5+6+7):</t>
  </si>
  <si>
    <t>9. Finanszírozási kiadások összesen:</t>
  </si>
  <si>
    <t>Halász utcai játszótér bővítése</t>
  </si>
  <si>
    <t>Halász utcai játszótér bővítése (1717/2017.(X.3.) Korm.határozat alapján)</t>
  </si>
  <si>
    <t>Berényi út III. csapadékcsatorna átépítése</t>
  </si>
  <si>
    <t xml:space="preserve">           Berényi út III. ütem útépítés</t>
  </si>
  <si>
    <t>Nyitó pénzkészlet</t>
  </si>
  <si>
    <t>Bevétel-Kiadás különbözet havi bontásban (maradvány igénybevétele nélkül)</t>
  </si>
  <si>
    <t>Záró Pénzkészlet (Nyitó pénzkészlet + Bevétel-Kiadás különbözete)</t>
  </si>
  <si>
    <t>ITP keretében megvalósuló fejlesztések</t>
  </si>
  <si>
    <t>17, Irányító szervi támogatás folyósítása</t>
  </si>
  <si>
    <t>18, Finanszírozási kiadások összesen:</t>
  </si>
  <si>
    <t>összevont 2019. évi bevételeiről eFt-ban</t>
  </si>
  <si>
    <t>összevont 2019. évi kiadásairól eFt-ban</t>
  </si>
  <si>
    <t>összevont 2019. évi bevételi és kiadási  egyenlege eFt-ban</t>
  </si>
  <si>
    <t>2019. évi tervezett   előirányzat</t>
  </si>
  <si>
    <t>Önkormányzati tulajdonú lakás- és nem lakáscélú helyiségek üzemeltetési költségei és azok forrásai
2019. évben
(eFt-ban)</t>
  </si>
  <si>
    <t>Költségvetési szervek 2019. évi kiadási előirányzatán</t>
  </si>
  <si>
    <t>Székesfehérvári Turisztikai Közhasznú Nonprofit Kft. 2019. évi működési támogatás részbeni fedezetének biztosítására</t>
  </si>
  <si>
    <t>2022. év</t>
  </si>
  <si>
    <t>II. Finanszírozási egyenleg (8-9)</t>
  </si>
  <si>
    <t>2019. február 16-át követően</t>
  </si>
  <si>
    <t>Székesfehérvári gyermekek táboroztatásának és programjainak támogatása</t>
  </si>
  <si>
    <t>2019. március 22-ét követően</t>
  </si>
  <si>
    <t>Székesfehérvon élő lakóközösségek számára közösségfejlesztő programok és szolgáltatások támogatása</t>
  </si>
  <si>
    <t>2019. április 12-ét követően</t>
  </si>
  <si>
    <t>Székesfehérvári civil szervezetek eszköz- és infrastruktúrafejlesztéssel kapcsolatos költségeinek támogatása</t>
  </si>
  <si>
    <t>Időskorúakat segítő szervezetek támogatása</t>
  </si>
  <si>
    <t>2019. június 15-ét követően</t>
  </si>
  <si>
    <t>500
és az 1-6. sorszámú pályázatokon fel nem osztott összeg</t>
  </si>
  <si>
    <t>Környezetvédelmi Nevelési Alap - szemléletformálást segítő előadások, pályázatok, pedagógiai továbbképzések támogatása</t>
  </si>
  <si>
    <t>Környezetvédelmi Program kidolgozása</t>
  </si>
  <si>
    <t>Berényi út II. ütem vízrendezése</t>
  </si>
  <si>
    <t>Túrózsáki út melletti szabadidőpark létrehozása és sétány kialakítása</t>
  </si>
  <si>
    <t>Fő és gyűjtőutak felújítása - Ligetsor</t>
  </si>
  <si>
    <t>Fenntartható városi közlekedés II. ütem</t>
  </si>
  <si>
    <t>Szászszorszép Bölcsőde - Épület felújítása és eszközbeszerzés</t>
  </si>
  <si>
    <t>Ybl Miklós lakótelepi rendelőépület - Gyermekorvosi rendelő és védőnői tanácsadó átalakítása, bővítése, felújítása</t>
  </si>
  <si>
    <t>Rákóczi Utcai Óvoda  - az épület energiahatékonysági rekonstrukciója, akadálymentesítése, külső terek felújítása, eszközök beszerzése</t>
  </si>
  <si>
    <t>Bartók Béla tér fejlesztése</t>
  </si>
  <si>
    <t>~ ebből: kötelezettségvállalással terhelt kiadás</t>
  </si>
  <si>
    <t>Lakóépület teljes vagy részleges felújításának részbeni fedezetére- Székesfehérvári Városfejlesztési Kft. 2019. évi üzleti tervében kerül biztosításra</t>
  </si>
  <si>
    <t>2019. évi előirányzat</t>
  </si>
  <si>
    <t>2019. évi költségvetési törvény melléklete</t>
  </si>
  <si>
    <t>1400 m3</t>
  </si>
  <si>
    <t>2. sz. melléklet II.5.</t>
  </si>
  <si>
    <t>Nemzetiségi pótlék</t>
  </si>
  <si>
    <t>2. sz. melléklet III.3.n)</t>
  </si>
  <si>
    <t>Óvodai és iskolai szociális segítő tevékenység támogatása</t>
  </si>
  <si>
    <t>Siklósi Gyula Várostörténeti Kutatóközpont</t>
  </si>
  <si>
    <t>Székesfehérvári Balett Színház</t>
  </si>
  <si>
    <t>2019. január 1.</t>
  </si>
  <si>
    <t>2019. március 1.</t>
  </si>
  <si>
    <t>2019. április 1.</t>
  </si>
  <si>
    <t>2019. június 15.</t>
  </si>
  <si>
    <t>2019. augusztus 1.</t>
  </si>
  <si>
    <t xml:space="preserve"> INTÉZMÉNYEK</t>
  </si>
  <si>
    <t>Személyi juttatás</t>
  </si>
  <si>
    <t>Dologi kiadás</t>
  </si>
  <si>
    <t>Nyitnikék Bölcsőde</t>
  </si>
  <si>
    <t>Felújítási kiadások 2019. évben
(eFt-ban)</t>
  </si>
  <si>
    <t>Vörösmarty Mihály Általános Iskola</t>
  </si>
  <si>
    <t>Árpád Szakképző Iskola</t>
  </si>
  <si>
    <t xml:space="preserve">Napraforgó Bölcsőde </t>
  </si>
  <si>
    <t>Hosszúsétatéri Óvoda Tóvárosi Tagóvoda</t>
  </si>
  <si>
    <t>Tolnai utcai Óvoda</t>
  </si>
  <si>
    <t>Konyha épületrész belső felújítási munkái tervdokumentáció alapján</t>
  </si>
  <si>
    <t xml:space="preserve">Nyitnikék Bölcsőde </t>
  </si>
  <si>
    <t>Felsővárosi Óvoda Ybl Miklós Tagóvoda</t>
  </si>
  <si>
    <t>Budai úti tagkönyvtár utcafronti portálcsere</t>
  </si>
  <si>
    <t>Lövölde u. 26. ingatlan felújítása</t>
  </si>
  <si>
    <t>Udvari szervízjárda és emeleti felnőtt vizesblokk felújítása</t>
  </si>
  <si>
    <t>Fűtési rendszer felújítása</t>
  </si>
  <si>
    <t>Régi épületszárny nyílászáró szerkezeteinek cseréje</t>
  </si>
  <si>
    <t>Tornacsarnok nyílászáróinak és sportpadlójának cseréje</t>
  </si>
  <si>
    <t>Étkező és konyha lapostető felújítás</t>
  </si>
  <si>
    <t>Oromfal felújítás</t>
  </si>
  <si>
    <t>Elektromos és statikai tervezési munkák</t>
  </si>
  <si>
    <t>Nyílászáró csere II. ütem</t>
  </si>
  <si>
    <t>Csapadékvíz és szennyvíz elvezető rendszer átépítése</t>
  </si>
  <si>
    <t>Fejlesztési kiadások 2019. évi feladatonkénti megbontása
(eFt-ban)</t>
  </si>
  <si>
    <t>Székesfehérvár Város és Térsége Szennyvízcsatorna Hálózat Bővítési Önkormányzati Társulás 2019. évi önkormányzati önrésze</t>
  </si>
  <si>
    <t>Aranysas utca csapadékcsatorna árok lefedése</t>
  </si>
  <si>
    <t>Vízelvezetési tanulmányterv megújítása</t>
  </si>
  <si>
    <t>Multifunkcionális csarnok kivitelezése és kapcsolódó feladatok</t>
  </si>
  <si>
    <t>Nemzeti Szabadidős-Egészség Sportpark Program önkormányzati saját erő (194/2018.(III.19.) kgy.hat.alapján)</t>
  </si>
  <si>
    <t>315/2018.(V.18.) kgy.hat.alapján ideiglenes moduláris rendszerű ebédlő telepítése</t>
  </si>
  <si>
    <t>7899/68 hrsz.-ú Juharfa utcában lévő ingatlan megvásárlása (548/2018.(VIII.17.) kgy.hat.alapján)</t>
  </si>
  <si>
    <t>Utótisztító műtárgy üzemeltetése (550/2018.(VIII.17.) kgy.hat.alapján)</t>
  </si>
  <si>
    <t>Csóri karsztakna védelembe helyezése előkészítő feladatok</t>
  </si>
  <si>
    <t>Csala Közösségi Ház (Picúr Büfé)</t>
  </si>
  <si>
    <t>Felsővárosi Tájház kialakítása – Kertalja utca</t>
  </si>
  <si>
    <t>Székesfehérvár, Mura utca 2. ingatlanon elhelyezsére kerülő raktárkonténer telepítésének költsége és bérleti díja (654/2018.(X.12.) kgy.hat.alapján)</t>
  </si>
  <si>
    <t>Székesfehérvár, Juharfa utca 7899/68 helyrajzi számú ingatlanon álló épület és kerítés felújítási munkái</t>
  </si>
  <si>
    <t>Önerős fejlesztések összesen</t>
  </si>
  <si>
    <t>MVP, egyedi projektek</t>
  </si>
  <si>
    <t>„Az ország bölcsője” kiemelt székesfehérvári alprogram első szakaszának megvalósításáról és a második szakasz egyes fejlesztési elemeinek bemutatásáról szóló 1469/2016. (VII.25.) Kormányhatározat értelmében</t>
  </si>
  <si>
    <t>MVP, egyedi projektek összesen:</t>
  </si>
  <si>
    <t>"Biológiailag lebomló hulladék eltérítése a hulladéklerakótól Székesfehérváron" pályázat benyújtásához vállalt önkormányzati saját erő (157/2018.(III.9.) kgy.hat.alapján)</t>
  </si>
  <si>
    <t>Támogatásból megvalósuló fejlesztések összesen</t>
  </si>
  <si>
    <t>Fejlesztési tartalék</t>
  </si>
  <si>
    <t xml:space="preserve">           Fiskális út felújítása I. ütem</t>
  </si>
  <si>
    <t xml:space="preserve">           Zombori út felújítása</t>
  </si>
  <si>
    <t xml:space="preserve">           Csanádi tér parkolók építése</t>
  </si>
  <si>
    <t xml:space="preserve">           Corvinus Egyetem Zrínyi utcai parkolók</t>
  </si>
  <si>
    <t xml:space="preserve">           Batthyány utca városrészi központ, parkolók és járdák rendezése (I. ütem)</t>
  </si>
  <si>
    <t xml:space="preserve">           Fürdősor hídfelújítás és mederrendezés</t>
  </si>
  <si>
    <t>Helyi identitás és kohézió erősítése</t>
  </si>
  <si>
    <t>38.</t>
  </si>
  <si>
    <t>2022. évi támogatás</t>
  </si>
  <si>
    <t>Háziorvosi és fogorvosi rendelő felújítása, fejlesztése</t>
  </si>
  <si>
    <t>Szekfű Gyula utcai rendelőépület -Háziorvosi és fogorvosi rendelő felújítása, fejlesztése</t>
  </si>
  <si>
    <t>I. számú Idősek Otthona - Székesfehérvár, Rákóczi utca 34. szám alatti ingatlanon található Intézmény villamoshálózat korszerűsítéséhez és a fűtési rendszer átalakításához, valamint az ingatlanon található 2. számú épület tetőtérbeépítésével kapcsolatos tervezési feladatok</t>
  </si>
  <si>
    <t>Alagsori szint talajvíz elleni szigeteléséhez és felújításához kapcsolódó tervezési feladat</t>
  </si>
  <si>
    <t>Udvari babakocsi és kerékpár tároló kialakítása,
megsüllyedt és balesteveszélyes térkő burkolat helyreállítása</t>
  </si>
  <si>
    <t>Tetőhéjazat csere</t>
  </si>
  <si>
    <t>Homlokzati FENFA nyílászáró szerkezetek cseréje I. ütem</t>
  </si>
  <si>
    <t>3db vizesblokk felújítása, ereszcsatorna és bölcsőde álmennyezet lapok cseréje/pótlása</t>
  </si>
  <si>
    <t xml:space="preserve">             Jubileumi jutalom, jogszabályból fakadó személyi jellegű többlet kifizetések kerete</t>
  </si>
  <si>
    <t xml:space="preserve">             Intézményi kafetéria juttatás fedezetére</t>
  </si>
  <si>
    <t xml:space="preserve">             Költségvetési szervek működési költségeinek  tartalék kerete, valamint az új illetve átszervezéssel érintett intézmények megalakulásával és átszervezésével kapcsolatos eseti költségeinek fedezetére</t>
  </si>
  <si>
    <t xml:space="preserve">             Kistelepülési könyvtári és közművelődési kiegészítő támogatás (Vörösmarty Könyvtár)</t>
  </si>
  <si>
    <t xml:space="preserve">             Rászoruló gyermekek intézményen kívüli szünidei étkeztetésének támogatása</t>
  </si>
  <si>
    <t xml:space="preserve">      </t>
  </si>
  <si>
    <t xml:space="preserve">             Óvodai és iskolai szociális segítő tevékenység támogatása</t>
  </si>
  <si>
    <t xml:space="preserve">             Járásszékhely múzeumok szakmai támogatása</t>
  </si>
  <si>
    <t xml:space="preserve">             Katonai Főváros Program kerete</t>
  </si>
  <si>
    <t xml:space="preserve">              Fejér Megyei Katasztrófavédelmi Igazgatóság - Polgári Védelmi Kirendeltségének 2019. évi támogatására</t>
  </si>
  <si>
    <t xml:space="preserve">             Helyi közösségi közlekedés viteldíjához kapcsolódó intézkedések kerete</t>
  </si>
  <si>
    <t xml:space="preserve">          Fehérvári Zenei Napok- FEZEN Művészeti és Jószolgálati Alapítvány</t>
  </si>
  <si>
    <t xml:space="preserve">          Burján Zsigmond - "Szégyen" munkacímű filmalkotás megvalósításához támogatás</t>
  </si>
  <si>
    <t xml:space="preserve">         Aracsi Norbert - Elfelejtett nemzedék című film támogatása</t>
  </si>
  <si>
    <t xml:space="preserve">         Államalapító Szent István Érdemrend és Díj Alapítvány</t>
  </si>
  <si>
    <t xml:space="preserve">            Alba Volán Sporclub - Felnőtt Öttusa Világkupa megrendezéséhez támogatás</t>
  </si>
  <si>
    <t xml:space="preserve">             Alba Regia SC Kft. Kosárlabda Szakosztály - nemzetközi kupaszereplés</t>
  </si>
  <si>
    <t>~ ebből: Magyar Labdarúgó Szövetség Fejér Megyei Igazgatósága - "Alba Liga" kispályás labdarúgó bajnokság támogatása</t>
  </si>
  <si>
    <t>ebből: Gyalogos és kerékpáros biztonsági program</t>
  </si>
  <si>
    <t xml:space="preserve">              Székesfehérvári felsőoktatási intézmények támogatása</t>
  </si>
  <si>
    <t xml:space="preserve">              HPV 9 komponensű oltóanyag beszerzése a székesfehérvári lakóhellyel rendelkező 2019. évben 12. életévüket betöltő fiú gyermekek részére</t>
  </si>
  <si>
    <t xml:space="preserve">           Vasutas Országos Közművelődési és Szabadidő Egyesület Vörösmarty Mihály Művelődési Ház és Könyvtár</t>
  </si>
  <si>
    <t xml:space="preserve">          Quartettissimo Fesztivál- Károlyi József Alapítvány</t>
  </si>
  <si>
    <t xml:space="preserve">              Kábítószerügyi Egyeztető Fórum</t>
  </si>
  <si>
    <t xml:space="preserve">              Vadásztölténygyári Vasas Ifjúsági és Sport Egyesület- Futballfesztivál megrendezésének támogatása</t>
  </si>
  <si>
    <t xml:space="preserve">              Maroshegyi Ifjúsági Egyesület</t>
  </si>
  <si>
    <t xml:space="preserve">              Egészség és Kultúra Egyesület - Fehérvár Feszt megrendezésének támogatása </t>
  </si>
  <si>
    <t xml:space="preserve">              Egészség és Kultúra Egyesület - Skate Park és szurkolói klub működtetése</t>
  </si>
  <si>
    <t xml:space="preserve">              Székesfehérvári Városszépítő- és Védő Egyesület - Székesfehérvár Hosszútemető műemlék jellegű sírjainak karbantartására, felújítására</t>
  </si>
  <si>
    <t xml:space="preserve">              Ifjúsági feladatok és a Székesfehérvári Diáktanács működése</t>
  </si>
  <si>
    <t xml:space="preserve">              Helyi identitás és kohézió erősítése</t>
  </si>
  <si>
    <t xml:space="preserve">              Székesfehérvári Szerb Nemzetiségi Önkormányzat- Szerb templom karbantartásához, felújításához, nyitvatartásához</t>
  </si>
  <si>
    <t xml:space="preserve">              Ezer Lámpás Éjszakája Alapítvány- Ezer Lámpás Éjszakája rendezvénysorozat</t>
  </si>
  <si>
    <t xml:space="preserve">              Székesfehérvári Szociális Alapítvány</t>
  </si>
  <si>
    <t xml:space="preserve">              Székesfehérvári Érzékenyítő Program</t>
  </si>
  <si>
    <t xml:space="preserve">              Gaja Környezetvédő Egyesület működési támogatása</t>
  </si>
  <si>
    <t xml:space="preserve">              Önkormányzati közalapítványok támogatása (379/2016. (V.27.) kgy. hat. alapján)</t>
  </si>
  <si>
    <t xml:space="preserve">              Katonai Emlékpark Közhasznú Nonprofit Kft.- A Katonai Emlékpark kiemelt- elsősorban pedagógiai-programjainak támogatása</t>
  </si>
  <si>
    <t xml:space="preserve">              1956-os Magyar Szabadságharcosok Világszövetsége Egyesület</t>
  </si>
  <si>
    <t xml:space="preserve">              Honvédség és Társadalom Baráti Kör Székesfehérvári Szervezete</t>
  </si>
  <si>
    <t xml:space="preserve">              Dévai Szent Ferenc Alapítvány- Szent Imre Iskolaház működéséhez támogatás</t>
  </si>
  <si>
    <t xml:space="preserve">              Fehérvári Civil Központ üzemeltetése</t>
  </si>
  <si>
    <t xml:space="preserve">              Civil Centrum Közhasznú Alapítvány - Esélykör működtetése</t>
  </si>
  <si>
    <t xml:space="preserve">              Magyar Vöröskereszt Fejér Megyei Szervezete</t>
  </si>
  <si>
    <t xml:space="preserve">              Tarsoly Ifjúságért Egyesület</t>
  </si>
  <si>
    <t xml:space="preserve">              Nagycsaládosok Országos Egyesülete - székesfehérvári csoport támogatása</t>
  </si>
  <si>
    <t xml:space="preserve">              Vasútmodell kiállítás üzemeltetésének támogatása</t>
  </si>
  <si>
    <t xml:space="preserve">              Prosperis Alba Kutatóközpont Nonprofit Kft.</t>
  </si>
  <si>
    <t xml:space="preserve">              Székesfehérvári Zsidó Hitközség</t>
  </si>
  <si>
    <t xml:space="preserve">              Állatotthonok működési támogatása - ASKA Alapítvány</t>
  </si>
  <si>
    <t xml:space="preserve">              Állatotthonok működési támogatása - FEMA Állatmentő és Állatvédelmi Egyesület</t>
  </si>
  <si>
    <t xml:space="preserve">              Állatotthonok működési támogatása - HEROSZ Fehérvár Állatotthona</t>
  </si>
  <si>
    <t xml:space="preserve">              Smart Grant Alapítvány</t>
  </si>
  <si>
    <t xml:space="preserve">              IV. Adventi Jótékonysági Futás és a VIII. Székesfehérvári Jótékonysági Estély (673/2018.(X.12.) kgy.hat.alapján)</t>
  </si>
  <si>
    <t xml:space="preserve">              Nyelvoktatás szociális szempontok szerinti támogatásának kerete</t>
  </si>
  <si>
    <t xml:space="preserve">              Budapesti Corvinus Egyetem Székesfehérvári Campusa működtetése, fejlesztése érdekében felmerülő kiadások finanszírozási kerete </t>
  </si>
  <si>
    <t xml:space="preserve">              Digitális kompetencia fejlesztése - okos osztályterem pilot program keretében (Székesfehérvár Fejlődéséért Alapítvány)</t>
  </si>
  <si>
    <t xml:space="preserve">              Digitális kompetencia fejlesztése - digitális felnőttképzési pilot program keretében (Székesfehérvár Fejlődéséért Alapítvány)</t>
  </si>
  <si>
    <t xml:space="preserve">         Nemzeti és állami ünnepeink</t>
  </si>
  <si>
    <t xml:space="preserve">         Emléktábla elhelyezéséhez támogatás</t>
  </si>
  <si>
    <t xml:space="preserve">         Városrészi rendezvények</t>
  </si>
  <si>
    <t xml:space="preserve">         Fehérvári Ének XI. Nemzetközi Ifjúsági Kórustalálkozó </t>
  </si>
  <si>
    <t xml:space="preserve">         Fehéredő Múlt című film 4. rész elkészítése</t>
  </si>
  <si>
    <t xml:space="preserve">         Trianon Centenárium</t>
  </si>
  <si>
    <t xml:space="preserve">         Gárdonyi Géza Szakképző Iskola támogatás - Vásárhelyi úti ingatlan használatához</t>
  </si>
  <si>
    <t xml:space="preserve">             Tour de Hongrie 2019. székesfehérvári szakasza</t>
  </si>
  <si>
    <t xml:space="preserve">             Fehérvári Sakk Egyesület</t>
  </si>
  <si>
    <t xml:space="preserve">             MÁV Előre Sport Club </t>
  </si>
  <si>
    <t xml:space="preserve">             Év közben jelentkező sportcélú kiadások</t>
  </si>
  <si>
    <t xml:space="preserve">             Free Spirit Tánc-Sport Egyesület</t>
  </si>
  <si>
    <t xml:space="preserve">             Fehérvári Vizilabda Sportegyesület- uszoda fejlesztéssel kapcsolatos tervek elkészítéséhez támogatás (230/2018.(IV.20.) kgy.hat.alapján)</t>
  </si>
  <si>
    <t xml:space="preserve">           Babamúzeum jogdíja</t>
  </si>
  <si>
    <t xml:space="preserve">           Réber Hagyaték</t>
  </si>
  <si>
    <t>~ ebből: Ingatlangazdálkodási Alap</t>
  </si>
  <si>
    <t xml:space="preserve">              Székesfehérvári Születési Támogatási Program - települési támogatás</t>
  </si>
  <si>
    <t xml:space="preserve">              Informatikai fejlesztés</t>
  </si>
  <si>
    <t>~ ebből: 65 év feletti időskorúak egyszeri támogatásának kerete</t>
  </si>
  <si>
    <t>Kulturális Alap</t>
  </si>
  <si>
    <t>Egészségügyi Alap</t>
  </si>
  <si>
    <t>Sport Alap</t>
  </si>
  <si>
    <t>Ifjúsági Alap</t>
  </si>
  <si>
    <t>Nemzetiségi Alap</t>
  </si>
  <si>
    <t>Székesfehérvár Megyei Jogú Város Önkormányzat és Költségvetési szervei</t>
  </si>
  <si>
    <t>2019. évi bevételei eFt-ban</t>
  </si>
  <si>
    <t>Javasolt módosítás</t>
  </si>
  <si>
    <t>Módosított előirányzat</t>
  </si>
  <si>
    <t>b/1.</t>
  </si>
  <si>
    <t>b/2.</t>
  </si>
  <si>
    <t>b/3.</t>
  </si>
  <si>
    <t>c/1.</t>
  </si>
  <si>
    <t>c/2.</t>
  </si>
  <si>
    <t>c/3.</t>
  </si>
  <si>
    <t>d/1.=b/1.+c/1.</t>
  </si>
  <si>
    <t>d/2.=b/2.+c/2.</t>
  </si>
  <si>
    <t>d/3.=b/3.+c/3.</t>
  </si>
  <si>
    <t xml:space="preserve">              Vörösmarty Mihály Megyei Könyvtár és a városi könyvtár támogatása</t>
  </si>
  <si>
    <t>7, Forgatási célú belföldi értékpapírok beváltása, értékesítése</t>
  </si>
  <si>
    <t>2019. évi kiadásai eFt-ban</t>
  </si>
  <si>
    <t>1, Személyi juttatás</t>
  </si>
  <si>
    <t>3, Dologi kiadás</t>
  </si>
  <si>
    <t>16, Államháztartáson belüli megelőlegezések visszavizetése</t>
  </si>
  <si>
    <t>b/2</t>
  </si>
  <si>
    <t>b/3</t>
  </si>
  <si>
    <t>c/2</t>
  </si>
  <si>
    <t>c/3</t>
  </si>
  <si>
    <t>d/1=b/1+c/1</t>
  </si>
  <si>
    <t>d/2=b/2+c/2</t>
  </si>
  <si>
    <t>d/3=b/3+c/3</t>
  </si>
  <si>
    <t>d/2</t>
  </si>
  <si>
    <t>d/3</t>
  </si>
  <si>
    <t>1, Forgatási célú belföldi értékpapírok vásárlása</t>
  </si>
  <si>
    <t>2, Államháztartáson belüli megelőlegezések visszavizetése</t>
  </si>
  <si>
    <t>3, Irányító szervi támogatás folyósítása</t>
  </si>
  <si>
    <t>cím</t>
  </si>
  <si>
    <t>Működési költségvetési bevételek összesen</t>
  </si>
  <si>
    <t>Felhalmozási költségvetési bevételek összesen</t>
  </si>
  <si>
    <t>Finanszírozási bevételek</t>
  </si>
  <si>
    <t>Bevételek  összesen</t>
  </si>
  <si>
    <t>(B1-7.)</t>
  </si>
  <si>
    <t>(B1-8.)</t>
  </si>
  <si>
    <t>~ ebből:Kötelező feladate.i.</t>
  </si>
  <si>
    <t xml:space="preserve">            Önként vállalt feladat e.i.</t>
  </si>
  <si>
    <t>összesen:</t>
  </si>
  <si>
    <t>Ebből: Kötelező feladat összesen</t>
  </si>
  <si>
    <t xml:space="preserve">           Önként vállalt feladat összesen</t>
  </si>
  <si>
    <t>Kötlező feladat</t>
  </si>
  <si>
    <t>Önként vállat feladat</t>
  </si>
  <si>
    <t>3.sz.Bölcsőde</t>
  </si>
  <si>
    <t>Önként  vállalt feladat</t>
  </si>
  <si>
    <t>7. sz. Bölcsőde</t>
  </si>
  <si>
    <t>8. sz. Bölcsőde</t>
  </si>
  <si>
    <t>Belvárosi Brunszvik T. Óvoda</t>
  </si>
  <si>
    <t>Gyöngyvirág Óvoda-Székesfehérvár-Kindergarten Maiglöckchen</t>
  </si>
  <si>
    <t>~ ebből:Önként vállalt feladat e.i.</t>
  </si>
  <si>
    <t>Ebből: Önként vállalt feladat összesen</t>
  </si>
  <si>
    <t>~ ebből: Önként vállalt feladat e.i.</t>
  </si>
  <si>
    <t>Kulturális ellátás összesen:</t>
  </si>
  <si>
    <t xml:space="preserve">            Államigazgatási feladat e.i.</t>
  </si>
  <si>
    <t>~ Főösszeget nem érintő saját hatáskörű átcsoportosítás</t>
  </si>
  <si>
    <t xml:space="preserve">           Államigazgatási feladat
           összesen</t>
  </si>
  <si>
    <t>~ Polgármesteri Keret</t>
  </si>
  <si>
    <t xml:space="preserve">           Összesen</t>
  </si>
  <si>
    <t xml:space="preserve">            Kötelező feladat összesen</t>
  </si>
  <si>
    <t>összes módosítás:</t>
  </si>
  <si>
    <t>Ell.</t>
  </si>
  <si>
    <t>Költségvetési szervek 2019. évi kiadási előirányzata (eFt-ban)</t>
  </si>
  <si>
    <t>Egyéb működési célú  kiadások</t>
  </si>
  <si>
    <t>Felhalmozási költségvetési kiadások  összesen</t>
  </si>
  <si>
    <t>(K1-5.)</t>
  </si>
  <si>
    <t>(K6-8.)</t>
  </si>
  <si>
    <t>(K1-9.)</t>
  </si>
  <si>
    <t>h.=c.+d.+e.+f.+g.</t>
  </si>
  <si>
    <t>Rákóczi Úti Óvoda</t>
  </si>
  <si>
    <t>Tolnai Úti Óvoda</t>
  </si>
  <si>
    <t xml:space="preserve">           Kötelező feladat összesen</t>
  </si>
  <si>
    <t xml:space="preserve">           Államigazgatási feladat összesen</t>
  </si>
  <si>
    <t>124/2019. (III.22.) Kgy. Határozat alapján</t>
  </si>
  <si>
    <t>212/2019. (IV.12.) Kgy.határozat alapján</t>
  </si>
  <si>
    <t xml:space="preserve">álláshely </t>
  </si>
  <si>
    <t>2019. május 1.</t>
  </si>
  <si>
    <t>Önkormányzat 2019. évi költségvetési kiadásai (eFt-ban)</t>
  </si>
  <si>
    <t>Működési költségvetés összesen</t>
  </si>
  <si>
    <t>Felhalmozási költségvetés összesen</t>
  </si>
  <si>
    <t>Önkormányzat eredeti előirányzata</t>
  </si>
  <si>
    <t xml:space="preserve">I. </t>
  </si>
  <si>
    <t>kötelező</t>
  </si>
  <si>
    <t>~ Bevétel miatti növekedés</t>
  </si>
  <si>
    <t>önként</t>
  </si>
  <si>
    <t>~ Intézményhez lebontva</t>
  </si>
  <si>
    <t>Informatikai kiadások</t>
  </si>
  <si>
    <t>Intézményi felújítási kiadások</t>
  </si>
  <si>
    <t>köt</t>
  </si>
  <si>
    <t xml:space="preserve">IV. </t>
  </si>
  <si>
    <t>Diáksportkör kiadásai</t>
  </si>
  <si>
    <t>Sportcélok és feladatok</t>
  </si>
  <si>
    <t xml:space="preserve">   Költségvetési szerveknél foglalkoztatottak bérkompenzációja</t>
  </si>
  <si>
    <t xml:space="preserve">   Szociális ágazati összevont pótlék</t>
  </si>
  <si>
    <t xml:space="preserve">   Szociális ágazatban egészségügyi végzettséghez kötött munkakörben foglalkoztatottak egészségügyi kiegészítő pótléka</t>
  </si>
  <si>
    <t xml:space="preserve">   Kulturális illetménypótlék</t>
  </si>
  <si>
    <t>~ Intézményekhez lebontva</t>
  </si>
  <si>
    <t xml:space="preserve">   Nyugdíjazással kapcsolatos kifizetések</t>
  </si>
  <si>
    <t xml:space="preserve">   Jubileumi jutalom, jogszabályból fakadó személyi jellegű többlet kifizetések kerete</t>
  </si>
  <si>
    <t xml:space="preserve">   Intézményi kafetéria juttatás fedezetére</t>
  </si>
  <si>
    <t>~ Polgármesteri Hivatalhoz lebontva</t>
  </si>
  <si>
    <t>Javasolt módosítás     (2)</t>
  </si>
  <si>
    <t>2019. évre áthúzódó
(4)</t>
  </si>
  <si>
    <t>2019. évi előirányzat     (5)</t>
  </si>
  <si>
    <t>Költségvetési szerveknek lebontás
(6)</t>
  </si>
  <si>
    <t xml:space="preserve">             Virágos Fehérvárért Program</t>
  </si>
  <si>
    <t xml:space="preserve">             Magyar Máltai Szeretetszolgálat Közép-Dunántúli Régió Székesfehérvári Csoportja</t>
  </si>
  <si>
    <t xml:space="preserve">             SZIVÁRVÁNY Szociális Alapítvány</t>
  </si>
  <si>
    <t xml:space="preserve">             KÖFÉM Oktatási és Közművelődési Központ Nonprofit Közhasznú Kft - nyugdíjas klub  programjaira</t>
  </si>
  <si>
    <t xml:space="preserve">             Alba Regia Tanulóiért Kulturális Egyesület</t>
  </si>
  <si>
    <t xml:space="preserve">             Aranycsapat a Kárpát-medencei Fiatalok Sportjáért Alapítvány</t>
  </si>
  <si>
    <t xml:space="preserve">             MOL Aréna Sóstó üzemeltetési feladatainak ellátására</t>
  </si>
  <si>
    <t xml:space="preserve">            MOL Aréna rendezvényszervezés eszközbeszerzései</t>
  </si>
  <si>
    <t xml:space="preserve">              ResQ Székesfehérvár Alapítvány támogatása</t>
  </si>
  <si>
    <t xml:space="preserve">           Gárdonyi Géza Művelődési Ház és Könyvtár Egyesület - programok támogatása</t>
  </si>
  <si>
    <t xml:space="preserve">         Magyar Éremgyűjtők Egyesülete</t>
  </si>
  <si>
    <t xml:space="preserve">         Magyarországi Zsidó Hitközségek Szövetsége - II. Székesfehérvári Zsidó Napok</t>
  </si>
  <si>
    <t xml:space="preserve">         Alba Regia Teátrum Alapítvány a Vörösmarty Színházért</t>
  </si>
  <si>
    <t xml:space="preserve">         Filharmónia Bérletsorozat támogatása</t>
  </si>
  <si>
    <t xml:space="preserve">         Őszi székelyvásár</t>
  </si>
  <si>
    <t xml:space="preserve">         Megadance Székesfehérvári Táncszínház Egyesület</t>
  </si>
  <si>
    <t xml:space="preserve">             Fehérvár AV 19 Sport Club - 214/2019. (IV.12.) kgy. határozat alapján</t>
  </si>
  <si>
    <t xml:space="preserve">     </t>
  </si>
  <si>
    <t xml:space="preserve">             Honvéd Szondi György Sportegyesület</t>
  </si>
  <si>
    <t xml:space="preserve">             Országos Gerincvédő Egyesület</t>
  </si>
  <si>
    <t xml:space="preserve">             Alba Öttusa Sportegyesület</t>
  </si>
  <si>
    <t xml:space="preserve">             Ökölvívó Gála - Felix Promotion Menedzser Kft.- 215/2019.(IV.12.) kgy.határozat alapján)</t>
  </si>
  <si>
    <t xml:space="preserve">             TIMI-BEA Művészeti Szolgáltató, Kulturális Betéti Társaság</t>
  </si>
  <si>
    <t xml:space="preserve">             Szociális ágazati összevont pótlék</t>
  </si>
  <si>
    <t xml:space="preserve">             Szociális ágazatban egészségügyi végzettséghez kötött munkakörben foglalkoztatottak egészségügyi kiegészítő pótléka</t>
  </si>
  <si>
    <t xml:space="preserve">            Kulturális illetménypótlék</t>
  </si>
  <si>
    <t xml:space="preserve">            Költségvetési szerveknél foglalkoztatottak bérkompenzációja</t>
  </si>
  <si>
    <t xml:space="preserve">            Önkormányzati feladatellátást szolgáló támogatási keret</t>
  </si>
  <si>
    <t xml:space="preserve">           Vásárhelyi út Rádió út - Logisztika iparvágány közötti szakaszának felújítása </t>
  </si>
  <si>
    <t xml:space="preserve">           Fiskális u. felújítás II. ütem Budai és Pozsonyi között 1150 méter</t>
  </si>
  <si>
    <t>Középiskolai Campus külső csapadékcsatorna - 217/2019. (IV.12.) kgy. határozat alapján</t>
  </si>
  <si>
    <t xml:space="preserve">Pályázat előkészítésére és önerő keret </t>
  </si>
  <si>
    <t xml:space="preserve">Budapesti Corvinus Egyetem Székesfehérvári Campusa elhelyezésével és működtetésével kapcsolatos beruházások elvégzésére </t>
  </si>
  <si>
    <t>Sportcsarnok, egyéb létesítmények, felszíni parkolók, zöldfelület építésének önkormányzati önrésze (76/2018.(II.8.) kgy.hat.alapján)</t>
  </si>
  <si>
    <t xml:space="preserve">Széna téri kerékpárforgalmi létesítmény </t>
  </si>
  <si>
    <t>Alíz</t>
  </si>
  <si>
    <t>Szárazréti  Orvosi rendelő</t>
  </si>
  <si>
    <t>Akadálymentesítéshez kapcsolódó munkák</t>
  </si>
  <si>
    <t>Csillagok bevilágító ablakai és a bejárati ajtó cseréje és kazáncsere</t>
  </si>
  <si>
    <t>Udvar felújítása (199/2019.(IV.12.) kgy.határozat alapján)</t>
  </si>
  <si>
    <t>Napsugár Óvoda Nefelejcs Tagóvodája</t>
  </si>
  <si>
    <t>Ligetsori Óvoda Palotavárosai Tagóvodája</t>
  </si>
  <si>
    <t xml:space="preserve">Költségvetési és finanszírozási egyenleg működési és felhalmozási cél szerinti bontásban (eFt-ban)  </t>
  </si>
  <si>
    <t xml:space="preserve">18. melléklet </t>
  </si>
  <si>
    <t xml:space="preserve">  17. melléklet</t>
  </si>
  <si>
    <t>Különbség</t>
  </si>
  <si>
    <r>
      <t>az 5/2019.(II.15.) önkormányzati rendelethez</t>
    </r>
    <r>
      <rPr>
        <i/>
        <vertAlign val="superscript"/>
        <sz val="12"/>
        <rFont val="Times New Roman"/>
        <family val="1"/>
        <charset val="238"/>
      </rPr>
      <t>15</t>
    </r>
  </si>
  <si>
    <t>19. melléklet</t>
  </si>
  <si>
    <r>
      <t xml:space="preserve"> az 5/2019.(II.15.) önkormányzati rendelethez</t>
    </r>
    <r>
      <rPr>
        <i/>
        <vertAlign val="superscript"/>
        <sz val="10"/>
        <rFont val="Times New Roman"/>
        <family val="1"/>
        <charset val="238"/>
      </rPr>
      <t>16</t>
    </r>
  </si>
  <si>
    <t xml:space="preserve">                                                       </t>
  </si>
  <si>
    <t>Új Módosított előirányzat</t>
  </si>
  <si>
    <t>Módosított  előirányzat</t>
  </si>
  <si>
    <t>~ Főösszeget érintő saját hatáskörű átcsoportosítás</t>
  </si>
  <si>
    <t>~ 2019. évben megvalósításra kerülő programokhoz és tárgyi eszköz beszerzéshez kapcsolódó személyi és dologi költségekhez (Képviselői Alap)</t>
  </si>
  <si>
    <t>~ Főösszeget érintő saját hatáskörű átcsoportosítás (Polgármesteri Hivatal)</t>
  </si>
  <si>
    <t>Módodsított előirányzat</t>
  </si>
  <si>
    <t>~ Főösszeget nem érintő saját hatáskörű átcsoportosítás (Polgármesteri Hivatal)</t>
  </si>
  <si>
    <t>527/2019. (VIII.16.) és 528/2019. (VIII.16.)Kgy.határozat alapján</t>
  </si>
  <si>
    <t>2019. szeptember 1.</t>
  </si>
  <si>
    <t>2019. október 1.</t>
  </si>
  <si>
    <t>2019. december 1.</t>
  </si>
  <si>
    <t>Önkormányzat I. módosított előirányzata</t>
  </si>
  <si>
    <t>~ Főösszeget nem érintő átcsoportosítás (pü -K)</t>
  </si>
  <si>
    <t>~ Saját hatáskörű átcsoportosítás/módosítás (az  5/2019.(II.15.) önkormányzati rendelet 6.§ (10) bekezdése alapján)</t>
  </si>
  <si>
    <t xml:space="preserve">   Városmarketing és kommunikáció máshová nem sorolt kiadásai</t>
  </si>
  <si>
    <t xml:space="preserve">   Ifjúsági feladatok és a Székesfehérvári Diáktanács működése</t>
  </si>
  <si>
    <t>~ Igazgatási tevékenységet érintő átcsoportosítás (fa-ról fa-ra)</t>
  </si>
  <si>
    <t xml:space="preserve">   Megbízási díjak</t>
  </si>
  <si>
    <t xml:space="preserve">   Hosszúsétatéri Óvoda Tóvárosi Tagóvoda - Fűtési rendszer felújítása</t>
  </si>
  <si>
    <t xml:space="preserve">   Napraforgó Bölcsőde - Udvari babakocsi és kerékpár tároló kialakítása,
megsüllyedt és balesteveszélyes térkő burkolat helyreállítása</t>
  </si>
  <si>
    <t xml:space="preserve">   Tolnai utcai Óvoda - Fűtési rendszer felújítása</t>
  </si>
  <si>
    <t xml:space="preserve">   Tartalék keret</t>
  </si>
  <si>
    <t xml:space="preserve">   Felsővárosi Óvoda Ybl Miklós Tagóvoda - Udvari szervízjárda és emeleti felnőtt vizesblokk felújítása</t>
  </si>
  <si>
    <t xml:space="preserve">   Hosszúsétatéri Óvoda Tóvárosi Tagóvoda - 3db vizesblokk felújítása, ereszcsatorna és bölcsőde álmennyezet lapok cseréje/pótlása</t>
  </si>
  <si>
    <t xml:space="preserve">   Budai u. 56/a ingatlan felújítása (Csemete Gyermekcentrum Bölcsőde) - Nyílászáró csere II. ütem</t>
  </si>
  <si>
    <t xml:space="preserve">   Árpád Szakképző Iskola - Étkező és konyha lapostető felújítás</t>
  </si>
  <si>
    <t xml:space="preserve">   Elektromos gépjárművek beszerzése</t>
  </si>
  <si>
    <t xml:space="preserve">   Székesfehérvári Sóstó Természetvédelmi Terület és Vidámparki Csónakázótó rehabilitációjára, figyelemmel a 1285/2015.(IV.30.) Korm. Határozatra, valamint a megvalósítás ütemezésére</t>
  </si>
  <si>
    <t xml:space="preserve">   Bartók Béla tér fejlesztése  (TOP-7.1.1-16 )</t>
  </si>
  <si>
    <t xml:space="preserve">   Szemünk Fénye program</t>
  </si>
  <si>
    <t xml:space="preserve">   Korlátozási kártalanítás</t>
  </si>
  <si>
    <t xml:space="preserve">   315/2018.(V.18.) kgy.hat.alapján ideiglenes moduláris rendszerű ebédlő telepítése</t>
  </si>
  <si>
    <t xml:space="preserve">   A belváros élhetőségének javítását szolgáló Zichy-liget projekt tervezése</t>
  </si>
  <si>
    <t xml:space="preserve">   Víziközmű-fejlesztési Alap</t>
  </si>
  <si>
    <t xml:space="preserve">   Székesfehérvári Városfejlesztési Közhasznú Nonprofit Kft.- Lakás bérleti díj)</t>
  </si>
  <si>
    <t xml:space="preserve">   MOL Aréna Sóstó üzemeltetési feladatainak ellátására (Székesfehérvári Városfejlesztési Kft.)</t>
  </si>
  <si>
    <t xml:space="preserve">V. </t>
  </si>
  <si>
    <t>Város- és községgazdálkodás</t>
  </si>
  <si>
    <t xml:space="preserve">   Székesfehérvár Városgondnoksága Kft.</t>
  </si>
  <si>
    <t xml:space="preserve">   Helyi közösségi közlekedés finanszírozási kerete</t>
  </si>
  <si>
    <t xml:space="preserve">   </t>
  </si>
  <si>
    <t xml:space="preserve">   Önkormányzati feladatellátást szolgáló támogatási keret (Székesfehérvár Városgondnoksága Kft.)</t>
  </si>
  <si>
    <t>Módosított előirányzat
(1)</t>
  </si>
  <si>
    <t>Új Módosított előírányzat
(3)=(1)+(2)</t>
  </si>
  <si>
    <t xml:space="preserve">              Rotary Club Székesfehérvár</t>
  </si>
  <si>
    <t xml:space="preserve">              Vállalkozók és Munkáltatók Országos Szövetsége</t>
  </si>
  <si>
    <t xml:space="preserve">              Fejér Megyei Cukorbetegek Egyesülete /FEMECE/</t>
  </si>
  <si>
    <t xml:space="preserve">              Ciszterci Diákegyesület Székesfehérvár</t>
  </si>
  <si>
    <t xml:space="preserve">              Tercia StArt Egyesület</t>
  </si>
  <si>
    <t xml:space="preserve">              Notre Dame felújítására (Kárpátok Alapítvány - Magyarország)</t>
  </si>
  <si>
    <t xml:space="preserve">                ebből:  MOL Aréna Sóstó üzemeltetési feladatainak ellátására (Székesfehérvári Városfejlesztési Kft.)</t>
  </si>
  <si>
    <t xml:space="preserve">         Szent István Hitoktatási és Művelődési Ház</t>
  </si>
  <si>
    <t xml:space="preserve">         Székesfehérvári Evangélikus Egyházközség</t>
  </si>
  <si>
    <t xml:space="preserve">             Alba Volán Sportclub - Öttusa Szakosztály olimpiai kvótát szerzett sportolóinak felkészítése</t>
  </si>
  <si>
    <t xml:space="preserve">             CUNDER Tömegsport és Utánpótlás Kézisuli Egyesület</t>
  </si>
  <si>
    <t xml:space="preserve">             Hullám 91. Úszó és Vízilabda Egyesület</t>
  </si>
  <si>
    <t xml:space="preserve">             Vitál Club Vízi Sport, Kerékpár, Triatlon, Quadriatlon és Szabadidő   Sportegyesület</t>
  </si>
  <si>
    <t xml:space="preserve">             VIDEOTON FCF Baráti Kör Egyesüle</t>
  </si>
  <si>
    <t>I.rendmód</t>
  </si>
  <si>
    <t>Terka int.</t>
  </si>
  <si>
    <t>Raktár u. 1.szám alatti épület felújítási munkáira</t>
  </si>
  <si>
    <t>Elektromos gépjárművek beszerzése</t>
  </si>
  <si>
    <t>Székesfehérvári Stadionrekonstrukciós program megvalósítására, figyelemmel a 1285/2015.(IV.30.) Korm.határozatra, valamint a megvalósítás ütemezésére</t>
  </si>
  <si>
    <t>Szent István Király Múzeum épületének rekonstrukciója előkészítése</t>
  </si>
  <si>
    <t>III. számú Idősek Otthona -  Székesfehérvár, Farkasvermi út 40. szám alatti ingatlanon található Intézmény villamoshálózat és gépészeti rendszer felújítása, valamint tető felújítása</t>
  </si>
  <si>
    <t>III. számú Idősek Otthona -  Székesfehérvár, Farkasvermi út 40. szám alatti ingatlanon található Intézmény villamoshálózatának, gépészeti rendszerének és lapostetőjének felújítása, valamint a IV. számú gondozási központ bővítésével kapcsolatos tervezési feladatok</t>
  </si>
  <si>
    <t>Felosztandó</t>
  </si>
  <si>
    <t>2019. évi módosított terv (eFt-ban)</t>
  </si>
  <si>
    <t>2018. évi alap maradványa</t>
  </si>
  <si>
    <t>Kamatbevétel 2019.</t>
  </si>
  <si>
    <t>Bírságok 2019.</t>
  </si>
  <si>
    <t>Talajterhelési díj 2019.</t>
  </si>
  <si>
    <t>2019. évi összes bevétel:</t>
  </si>
  <si>
    <t>Székesfehérvár zöldfelületi elemeinek növelése</t>
  </si>
  <si>
    <t>Környezetvédelmi feladatok összesen:</t>
  </si>
  <si>
    <t>Bankköltség, forgalmi jutalék</t>
  </si>
  <si>
    <t>Kiadások összesen:</t>
  </si>
  <si>
    <t>III. módosítás</t>
  </si>
  <si>
    <t>~ Bérkompenzáció (VII., VIII., IX. havi)</t>
  </si>
  <si>
    <t>~ Jogszabályból fakadó személyi jellegű többletkifizetések (jubileumi jutalom, szabadságmegváltás, kettős bér)</t>
  </si>
  <si>
    <t>~ Cafetéria ( VIII., IX., X. havi)</t>
  </si>
  <si>
    <t>~ Nettó  15.000 Ft/fő egyszeri juttatás a 759/2019. (XI.7.) Kgy. Határozat alapján</t>
  </si>
  <si>
    <t>~ Szociális ágazati összevont pótlék (VIII., IX., X. havi)</t>
  </si>
  <si>
    <t>~ 2019. július 1. és 2020. június 30- napja között megvalósuló programokhoz, rendezvényekhez, valamint tárgyi eszköz beszerzéséhez kapcsolódó személyi és dologi költségekhez (Képviselői Alap)</t>
  </si>
  <si>
    <t>~ 2019. évben megvalósításra kerülő programokhoz és tárgyi eszköz beszerzéshez kapcsolódód személyi és dologi költségekhez (Képviselői Alap)</t>
  </si>
  <si>
    <t>~ Nyugdíjazáshoz kapcsolódó kifizetések</t>
  </si>
  <si>
    <t>~ Cafetéria (VIII., IX.,X. havi)</t>
  </si>
  <si>
    <t>~ 2019. július 1.  és 2020. június 30- napja között megvalósuló programokhoz, rendezvényekhez, valamint tárgyi eszköz beszerzéséhez kapcsolódó személyi és dologi költségekhez (Képviselői Alap)</t>
  </si>
  <si>
    <t>~ Vízivárosi Tagóvodája számára 2019. évben megvalósításra kerülő programokhoz és tárgyi eszköz beszerzéshez kapcsolódód személyi és dologi költségekhez (Képviselői Alap)</t>
  </si>
  <si>
    <t>~ Ybl Miklós ltp-i Tagóvodája számára 2019. évben megvalósításra kerülő programokhoz és tárgyi eszköz beszerzéshez kapcsolódód személyi és dologi költségekhez (Képviselői Alap)</t>
  </si>
  <si>
    <t>~ Tóvárosi Tagóvodája számára 2019. évben megvalósításra kerülő programokhoz és tárgyi eszköz beszerzéshez kapcsolódód személyi és dologi költségekhez (Képviselői Alap)</t>
  </si>
  <si>
    <t>~ Nefelejcs Tagóvodája számára 2019. évben megvalósításra kerülő programokhoz és tárgyi eszköz beszerzéshez kapcsolódód személyi és dologi költségekhez (Képviselői Alap)</t>
  </si>
  <si>
    <t>~ Mancz János Tagóvodája számára 2019. évben megvalósításra kerülő programokhoz és tárgyi eszköz beszerzéshez kapcsolódód személyi és dologi költségekhez (Képviselői Alap)</t>
  </si>
  <si>
    <t xml:space="preserve">~ Óvodaigazgatók munkaközösségének támogatása </t>
  </si>
  <si>
    <t>~ Tolnai utcai óvoda Telephelye számára a 2019. évben megvalósításra kerülő programokhoz és tárgyi eszköz beszerzéshez kapcsolódód személyi és dologi költségekhez (Képviselői Alap)</t>
  </si>
  <si>
    <t>~ Sziget utcai Tagóvodája számára a 2019. évben megvalósításra kerülő programokhoz és tárgyi eszköz beszerzéshez kapcsolódód személyi és dologi költségekhez (Képviselői Alap)</t>
  </si>
  <si>
    <t>~ Püspökkertvárosi Tagóvodája  számára a 2019. évben megvalósításra kerülő programokhoz és tárgyi eszköz beszerzéshez kapcsolódód személyi és dologi költségekhez (Képviselői Alap)</t>
  </si>
  <si>
    <t>~ Palotavárosi Tagóvodája  számára a 2019. évben megvalósításra kerülő programokhoz és tárgyi eszköz beszerzéshez kapcsolódód személyi és dologi költségekhez (Képviselői Alap)</t>
  </si>
  <si>
    <t>~ Egészségügyi kiegészítő pótlék (IX., X., XI. havi)</t>
  </si>
  <si>
    <t>~ Játékvezetői díjak (Diáksportköri és Sportcélok feladatainál)</t>
  </si>
  <si>
    <t>~ Kulturális illetménypótlék (VIII., IX., X. havi)</t>
  </si>
  <si>
    <t>~ Országos Múzeumpedagógiai Konferencia szervezése</t>
  </si>
  <si>
    <t>~ Elmaradt feladat fedezetének visszavonása</t>
  </si>
  <si>
    <t>~ Dr. Lukács László Székesfehérvár néprajzi értékei című könyve 2019. december 31. napjáig történő megjelentetésének dologi költségeihez (Könyvkiadás)</t>
  </si>
  <si>
    <t>~ Főösszeget érintő saját hatáskörű átcsoportosítás- átvett pénzeszköz többlet</t>
  </si>
  <si>
    <t>~ Főösszeget nem érintő saját hatáskörű átcsoportosítás- Önkormányzati finanszírozás II. rész megtérülése</t>
  </si>
  <si>
    <t>~ Intézményi működéshez kapcsolodó kiadások (Polgármester úr saját hatáskör előriányzat módosítása)</t>
  </si>
  <si>
    <t>~ Intézményi működés biztosításának kerete</t>
  </si>
  <si>
    <t>~ 2019. február 1. és 2020. január 31. napja között megrendezésre kerülő programokhoz kapcsolódó személyi és dologi költségekhez, valamint immateriális javak, tárgyi eszközök költségeihez (Képviselői Alap)</t>
  </si>
  <si>
    <t>~ A Felsővárosi Hagyományörző Klub pakettjének díszdoboz vásárlásának 2019. évben felmerülő dologi költségeihez (Polgármesteri Keret)</t>
  </si>
  <si>
    <t>~ A Kisfalud-Novaj-pusztai Vigasság, valamint a Szedreskerti Mulatság és a Tóvárosi Őszköszöntő rendezvényekhez kapcsolódó dologi költségekhez (Városrészi rendezvények)</t>
  </si>
  <si>
    <t>~ Felsővárosi Tájház avató rendezvényhez kapcsolódó dologi költségekhez (Városrészi rendezvények)</t>
  </si>
  <si>
    <t>~ A Nóta Klub 2019. szeptember 15. és december 31. napja között történő részvételéhez kapcsolódó dologi költségekhez (Kulturális Alap)</t>
  </si>
  <si>
    <t>~ Játékvezetői díjak (Diáksportköri és Sportcélok feladatainál) Székesfehérvári Intézményi Központ</t>
  </si>
  <si>
    <t>~ Óvodaigazgatók munkaközösségének támogatása (Szárazréti óvoda)</t>
  </si>
  <si>
    <t>~ Országos Múzeumpedagógiai Konferencia szervezése (Szent István Király Múzeum)</t>
  </si>
  <si>
    <t>~ Elmaradt feladat fedezetének visszavonása (Szent István Király Múzeum)</t>
  </si>
  <si>
    <t>~ Intézményi működéshez kapcsolodó kiadások (Polgármester úr saját hatáskör előriányzat módosítása) (A Szabadművelődés Háza)</t>
  </si>
  <si>
    <t>~ Intézményi működés biztosításának kerete (A Szabadművelődés Háza)</t>
  </si>
  <si>
    <t>~ Képviselői Alap</t>
  </si>
  <si>
    <t>~ Városrészi rendezvények</t>
  </si>
  <si>
    <t>~ Kulturális Alap</t>
  </si>
  <si>
    <t>~ Könyvkiadás</t>
  </si>
  <si>
    <t>~ Főösszeget nem érintő saját hatáskörű átcsoportosítás - Önkrományzati finanszírozás II. rész megtérülése (Vörösmarty Színház)</t>
  </si>
  <si>
    <t>~ Főösszeget érintő saját hatáskörű átcsoportosítás - átvett pénzeszköz többlet (Vörösmarty Színház)</t>
  </si>
  <si>
    <t>~ Jogszabályból fakadó személyi jellegű többletkifizetések (jubileumi jutalom, szabadság megváltás, kettős bér)</t>
  </si>
  <si>
    <t>~ Nettó 15.000 Ft/fő egyszeri juttatás a 759/2019.(XI.7.) Kgy.határozat alapján</t>
  </si>
  <si>
    <t>~ Szociális ágazati összevont pótlék ( VIII., IX., X. havi)</t>
  </si>
  <si>
    <t>~ 2019. július 1. és 2020. június 30. napja között megvalósuló programokhoz, rendezvényekhez, valamint tárgyi eszköz beszerzéséhez kapcsolódó személyi és dologi költségekhez (Képviselői Alap)</t>
  </si>
  <si>
    <t>~  A Vízivárosi Tagóvodája számára a 2019. évben megvalósításra kerülő programokhoz és tárgyi eszköz beszerzéshez kapcsolódó személyi és dologi költségekhez (Képviselői Alap)</t>
  </si>
  <si>
    <t>~  Az Ybl Miklós ltp-i Tagóvodája  számára a 2019. évben megvalósításra kerülő programokhoz és tárgyi eszköz beszerzéshez kapcsolódó személyi és dologi költségekhez (Képviselői Alap)</t>
  </si>
  <si>
    <t>~  A Tóvárosi Tagóvodája  számára a 2019. évben megvalósításra kerülő programokhoz és tárgyi eszköz beszerzéshez kapcsolódó személyi és dologi költségekhez (Képviselői Alap)</t>
  </si>
  <si>
    <t>~  A Nefelejcs Tagóvodája  számára a 2019. évben megvalósításra kerülő programokhoz és tárgyi eszköz beszerzéshez kapcsolódó személyi és dologi költségekhez (Képviselői Alap)</t>
  </si>
  <si>
    <t>~  A Mancz János Tagóvodája  számára a 2019. évben megvalósításra kerülő programokhoz és tárgyi eszköz beszerzéshez kapcsolódó személyi és dologi költségekhez (Képviselői Alap)</t>
  </si>
  <si>
    <t>~ Tolnai utcai Telephelye számára a 2019. évben megvalósításra kerülő programokhoz és tárgyi eszköz beszerzéshez kapcsolódó személyi és dologi költségekhez (Képviselői Alap)</t>
  </si>
  <si>
    <t>~ A Sziget utcai Tagóvodája számára a 2019. évben megvalósításra kerülő programokhoz és tárgyi eszköz beszerzéshez kapcsolódó személyi és dologi költségekhez (Képviselői Alap)</t>
  </si>
  <si>
    <t>~ A Püspökkertvárosi  Tagóvodája számára a 2019. évben megvalósításra kerülő programokhoz és tárgyi eszköz beszerzéshez kapcsolódó személyi és dologi költségekhez (Képviselői Alap)</t>
  </si>
  <si>
    <t>~ A Palotavárosi  Tagóvodája számára a 2019. évben megvalósításra kerülő programokhoz és tárgyi eszköz beszerzéshez kapcsolódó személyi és dologi költségekhez (Képviselői Alap)</t>
  </si>
  <si>
    <t>~ Egészségügyi kiegészítő pótlék (IX.,X., XI. havi)</t>
  </si>
  <si>
    <t>~ Kulturális illetménypótlék (VIII., IX.,X. havi)</t>
  </si>
  <si>
    <t>~ dr. Lukács László Székesfehérvár néprajzi értékei című könyve 2019. december 31. napjáig történő megjelentetésének dologi költségeihez ( Könyvkiadás)</t>
  </si>
  <si>
    <t>~ Főösszeget érintő saját hatáskörű átcsoportosítás- Átvett pénzeszköz többlet</t>
  </si>
  <si>
    <t>~ Intézményi működéshez kapcsolódó kiadások (Polgármester Úr saját hatáskörű előirányzat módosítása)</t>
  </si>
  <si>
    <t xml:space="preserve">~ Főösszeget érintő saját hatáskörű átcsoportosítás </t>
  </si>
  <si>
    <t>~ 2019. február 1. és 2020. január 31. napja között megvalósuló programokhoz, rendezvényekhez, valamint tárgyi eszköz beszerzéséhez kapcsolódó személyi és dologi költségekhez (Képviselői Alap)</t>
  </si>
  <si>
    <t>~ Felsővárosi Hagyományörző Klub plakettjének díszdoboz vásárlásának 2019. évben felmerülő dologi költségeihez (Polgármesteri Keret)</t>
  </si>
  <si>
    <t>~ A Kisfalud-Novaj -pusztai Vigasság, valamint a Szedreskerti Mulatság és a Tóvárosi Őszköszöntő rendezvényekhez kapcsolódó dologi költségekhez (Városrészi rendezvények)</t>
  </si>
  <si>
    <t>A Felsővárosi Tájház avató rendezvényhez kapcsolódó dologi költségekhez (Városrészi rendezvények)</t>
  </si>
  <si>
    <t>~ A Nóta Klub 2019. szeptember 15. és december 31. napja között bemutatókon történő részvételéhez kapcsolódó dologi költségekhez (Kulturális Alap)</t>
  </si>
  <si>
    <t>~ Főösszeget érintős saját hatáskörű átcsoportosítás</t>
  </si>
  <si>
    <t>~ Közgyűlési hatáskörben történő átcsoportosítás, főösszeget nem értintő</t>
  </si>
  <si>
    <t>~ Elmaradt feladat fedezetének visszavonása  (Szent István Király Múzeum)</t>
  </si>
  <si>
    <t>~ Intézményi működéshez kapcsolódó kiadások (Polgármester Úr saját hatáskörű előirányzat módosítása) (A Szabadművelődés Háza)</t>
  </si>
  <si>
    <t>~ Főösszeget érintős saját hatáskörű átcsoportosítás (Polgármesteri Hivatal)</t>
  </si>
  <si>
    <t>~ Főösszeget érintő saját hatáskörű átcsoportosítás- átvett pénzeszköz többlet (Vörösmarty Színház)</t>
  </si>
  <si>
    <t>~ Közgyűlési hatáskörben történő átcsoportosítás, főösszeget nem értintő (Polgármesteri Hivatal)</t>
  </si>
  <si>
    <t>Önkormányzat II. módosított előirányzata</t>
  </si>
  <si>
    <t xml:space="preserve">       V. Adventi Jótékonysági Futás és a IX. Székesfehérvári Jótékonysági Estély (674/2019.(XI.7.) kgy.hat.alapján)</t>
  </si>
  <si>
    <t xml:space="preserve">   Vadásztölténygyári Vasas Ifjúsági és Sport Egyesület- Futballfesztivál megrendezésének támogatása</t>
  </si>
  <si>
    <t xml:space="preserve">   Bridge Club Székesfehérvár</t>
  </si>
  <si>
    <t xml:space="preserve">   Magyarországi Zsidó Hitközségek Szövetsége</t>
  </si>
  <si>
    <t xml:space="preserve">   Arany János Óvoda, Általános Iskola, Speciális Szakiskola és EGYMI - Felújítási munkálatokkal kapcsolatos feladatok</t>
  </si>
  <si>
    <t xml:space="preserve">   II. számú Idősek Otthona -  Székesfehérvár, Farkasvermi út 40. szám alatti ingatlanon található Intézmény villamoshálózatának, gépészeti rendszerének és lapostetőjének felújítása, valamint a IV. számú gondozási központ bővítésével kapcsolatos tervezési feladatok</t>
  </si>
  <si>
    <t xml:space="preserve">   Vis Maior</t>
  </si>
  <si>
    <t xml:space="preserve">   Szekfű Gyula utcai rendelőépület - Háziorvosi és fogorvosi rendelő felújítása, fejlesztése</t>
  </si>
  <si>
    <t xml:space="preserve">   Hosszúsétatéri Óvoda - Homlokzati FENFA nyílászáró szerkezetek cseréje I. ütem</t>
  </si>
  <si>
    <t xml:space="preserve">   Lövölde u. 26. ingatlan felújítása - Csapadékvíz és szennyvíz elvezető rendszer átépítése</t>
  </si>
  <si>
    <t xml:space="preserve">   Budai u. 56/a ingatlan felújítása (Csemete Gyermekcentrum Bölcsőde) - Konyha épületrész belső felújítási munkái tervdokumentáció alapján</t>
  </si>
  <si>
    <t xml:space="preserve">   Királyi Bazilika köveinek elszállítása</t>
  </si>
  <si>
    <t xml:space="preserve">   Sportcsarnok, egyéb létesítmények, felszíni parkolók, zöldfelület építésének önkormányzati önrésze (233/2019.(IV.26.) kgy.hat.alapján)</t>
  </si>
  <si>
    <t xml:space="preserve">   Szent István Király Múzeum épületének rekonstrukciója előkészítése - önerő kerete</t>
  </si>
  <si>
    <t xml:space="preserve">   Arany János u. 10. szám alatti ingatlan felújításával kapcsolatos tervezési feladatok</t>
  </si>
  <si>
    <t xml:space="preserve">   Székesfehérvár 428 hrsz-ú ingatlanon álló épület építészeti, műszaki felmérése, hasznosítási elemzések</t>
  </si>
  <si>
    <t xml:space="preserve">   Jókai u. 2. épület fal sótlanítás és falszárítás dokumentáció</t>
  </si>
  <si>
    <t xml:space="preserve">   Prohászka 32/a. épület bontási terve</t>
  </si>
  <si>
    <t xml:space="preserve">   Székesfehérvár Városház tér 1. szám alatti épület tartószerkezeti véleményezése, épületenergetika, elektromos felújítás költségbecslése</t>
  </si>
  <si>
    <t xml:space="preserve">   Pályázat előkészítésére és önerő keret </t>
  </si>
  <si>
    <t xml:space="preserve">   Széna téri kerékpárforgalmi létesítmény </t>
  </si>
  <si>
    <t xml:space="preserve">   Árpád-ház programhoz kapcsolódó tervezési, előkészítési feladatok figyelemmel az 1315/2016.(VII.1.) Korm.határozatra</t>
  </si>
  <si>
    <t xml:space="preserve">   Székesfehérvári Stadionrekonstrukciós program megvalósítására, figyelemmel a 1285/2015.(IV.30.) Korm.határozatra, valamint a megvalósítás ütemezésére</t>
  </si>
  <si>
    <t xml:space="preserve">   Székesfehérvár déli összekötőút megvalósítása</t>
  </si>
  <si>
    <t xml:space="preserve">   Innovatív Szociális Szolgáltató Központ kialakítása Székesfehérváron</t>
  </si>
  <si>
    <t xml:space="preserve">   Óvodai udvarok megújítása</t>
  </si>
  <si>
    <t xml:space="preserve">   SZIKM Muzeális emlékek elhelyezése Juharfa u. bérleti díj</t>
  </si>
  <si>
    <t xml:space="preserve">   Bakony úti szennyvíztelepen megépített utótisztító műtárgy üzemeltetési költsége (550/2018. (VIII.17.) kgy.hat.alapján)</t>
  </si>
  <si>
    <t xml:space="preserve">   Székesfehérvári Tankerületi Központ- oktatásszakmai munkájának támogatása</t>
  </si>
  <si>
    <t xml:space="preserve">   Óvodaigazgatók munkaközösségének támogatása</t>
  </si>
  <si>
    <t xml:space="preserve">   Kégl György Program - Fejér Megyei Szent György Egyetemi Oktató Kórház működési és fejlesztési támogatása</t>
  </si>
  <si>
    <t xml:space="preserve">   Aranybulla Könyvtár alapítvány működési támogatás</t>
  </si>
  <si>
    <t xml:space="preserve">   Fehérvári Zenei Napok- FEZEN Művészeti és Jószolgálati Alapítvány</t>
  </si>
  <si>
    <t xml:space="preserve">   Gőzmalom u. 24. "Kivett malom" ingatlan vagyonkezelői jogának megszüntetésére megbízott szakértői díj fedezetére 532/2019. (VIII. 16.) kgy.határozat alapján</t>
  </si>
  <si>
    <t xml:space="preserve">   Könyvkiadás (dr. Lukács László Székesfehérvár néprajzi értékei című könyve 2019. december 31. napjáig történő megjelentetésének dologi költségeihez - SZIKM)</t>
  </si>
  <si>
    <t xml:space="preserve">   Városrészi rendezvények ( A Kisfalud-Novaj -pusztai Vigasság, valamint a Szedreskerti Mulatság és a Tóvárosi Őszköszöntő rendezvényekhez kapcsolódó dologi költségekhez - ASZMH)</t>
  </si>
  <si>
    <t xml:space="preserve">   Városrészi rendezvények (A Felsővárosi Tájház avató rendezvényhez kapcsolódó dologi költségekhez - ASZMH)</t>
  </si>
  <si>
    <t xml:space="preserve">   Játékvezetők díja</t>
  </si>
  <si>
    <t xml:space="preserve">   Videoton Box Club</t>
  </si>
  <si>
    <t xml:space="preserve">   A Nóta Klub 2019. szeptember 15. és december 31. napja között bemutatókon történő részvételéhez kapcsolódó dologi költségekhez (ASZMH)</t>
  </si>
  <si>
    <t xml:space="preserve">   Felsővárosi Hagyományörző Klub plakettjének díszdoboz vásárlásának 2019. évben felmerülő dologi költségeihez (ASZMH)</t>
  </si>
  <si>
    <t xml:space="preserve">   Környezetvédelmi Alap</t>
  </si>
  <si>
    <t xml:space="preserve">   2019. július 1. és 2020. június 30. napja között megvalósuló programokhoz, rendezvényekhez, valamint tárgyi eszköz beszerzéséhez kapcsolódó személyi és dologi költségekhez (Frim Jakab Képességfejlesztő)</t>
  </si>
  <si>
    <t xml:space="preserve">   2019. július 1. és 2020. június 30. napja között megvalósuló programokhoz, rendezvényekhez, valamint tárgyi eszköz beszerzéséhez kapcsolódó személyi és dologi költségekhez (Százszorszép Bölcsőde)</t>
  </si>
  <si>
    <t xml:space="preserve">    2019. évben megvalósításra kerülő programokhoz és tárgyi eszköz beszerzéshez kapcsolódó személyi és dologi költségekhez (Százszorszép Bölcsőde)</t>
  </si>
  <si>
    <t xml:space="preserve">   2019. július 1. és 2020. június 30. napja között megvalósuló programokhoz, rendezvényekhez, valamint tárgyi eszköz beszerzéséhez kapcsolódó személyi és dologi költségekhez (3.számú Bölcsőde)</t>
  </si>
  <si>
    <t xml:space="preserve">    2019. évben megvalósításra kerülő programokhoz és tárgyi eszköz beszerzéshez kapcsolódó személyi és dologi költségekhez (Napraforgó Bölcsőde)</t>
  </si>
  <si>
    <t xml:space="preserve">   2019. július 1. és 2020. június 30. napja között megvalósuló programokhoz, rendezvényekhez, valamint tárgyi eszköz beszerzéséhez kapcsolódó személyi és dologi költségekhez (Napraforgó Bölcsőde)</t>
  </si>
  <si>
    <t xml:space="preserve">    2019. évben megvalósításra kerülő programokhoz és tárgyi eszköz beszerzéshez kapcsolódó személyi és dologi költségekhez (Nyitnikék Bölcsőde)</t>
  </si>
  <si>
    <t xml:space="preserve">   2019. július 1. és 2020. június 30. napja között megvalósuló programokhoz, rendezvényekhez, valamint tárgyi eszköz beszerzéséhez kapcsolódó személyi és dologi költségekhez (Nyitnikék Bölcsőde)</t>
  </si>
  <si>
    <t xml:space="preserve">   2019. július 1. és 2020. június 30. napja között megvalósuló programokhoz, rendezvényekhez, valamint tárgyi eszköz beszerzéséhez kapcsolódó személyi és dologi költségekhez (7.sz. Bölcsőde)</t>
  </si>
  <si>
    <t xml:space="preserve">   2019. július 1. és 2020. június 30. napja között megvalósuló programokhoz, rendezvényekhez, valamint tárgyi eszköz beszerzéséhez kapcsolódó személyi és dologi költségekhez (8.sz. Bölcsőde)</t>
  </si>
  <si>
    <t xml:space="preserve">    2019. évben megvalósításra kerülő programokhoz és tárgyi eszköz beszerzéshez kapcsolódó személyi és dologi költségekhez (Árpád Úti Óvoda)</t>
  </si>
  <si>
    <t xml:space="preserve">    2019. évben megvalósításra kerülő programokhoz és tárgyi eszköz beszerzéshez kapcsolódó személyi és dologi költségekhez (Árpád Úti Óvoda Vízivárosi Tagóvodája)</t>
  </si>
  <si>
    <t xml:space="preserve">    2019. évben megvalósításra kerülő programokhoz és tárgyi eszköz beszerzéshez kapcsolódó személyi és dologi költségekhez (Felsővárosi Óvoda)</t>
  </si>
  <si>
    <t xml:space="preserve">    2019. évben megvalósításra kerülő programokhoz és tárgyi eszköz beszerzéshez kapcsolódó személyi és dologi költségekhez (Felsővárosi Óvoda Ybl Miklós lakótelepi Tagóvodája)</t>
  </si>
  <si>
    <t xml:space="preserve">    2019. évben megvalósításra kerülő programokhoz és tárgyi eszköz beszerzéshez kapcsolódó személyi és dologi költségekhez (Hosszúsétatéri Óvoda)</t>
  </si>
  <si>
    <t xml:space="preserve">    2019. évben megvalósításra kerülő programokhoz és tárgyi eszköz beszerzéshez kapcsolódó személyi és dologi költségekhez (Hosszúsétatéri Óvoda Tóvárosi Tagóvodája)</t>
  </si>
  <si>
    <t xml:space="preserve">    2019. évben megvalósításra kerülő programokhoz és tárgyi eszköz beszerzéshez kapcsolódó személyi és dologi költségekhez (Napsugár Óvoda)</t>
  </si>
  <si>
    <t xml:space="preserve">    2019. évben megvalósításra kerülő programokhoz és tárgyi eszköz beszerzéshez kapcsolódó személyi és dologi költségekhez (Napsugár Óvoda Nefelejcs Tagóvodája)</t>
  </si>
  <si>
    <t xml:space="preserve">    2019. évben megvalósításra kerülő programokhoz és tárgyi eszköz beszerzéshez kapcsolódó személyi és dologi költségekhez (Rákóczi úti Óvoda)</t>
  </si>
  <si>
    <t xml:space="preserve">    2019. évben megvalósításra kerülő programokhoz és tárgyi eszköz beszerzéshez kapcsolódó személyi és dologi költségekhez (Rákóczi úti Óvoda Mancz János Tagóvodája)</t>
  </si>
  <si>
    <t xml:space="preserve">    2019. évben megvalósításra kerülő programokhoz és tárgyi eszköz beszerzéshez kapcsolódó személyi és dologi költségekhez (Szárazréti Óvoda)</t>
  </si>
  <si>
    <t xml:space="preserve">    2019. évben megvalósításra kerülő programokhoz és tárgyi eszköz beszerzéshez kapcsolódó személyi és dologi költségekhez (Tolnai úti Óvoda)</t>
  </si>
  <si>
    <t xml:space="preserve">    2019. évben megvalósításra kerülő programokhoz és tárgyi eszköz beszerzéshez kapcsolódó személyi és dologi költségekhez (Tolnai úti Óvoda telephelye számára)</t>
  </si>
  <si>
    <t xml:space="preserve">    2019. évben megvalósításra kerülő programokhoz és tárgyi eszköz beszerzéshez kapcsolódó személyi és dologi költségekhez (Tolnai úti Óvoda Sziget utcai Tagóvodája)</t>
  </si>
  <si>
    <t xml:space="preserve">    2019. évben megvalósításra kerülő programokhoz és tárgyi eszköz beszerzéshez kapcsolódó személyi és dologi költségekhez (Szivárvány Óvoda)</t>
  </si>
  <si>
    <t xml:space="preserve">    2019. évben megvalósításra kerülő programokhoz és tárgyi eszköz beszerzéshez kapcsolódó személyi és dologi költségekhez (Szivárvány Óvoda Püspükkertvárosi Tagóvodája)</t>
  </si>
  <si>
    <t xml:space="preserve">    2019. évben megvalósításra kerülő programokhoz és tárgyi eszköz beszerzéshez kapcsolódó személyi és dologi költségekhez (Ligetsori Óvoda)</t>
  </si>
  <si>
    <t xml:space="preserve">    2019. évben megvalósításra kerülő programokhoz és tárgyi eszköz beszerzéshez kapcsolódó személyi és dologi költségekhez (Ligetsori Óvoda Palotavárosi Tagóvodája)</t>
  </si>
  <si>
    <t xml:space="preserve">   2019. július 1. és 2020. június 30. napja között megvalósuló programokhoz, rendezvényekhez, valamint tárgyi eszköz beszerzéséhez kapcsolódó személyi és dologi költségekhez (ESZI)</t>
  </si>
  <si>
    <t xml:space="preserve">    2019. évben megvalósításra kerülő programokhoz és tárgyi eszköz beszerzéshez kapcsolódó személyi és dologi költségekhez (ASZMH)</t>
  </si>
  <si>
    <t xml:space="preserve">   2019. február 1. és 2020. január 31. napja között megrendezésre kerülő programokhoz kapcsolódó személyi és dologiköltségekhez, valamint immateriális javak, tárgyi eszközök költségeihez (ASZMH)</t>
  </si>
  <si>
    <t xml:space="preserve">   Aranybulla Könyvtár alapítvány működési    támogatás</t>
  </si>
  <si>
    <t xml:space="preserve">    Bakony úti szennyvíztelepen megépített utótisztító műtárgy üzemeltetési költsége (550/2018. (VIII.17.) kgy.hat.alapján)</t>
  </si>
  <si>
    <t xml:space="preserve">    MOL Aréna Sóstó üzemeltetési feladatainak ellátására (Székesfehérvári Városfejlesztési Kft.)</t>
  </si>
  <si>
    <t xml:space="preserve">   V. Adventi Jótékonysági Futás és a IX. Székesfehérvári Jótékonysági Estély (674/2019.(XI.7.) kgy.hat.alapján)</t>
  </si>
  <si>
    <t xml:space="preserve">   Képviselői Alap</t>
  </si>
  <si>
    <t xml:space="preserve">   Intézmények egyszeri juttatása (nettó 15eFt/fő egyszeri juttatás a 759/2019.(XI.7.)kgy.hat.alapján)</t>
  </si>
  <si>
    <t xml:space="preserve">   Országos Múzeumpedagógiai konferencia szervezése, SZIKM</t>
  </si>
  <si>
    <t xml:space="preserve">   Intézményi működés biztosításának kerete AMSZH</t>
  </si>
  <si>
    <t>~ Intézménytől elvonás</t>
  </si>
  <si>
    <t xml:space="preserve">   Intézménytől elvonás (Színház: előadóművészeti támogatás bevétele miatti előirányzatrendezés</t>
  </si>
  <si>
    <t xml:space="preserve">   Intézménytől elvonás (SZIKM: feladatelmaradás miatti előirányzatrendezés)</t>
  </si>
  <si>
    <t xml:space="preserve">   Önkormányzati feladatellátást szolgáló támogatási keret (Királyi Bazilika köveinek elszállítása)</t>
  </si>
  <si>
    <t xml:space="preserve">   Önkormányzati feladatellátást szolgáló támogatási keret (Sportcsarnok, egyéb létesítmények, felszíni parkolók, zöldfelület építésének önkormányzati önrésze (233/2019.(IV.26.) kgy.hat.alapján)</t>
  </si>
  <si>
    <t xml:space="preserve">   Önkormányzati feladatellátást szolgáló támogatási keret (Fehérvári Zenei Napok- FEZEN Művészeti és Jószolgálati Alapítvány)</t>
  </si>
  <si>
    <t>Költségvetési szervek működési költségeinek fedezetére, valamint az új illetve átszervezéssel érintett intézmények megalakulásával és átszervezésével kapcsolatos eseti költségeinek fedezetére (Gőzmalom u. 24. "Kivett malom" ingatlan vagyonkezelői jogának megszüntetésére megbízott szakértői díj fedezetére 532/2019. (VIII. 16.) kgy.határozat alapján)</t>
  </si>
  <si>
    <t>köt: 4449, önként:165</t>
  </si>
  <si>
    <t>köt: 14040, önként: 10327</t>
  </si>
  <si>
    <t xml:space="preserve">   Nyugdíjazással kapcsolatos kifizetések keretéről</t>
  </si>
  <si>
    <t xml:space="preserve">   Jogszabályból fakadó személyi jellegű többletkifizetések keretére</t>
  </si>
  <si>
    <t xml:space="preserve">   Nyugdíjazással kapcsolatos kifizetések (Intézményi működéshez kapcsolódó kiadások-ASZMH)</t>
  </si>
  <si>
    <t>köt: 14040 ö:10327</t>
  </si>
  <si>
    <t>köt: 4449 ö:165</t>
  </si>
  <si>
    <t xml:space="preserve">              V. Adventi Jótékonysági Futás és a IX. Székesfehérvári Jótékonysági Estély (674/2019.(XI.7.) kgy.hat.alapján)</t>
  </si>
  <si>
    <t xml:space="preserve">              Bridge Club Székesfehérvár</t>
  </si>
  <si>
    <t xml:space="preserve">              Magyarországi Zsidó Hitközségek Szövetsége</t>
  </si>
  <si>
    <t xml:space="preserve">         Gőzmalom u. 24. "Kivett malom" ingatlan vagyonkezelői jogának megszüntetésére megbízott szakértői díj fedezetére 532/2019. (VIII. 16.) kgy.határozat alapján</t>
  </si>
  <si>
    <t xml:space="preserve">         Aranybulla Könyvtár alapítvány működési támogatás</t>
  </si>
  <si>
    <t xml:space="preserve">             Videoton Box Club</t>
  </si>
  <si>
    <t>Székesfehérvár 428 hrsz-ú ingatlanon álló épület építészeti, műszaki felmérése, hasznosítási elemzések</t>
  </si>
  <si>
    <t>Jókai u. 2. épület fal sótlanítás és falszárítás dokumentáció</t>
  </si>
  <si>
    <t>Prohászka 32/a. épület bontási terve</t>
  </si>
  <si>
    <t>Székesfehérvár Városház tér 1. szám alatti épület tartószerkezeti véleményezése, épületenergetika, elektromos felújítás költségbecslése</t>
  </si>
  <si>
    <t>Sportcsarnok, egyéb létesítmények, felszíni parkolók, zöldfelület építésének önkormányzati önrésze (233/2019.(IV.26.) kgy.hat.alapján)</t>
  </si>
  <si>
    <t>Királyi Bazilika köveinek elszállítása</t>
  </si>
  <si>
    <t>Szent István Király Múzeum épületének rekonstrukciója előkészítése - önerő kerete</t>
  </si>
  <si>
    <t>III.rmód</t>
  </si>
  <si>
    <t>Különbözet</t>
  </si>
  <si>
    <t xml:space="preserve"> 23. melléklet</t>
  </si>
  <si>
    <t>Környezetvédelmi Alap felosztása (eFt-ban)</t>
  </si>
  <si>
    <t>Költségvetési szervek 2019. évi bevételi előirányzata (eFt-ban)</t>
  </si>
  <si>
    <r>
      <t>az 5/2019.(II.15.) önkormányzati rendelethez</t>
    </r>
    <r>
      <rPr>
        <i/>
        <vertAlign val="superscript"/>
        <sz val="12"/>
        <rFont val="Times New Roman"/>
        <family val="1"/>
        <charset val="238"/>
      </rPr>
      <t>14</t>
    </r>
  </si>
  <si>
    <r>
      <t xml:space="preserve"> az 5/2019.(II.15.) önkormányzati rendelethez</t>
    </r>
    <r>
      <rPr>
        <i/>
        <vertAlign val="superscript"/>
        <sz val="11"/>
        <color rgb="FF000000"/>
        <rFont val="Times New Roman"/>
        <family val="1"/>
        <charset val="238"/>
      </rPr>
      <t>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</si>
</sst>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F_t_-;\-* #,##0.00\ _F_t_-;_-* &quot;-&quot;??\ _F_t_-;_-@_-"/>
    <numFmt numFmtId="165" formatCode="_-* #,##0_-;\-* #,##0_-;_-* &quot;-&quot;??_-;_-@_-"/>
  </numFmts>
  <fonts count="82" x14ac:knownFonts="1">
    <font>
      <sz val="12"/>
      <name val="Times New Roman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name val="Times New Roman CE"/>
      <charset val="238"/>
    </font>
    <font>
      <b/>
      <sz val="12"/>
      <name val="Times New Roman CE"/>
      <charset val="238"/>
    </font>
    <font>
      <i/>
      <sz val="12"/>
      <name val="Times New Roman CE"/>
      <charset val="238"/>
    </font>
    <font>
      <sz val="12"/>
      <name val="Times New Roman CE"/>
      <charset val="238"/>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b/>
      <sz val="11"/>
      <color indexed="8"/>
      <name val="Calibri"/>
      <family val="2"/>
      <charset val="238"/>
    </font>
    <font>
      <sz val="11"/>
      <color indexed="20"/>
      <name val="Calibri"/>
      <family val="2"/>
      <charset val="238"/>
    </font>
    <font>
      <sz val="11"/>
      <color indexed="60"/>
      <name val="Calibri"/>
      <family val="2"/>
      <charset val="238"/>
    </font>
    <font>
      <b/>
      <sz val="11"/>
      <color indexed="52"/>
      <name val="Calibri"/>
      <family val="2"/>
      <charset val="238"/>
    </font>
    <font>
      <i/>
      <sz val="12"/>
      <name val="Times New Roman"/>
      <family val="1"/>
      <charset val="238"/>
    </font>
    <font>
      <sz val="10"/>
      <name val="Arial"/>
      <family val="2"/>
      <charset val="238"/>
    </font>
    <font>
      <sz val="12"/>
      <color indexed="8"/>
      <name val="Times New Roman"/>
      <family val="2"/>
      <charset val="238"/>
    </font>
    <font>
      <sz val="10"/>
      <name val="Arial CE"/>
      <charset val="238"/>
    </font>
    <font>
      <b/>
      <sz val="12"/>
      <name val="Times New Roman"/>
      <family val="1"/>
      <charset val="238"/>
    </font>
    <font>
      <sz val="12"/>
      <name val="Times New Roman"/>
      <family val="1"/>
      <charset val="238"/>
    </font>
    <font>
      <b/>
      <sz val="12"/>
      <color indexed="8"/>
      <name val="Times New Roman"/>
      <family val="1"/>
      <charset val="238"/>
    </font>
    <font>
      <sz val="12"/>
      <name val="Times New Roman"/>
      <family val="2"/>
      <charset val="238"/>
    </font>
    <font>
      <b/>
      <i/>
      <sz val="12"/>
      <name val="Times New Roman"/>
      <family val="1"/>
      <charset val="238"/>
    </font>
    <font>
      <sz val="12"/>
      <color indexed="8"/>
      <name val="Times New Roman"/>
      <family val="1"/>
      <charset val="238"/>
    </font>
    <font>
      <sz val="10"/>
      <name val="Times New Roman"/>
      <family val="1"/>
      <charset val="238"/>
    </font>
    <font>
      <b/>
      <sz val="10"/>
      <name val="Times New Roman"/>
      <family val="1"/>
      <charset val="238"/>
    </font>
    <font>
      <u/>
      <sz val="10"/>
      <name val="Times New Roman"/>
      <family val="1"/>
      <charset val="238"/>
    </font>
    <font>
      <b/>
      <sz val="12"/>
      <name val="Times New Roman CE"/>
      <family val="1"/>
      <charset val="238"/>
    </font>
    <font>
      <sz val="12"/>
      <name val="Times New Roman CE"/>
      <family val="1"/>
      <charset val="238"/>
    </font>
    <font>
      <b/>
      <i/>
      <sz val="12"/>
      <name val="Times New Roman CE"/>
      <family val="1"/>
      <charset val="238"/>
    </font>
    <font>
      <b/>
      <i/>
      <sz val="12"/>
      <name val="Times New Roman CE"/>
      <charset val="238"/>
    </font>
    <font>
      <i/>
      <sz val="10"/>
      <name val="Arial CE"/>
      <charset val="238"/>
    </font>
    <font>
      <b/>
      <i/>
      <sz val="10"/>
      <name val="Arial CE"/>
      <charset val="238"/>
    </font>
    <font>
      <b/>
      <sz val="10"/>
      <name val="Arial CE"/>
      <charset val="238"/>
    </font>
    <font>
      <sz val="11"/>
      <name val="Arial CE"/>
      <charset val="238"/>
    </font>
    <font>
      <sz val="12"/>
      <name val="Times New Roman CE"/>
    </font>
    <font>
      <b/>
      <sz val="10"/>
      <name val="Times New Roman CE"/>
      <charset val="238"/>
    </font>
    <font>
      <i/>
      <sz val="12"/>
      <name val="Times New Roman CE"/>
      <family val="1"/>
      <charset val="238"/>
    </font>
    <font>
      <b/>
      <sz val="14"/>
      <name val="Times New Roman CE"/>
      <charset val="238"/>
    </font>
    <font>
      <b/>
      <sz val="11"/>
      <name val="Times New Roman CE"/>
      <family val="1"/>
      <charset val="238"/>
    </font>
    <font>
      <b/>
      <sz val="9"/>
      <name val="Times New Roman CE"/>
      <family val="1"/>
      <charset val="238"/>
    </font>
    <font>
      <b/>
      <sz val="12"/>
      <name val="Times New Roman CE"/>
    </font>
    <font>
      <b/>
      <sz val="10"/>
      <name val="Times New Roman CE"/>
      <family val="1"/>
      <charset val="238"/>
    </font>
    <font>
      <sz val="10"/>
      <name val="Times New Roman CE"/>
      <charset val="238"/>
    </font>
    <font>
      <sz val="11"/>
      <color theme="1"/>
      <name val="Calibri"/>
      <family val="2"/>
      <charset val="238"/>
      <scheme val="minor"/>
    </font>
    <font>
      <sz val="12"/>
      <color theme="1"/>
      <name val="Times New Roman"/>
      <family val="2"/>
      <charset val="238"/>
    </font>
    <font>
      <sz val="12"/>
      <color theme="1"/>
      <name val="Times New Roman"/>
      <family val="1"/>
      <charset val="238"/>
    </font>
    <font>
      <b/>
      <sz val="11"/>
      <color theme="1"/>
      <name val="Calibri"/>
      <family val="2"/>
      <charset val="238"/>
      <scheme val="minor"/>
    </font>
    <font>
      <b/>
      <sz val="12"/>
      <color theme="1"/>
      <name val="Times New Roman"/>
      <family val="1"/>
      <charset val="238"/>
    </font>
    <font>
      <i/>
      <sz val="12"/>
      <color indexed="8"/>
      <name val="Times New Roman"/>
      <family val="1"/>
      <charset val="238"/>
    </font>
    <font>
      <b/>
      <sz val="14"/>
      <name val="Times New Roman"/>
      <family val="1"/>
      <charset val="238"/>
    </font>
    <font>
      <i/>
      <sz val="12"/>
      <name val="Times New Roman"/>
      <family val="1"/>
    </font>
    <font>
      <i/>
      <sz val="12"/>
      <color indexed="8"/>
      <name val="Times New Roman"/>
      <family val="1"/>
    </font>
    <font>
      <b/>
      <sz val="11"/>
      <name val="Times New Roman CE"/>
      <charset val="238"/>
    </font>
    <font>
      <b/>
      <sz val="10"/>
      <name val="Times New Roman CE"/>
    </font>
    <font>
      <i/>
      <sz val="12"/>
      <name val="Times New Roman CE"/>
    </font>
    <font>
      <i/>
      <sz val="11"/>
      <color theme="1"/>
      <name val="Calibri"/>
      <family val="2"/>
      <charset val="238"/>
      <scheme val="minor"/>
    </font>
    <font>
      <sz val="8"/>
      <name val="Times New Roman CE"/>
      <charset val="238"/>
    </font>
    <font>
      <sz val="10"/>
      <name val="Times New Roman CE"/>
      <family val="1"/>
      <charset val="238"/>
    </font>
    <font>
      <b/>
      <sz val="8"/>
      <name val="Times New Roman CE"/>
    </font>
    <font>
      <sz val="10"/>
      <color indexed="8"/>
      <name val="Calibri"/>
      <family val="2"/>
      <charset val="238"/>
    </font>
    <font>
      <sz val="12"/>
      <color rgb="FFFF0000"/>
      <name val="Times New Roman"/>
      <family val="1"/>
      <charset val="238"/>
    </font>
    <font>
      <i/>
      <vertAlign val="superscript"/>
      <sz val="12"/>
      <name val="Times New Roman"/>
      <family val="1"/>
      <charset val="238"/>
    </font>
    <font>
      <i/>
      <sz val="10"/>
      <name val="Times New Roman"/>
      <family val="1"/>
      <charset val="238"/>
    </font>
    <font>
      <i/>
      <vertAlign val="superscript"/>
      <sz val="10"/>
      <name val="Times New Roman"/>
      <family val="1"/>
      <charset val="238"/>
    </font>
    <font>
      <i/>
      <sz val="12"/>
      <color rgb="FFFF0000"/>
      <name val="Times New Roman"/>
      <family val="1"/>
      <charset val="238"/>
    </font>
    <font>
      <b/>
      <sz val="11"/>
      <color indexed="8"/>
      <name val="Times New Roman"/>
      <family val="1"/>
      <charset val="238"/>
    </font>
    <font>
      <i/>
      <sz val="11"/>
      <color indexed="8"/>
      <name val="Times New Roman"/>
      <family val="1"/>
      <charset val="238"/>
    </font>
    <font>
      <i/>
      <vertAlign val="superscript"/>
      <sz val="11"/>
      <color rgb="FF000000"/>
      <name val="Times New Roman"/>
      <family val="1"/>
      <charset val="23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s>
  <borders count="1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ck">
        <color indexed="64"/>
      </right>
      <top style="medium">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style="thick">
        <color indexed="64"/>
      </left>
      <right style="thick">
        <color indexed="64"/>
      </right>
      <top/>
      <bottom style="thin">
        <color indexed="64"/>
      </bottom>
      <diagonal/>
    </border>
    <border>
      <left/>
      <right style="thick">
        <color indexed="64"/>
      </right>
      <top/>
      <bottom style="thin">
        <color indexed="64"/>
      </bottom>
      <diagonal/>
    </border>
    <border>
      <left style="thick">
        <color indexed="64"/>
      </left>
      <right style="thick">
        <color indexed="64"/>
      </right>
      <top style="thin">
        <color indexed="64"/>
      </top>
      <bottom/>
      <diagonal/>
    </border>
    <border>
      <left/>
      <right style="thick">
        <color indexed="64"/>
      </right>
      <top style="thin">
        <color indexed="64"/>
      </top>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right style="thick">
        <color indexed="64"/>
      </right>
      <top style="thick">
        <color indexed="64"/>
      </top>
      <bottom style="medium">
        <color indexed="64"/>
      </bottom>
      <diagonal/>
    </border>
    <border>
      <left/>
      <right style="thick">
        <color indexed="64"/>
      </right>
      <top style="thick">
        <color indexed="64"/>
      </top>
      <bottom/>
      <diagonal/>
    </border>
    <border>
      <left style="thick">
        <color indexed="64"/>
      </left>
      <right style="thick">
        <color indexed="64"/>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bottom/>
      <diagonal/>
    </border>
    <border>
      <left style="thick">
        <color indexed="64"/>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style="thick">
        <color indexed="64"/>
      </left>
      <right/>
      <top style="medium">
        <color indexed="64"/>
      </top>
      <bottom/>
      <diagonal/>
    </border>
    <border>
      <left style="thick">
        <color indexed="64"/>
      </left>
      <right/>
      <top/>
      <bottom/>
      <diagonal/>
    </border>
    <border>
      <left style="thick">
        <color indexed="64"/>
      </left>
      <right/>
      <top style="thick">
        <color indexed="64"/>
      </top>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style="medium">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thick">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ck">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ck">
        <color indexed="64"/>
      </top>
      <bottom style="medium">
        <color indexed="64"/>
      </bottom>
      <diagonal/>
    </border>
    <border>
      <left/>
      <right/>
      <top style="thick">
        <color indexed="64"/>
      </top>
      <bottom style="medium">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ck">
        <color indexed="64"/>
      </right>
      <top style="thick">
        <color indexed="64"/>
      </top>
      <bottom style="medium">
        <color indexed="64"/>
      </bottom>
      <diagonal/>
    </border>
    <border>
      <left style="thin">
        <color indexed="64"/>
      </left>
      <right/>
      <top style="medium">
        <color indexed="64"/>
      </top>
      <bottom style="medium">
        <color indexed="64"/>
      </bottom>
      <diagonal/>
    </border>
    <border>
      <left/>
      <right/>
      <top style="thick">
        <color indexed="64"/>
      </top>
      <bottom style="thick">
        <color indexed="64"/>
      </bottom>
      <diagonal/>
    </border>
    <border>
      <left/>
      <right/>
      <top style="thin">
        <color indexed="64"/>
      </top>
      <bottom/>
      <diagonal/>
    </border>
    <border>
      <left/>
      <right/>
      <top/>
      <bottom style="thick">
        <color indexed="64"/>
      </bottom>
      <diagonal/>
    </border>
    <border>
      <left style="thick">
        <color indexed="64"/>
      </left>
      <right style="thick">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ck">
        <color indexed="64"/>
      </top>
      <bottom style="thin">
        <color indexed="64"/>
      </bottom>
      <diagonal/>
    </border>
    <border>
      <left style="thick">
        <color indexed="64"/>
      </left>
      <right style="thick">
        <color indexed="64"/>
      </right>
      <top style="thick">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ck">
        <color indexed="64"/>
      </top>
      <bottom style="thin">
        <color indexed="64"/>
      </bottom>
      <diagonal/>
    </border>
    <border>
      <left/>
      <right style="thick">
        <color indexed="64"/>
      </right>
      <top style="thin">
        <color indexed="64"/>
      </top>
      <bottom style="thick">
        <color indexed="64"/>
      </bottom>
      <diagonal/>
    </border>
    <border>
      <left/>
      <right/>
      <top style="thin">
        <color indexed="64"/>
      </top>
      <bottom style="thick">
        <color indexed="64"/>
      </bottom>
      <diagonal/>
    </border>
    <border>
      <left style="thick">
        <color indexed="64"/>
      </left>
      <right/>
      <top/>
      <bottom style="thick">
        <color indexed="64"/>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diagonal/>
    </border>
    <border>
      <left style="thin">
        <color indexed="64"/>
      </left>
      <right style="thick">
        <color indexed="64"/>
      </right>
      <top/>
      <bottom style="thick">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ck">
        <color indexed="64"/>
      </top>
      <bottom style="medium">
        <color indexed="64"/>
      </bottom>
      <diagonal/>
    </border>
    <border>
      <left style="thick">
        <color indexed="64"/>
      </left>
      <right style="thick">
        <color indexed="64"/>
      </right>
      <top style="medium">
        <color indexed="64"/>
      </top>
      <bottom/>
      <diagonal/>
    </border>
    <border>
      <left style="thick">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style="thick">
        <color indexed="64"/>
      </top>
      <bottom style="medium">
        <color indexed="64"/>
      </bottom>
      <diagonal/>
    </border>
    <border>
      <left style="thick">
        <color indexed="64"/>
      </left>
      <right style="thick">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272">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24" fillId="3" borderId="0" applyNumberFormat="0" applyBorder="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26" fillId="20" borderId="1" applyNumberFormat="0" applyAlignment="0" applyProtection="0"/>
    <xf numFmtId="0" fontId="17" fillId="21" borderId="2"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22" fillId="0" borderId="0" applyNumberFormat="0" applyFill="0" applyBorder="0" applyAlignment="0" applyProtection="0"/>
    <xf numFmtId="164" fontId="9" fillId="0" borderId="0" applyFont="0" applyFill="0" applyBorder="0" applyAlignment="0" applyProtection="0"/>
    <xf numFmtId="164" fontId="57"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0"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2" fillId="7" borderId="1" applyNumberFormat="0" applyAlignment="0" applyProtection="0"/>
    <xf numFmtId="0" fontId="6" fillId="22" borderId="7" applyNumberFormat="0" applyFont="0" applyAlignment="0" applyProtection="0"/>
    <xf numFmtId="0" fontId="28" fillId="22" borderId="7" applyNumberFormat="0" applyFont="0" applyAlignment="0" applyProtection="0"/>
    <xf numFmtId="0" fontId="28" fillId="22" borderId="7" applyNumberFormat="0" applyFont="0" applyAlignment="0" applyProtection="0"/>
    <xf numFmtId="0" fontId="9" fillId="22" borderId="7" applyNumberFormat="0" applyFont="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19"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5" fillId="23" borderId="0" applyNumberFormat="0" applyBorder="0" applyAlignment="0" applyProtection="0"/>
    <xf numFmtId="0" fontId="58" fillId="0" borderId="0"/>
    <xf numFmtId="0" fontId="9" fillId="0" borderId="0"/>
    <xf numFmtId="0" fontId="28" fillId="0" borderId="0"/>
    <xf numFmtId="0" fontId="28" fillId="0" borderId="0"/>
    <xf numFmtId="0" fontId="9" fillId="0" borderId="0"/>
    <xf numFmtId="0" fontId="6" fillId="0" borderId="0"/>
    <xf numFmtId="0" fontId="28" fillId="0" borderId="0"/>
    <xf numFmtId="0" fontId="57" fillId="0" borderId="0"/>
    <xf numFmtId="0" fontId="10" fillId="0" borderId="0"/>
    <xf numFmtId="0" fontId="28" fillId="0" borderId="0"/>
    <xf numFmtId="0" fontId="57" fillId="0" borderId="0"/>
    <xf numFmtId="0" fontId="10" fillId="0" borderId="0"/>
    <xf numFmtId="0" fontId="10" fillId="0" borderId="0"/>
    <xf numFmtId="0" fontId="10" fillId="0" borderId="0"/>
    <xf numFmtId="0" fontId="10" fillId="0" borderId="0"/>
    <xf numFmtId="0" fontId="58" fillId="0" borderId="0"/>
    <xf numFmtId="0" fontId="29" fillId="0" borderId="0"/>
    <xf numFmtId="0" fontId="9" fillId="0" borderId="0"/>
    <xf numFmtId="0" fontId="58" fillId="0" borderId="0"/>
    <xf numFmtId="0" fontId="58" fillId="0" borderId="0"/>
    <xf numFmtId="0" fontId="30" fillId="0" borderId="0"/>
    <xf numFmtId="0" fontId="28" fillId="0" borderId="0"/>
    <xf numFmtId="0" fontId="47" fillId="0" borderId="0"/>
    <xf numFmtId="0" fontId="30" fillId="0" borderId="0"/>
    <xf numFmtId="0" fontId="30" fillId="0" borderId="0"/>
    <xf numFmtId="0" fontId="30" fillId="0" borderId="0"/>
    <xf numFmtId="0" fontId="28" fillId="0" borderId="0"/>
    <xf numFmtId="0" fontId="9" fillId="0" borderId="0"/>
    <xf numFmtId="0" fontId="6" fillId="0" borderId="0"/>
    <xf numFmtId="0" fontId="28" fillId="0" borderId="0"/>
    <xf numFmtId="0" fontId="28" fillId="0" borderId="0"/>
    <xf numFmtId="0" fontId="6" fillId="0" borderId="0"/>
    <xf numFmtId="0" fontId="6" fillId="0" borderId="0"/>
    <xf numFmtId="0" fontId="28" fillId="0" borderId="0"/>
    <xf numFmtId="0" fontId="48" fillId="0" borderId="0"/>
    <xf numFmtId="0" fontId="29" fillId="0" borderId="0"/>
    <xf numFmtId="0" fontId="28" fillId="0" borderId="0"/>
    <xf numFmtId="0" fontId="48" fillId="0" borderId="0"/>
    <xf numFmtId="0" fontId="28" fillId="0" borderId="0"/>
    <xf numFmtId="0" fontId="10" fillId="22" borderId="7" applyNumberFormat="0" applyFont="0" applyAlignment="0" applyProtection="0"/>
    <xf numFmtId="0" fontId="21" fillId="20" borderId="8" applyNumberFormat="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6" fillId="20" borderId="1" applyNumberFormat="0" applyAlignment="0" applyProtection="0"/>
    <xf numFmtId="0" fontId="26" fillId="20" borderId="1" applyNumberFormat="0" applyAlignment="0" applyProtection="0"/>
    <xf numFmtId="0" fontId="26" fillId="20" borderId="1" applyNumberFormat="0" applyAlignment="0" applyProtection="0"/>
    <xf numFmtId="0" fontId="13" fillId="0" borderId="0" applyNumberFormat="0" applyFill="0" applyBorder="0" applyAlignment="0" applyProtection="0"/>
    <xf numFmtId="0" fontId="23" fillId="0" borderId="9" applyNumberFormat="0" applyFill="0" applyAlignment="0" applyProtection="0"/>
    <xf numFmtId="0" fontId="18" fillId="0" borderId="0" applyNumberFormat="0" applyFill="0" applyBorder="0" applyAlignment="0" applyProtection="0"/>
    <xf numFmtId="0" fontId="6" fillId="0" borderId="0"/>
    <xf numFmtId="0" fontId="6" fillId="0" borderId="0"/>
    <xf numFmtId="0" fontId="5" fillId="0" borderId="0"/>
    <xf numFmtId="164" fontId="6" fillId="0" borderId="0" applyFont="0" applyFill="0" applyBorder="0" applyAlignment="0" applyProtection="0"/>
    <xf numFmtId="0" fontId="5" fillId="0" borderId="0"/>
    <xf numFmtId="0" fontId="6" fillId="0" borderId="0"/>
    <xf numFmtId="0" fontId="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2" fillId="7" borderId="1" applyNumberFormat="0" applyAlignment="0" applyProtection="0"/>
    <xf numFmtId="0" fontId="13" fillId="0" borderId="0" applyNumberForma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21" borderId="2" applyNumberFormat="0" applyAlignment="0" applyProtection="0"/>
    <xf numFmtId="164" fontId="4" fillId="0" borderId="0" applyFont="0" applyFill="0" applyBorder="0" applyAlignment="0" applyProtection="0"/>
    <xf numFmtId="0" fontId="18" fillId="0" borderId="0" applyNumberFormat="0" applyFill="0" applyBorder="0" applyAlignment="0" applyProtection="0"/>
    <xf numFmtId="0" fontId="19" fillId="0" borderId="6" applyNumberFormat="0" applyFill="0" applyAlignment="0" applyProtection="0"/>
    <xf numFmtId="0" fontId="6" fillId="22" borderId="7" applyNumberFormat="0" applyFont="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20" fillId="4" borderId="0" applyNumberFormat="0" applyBorder="0" applyAlignment="0" applyProtection="0"/>
    <xf numFmtId="0" fontId="21" fillId="20" borderId="8" applyNumberFormat="0" applyAlignment="0" applyProtection="0"/>
    <xf numFmtId="0" fontId="22"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9" applyNumberFormat="0" applyFill="0" applyAlignment="0" applyProtection="0"/>
    <xf numFmtId="0" fontId="24" fillId="3" borderId="0" applyNumberFormat="0" applyBorder="0" applyAlignment="0" applyProtection="0"/>
    <xf numFmtId="0" fontId="25" fillId="23" borderId="0" applyNumberFormat="0" applyBorder="0" applyAlignment="0" applyProtection="0"/>
    <xf numFmtId="0" fontId="26" fillId="20" borderId="1" applyNumberFormat="0" applyAlignment="0" applyProtection="0"/>
    <xf numFmtId="0" fontId="3" fillId="0" borderId="0"/>
    <xf numFmtId="0" fontId="6" fillId="0" borderId="0"/>
    <xf numFmtId="0" fontId="3" fillId="0" borderId="0"/>
    <xf numFmtId="0" fontId="3" fillId="0" borderId="0"/>
    <xf numFmtId="43" fontId="6" fillId="0" borderId="0" applyFont="0" applyFill="0" applyBorder="0" applyAlignment="0" applyProtection="0"/>
    <xf numFmtId="0" fontId="2" fillId="0" borderId="0"/>
    <xf numFmtId="0" fontId="2" fillId="0" borderId="0"/>
    <xf numFmtId="0" fontId="1" fillId="0" borderId="0"/>
  </cellStyleXfs>
  <cellXfs count="1132">
    <xf numFmtId="0" fontId="0" fillId="0" borderId="0" xfId="0"/>
    <xf numFmtId="0" fontId="31" fillId="0" borderId="16" xfId="180" applyFont="1" applyBorder="1" applyAlignment="1">
      <alignment horizontal="center"/>
    </xf>
    <xf numFmtId="0" fontId="31" fillId="0" borderId="17" xfId="180" applyFont="1" applyBorder="1" applyAlignment="1">
      <alignment horizontal="center"/>
    </xf>
    <xf numFmtId="3" fontId="31" fillId="0" borderId="17" xfId="180" applyNumberFormat="1" applyFont="1" applyBorder="1" applyAlignment="1">
      <alignment horizontal="center"/>
    </xf>
    <xf numFmtId="3" fontId="31" fillId="0" borderId="17" xfId="180" applyNumberFormat="1" applyFont="1" applyBorder="1" applyAlignment="1">
      <alignment horizontal="center" wrapText="1"/>
    </xf>
    <xf numFmtId="3" fontId="31" fillId="0" borderId="18" xfId="180" applyNumberFormat="1" applyFont="1" applyBorder="1" applyAlignment="1">
      <alignment horizontal="center"/>
    </xf>
    <xf numFmtId="0" fontId="31" fillId="0" borderId="0" xfId="180" applyFont="1" applyAlignment="1">
      <alignment horizontal="center"/>
    </xf>
    <xf numFmtId="0" fontId="32" fillId="0" borderId="12" xfId="180" applyFont="1" applyBorder="1" applyAlignment="1">
      <alignment wrapText="1"/>
    </xf>
    <xf numFmtId="0" fontId="32" fillId="0" borderId="19" xfId="180" applyFont="1" applyBorder="1"/>
    <xf numFmtId="3" fontId="32" fillId="0" borderId="19" xfId="180" applyNumberFormat="1" applyFont="1" applyBorder="1"/>
    <xf numFmtId="3" fontId="32" fillId="0" borderId="20" xfId="180" applyNumberFormat="1" applyFont="1" applyBorder="1"/>
    <xf numFmtId="3" fontId="32" fillId="0" borderId="21" xfId="180" applyNumberFormat="1" applyFont="1" applyBorder="1"/>
    <xf numFmtId="0" fontId="32" fillId="0" borderId="0" xfId="180" applyFont="1"/>
    <xf numFmtId="0" fontId="27" fillId="0" borderId="22" xfId="180" applyFont="1" applyBorder="1" applyAlignment="1">
      <alignment wrapText="1"/>
    </xf>
    <xf numFmtId="0" fontId="27" fillId="0" borderId="23" xfId="180" applyFont="1" applyBorder="1"/>
    <xf numFmtId="3" fontId="27" fillId="0" borderId="23" xfId="180" applyNumberFormat="1" applyFont="1" applyBorder="1"/>
    <xf numFmtId="3" fontId="27" fillId="0" borderId="24" xfId="180" applyNumberFormat="1" applyFont="1" applyBorder="1"/>
    <xf numFmtId="3" fontId="27" fillId="0" borderId="25" xfId="180" applyNumberFormat="1" applyFont="1" applyBorder="1"/>
    <xf numFmtId="0" fontId="27" fillId="0" borderId="0" xfId="180" applyFont="1" applyBorder="1"/>
    <xf numFmtId="0" fontId="27" fillId="0" borderId="26" xfId="180" applyFont="1" applyBorder="1"/>
    <xf numFmtId="0" fontId="32" fillId="0" borderId="22" xfId="180" applyFont="1" applyBorder="1" applyAlignment="1">
      <alignment wrapText="1"/>
    </xf>
    <xf numFmtId="0" fontId="32" fillId="0" borderId="23" xfId="180" applyFont="1" applyBorder="1"/>
    <xf numFmtId="3" fontId="32" fillId="0" borderId="23" xfId="180" applyNumberFormat="1" applyFont="1" applyBorder="1"/>
    <xf numFmtId="3" fontId="32" fillId="0" borderId="24" xfId="180" applyNumberFormat="1" applyFont="1" applyBorder="1"/>
    <xf numFmtId="3" fontId="32" fillId="0" borderId="25" xfId="180" applyNumberFormat="1" applyFont="1" applyBorder="1"/>
    <xf numFmtId="0" fontId="32" fillId="0" borderId="0" xfId="180" applyFont="1" applyBorder="1"/>
    <xf numFmtId="0" fontId="32" fillId="0" borderId="26" xfId="180" applyFont="1" applyBorder="1"/>
    <xf numFmtId="0" fontId="32" fillId="0" borderId="23" xfId="180" applyFont="1" applyBorder="1" applyAlignment="1">
      <alignment wrapText="1"/>
    </xf>
    <xf numFmtId="3" fontId="27" fillId="0" borderId="27" xfId="180" applyNumberFormat="1" applyFont="1" applyBorder="1"/>
    <xf numFmtId="0" fontId="31" fillId="0" borderId="12" xfId="180" applyFont="1" applyBorder="1" applyAlignment="1">
      <alignment horizontal="center" wrapText="1"/>
    </xf>
    <xf numFmtId="0" fontId="31" fillId="0" borderId="24" xfId="180" applyFont="1" applyBorder="1"/>
    <xf numFmtId="3" fontId="31" fillId="0" borderId="24" xfId="180" applyNumberFormat="1" applyFont="1" applyBorder="1"/>
    <xf numFmtId="3" fontId="31" fillId="0" borderId="25" xfId="180" applyNumberFormat="1" applyFont="1" applyBorder="1"/>
    <xf numFmtId="0" fontId="32" fillId="0" borderId="12" xfId="180" applyFont="1" applyBorder="1"/>
    <xf numFmtId="0" fontId="32" fillId="0" borderId="20" xfId="180" applyFont="1" applyBorder="1"/>
    <xf numFmtId="0" fontId="32" fillId="0" borderId="24" xfId="180" applyFont="1" applyBorder="1" applyAlignment="1">
      <alignment wrapText="1"/>
    </xf>
    <xf numFmtId="0" fontId="31" fillId="0" borderId="22" xfId="180" applyFont="1" applyBorder="1" applyAlignment="1">
      <alignment horizontal="center"/>
    </xf>
    <xf numFmtId="0" fontId="32" fillId="0" borderId="24" xfId="180" applyFont="1" applyBorder="1"/>
    <xf numFmtId="3" fontId="35" fillId="0" borderId="24" xfId="180" applyNumberFormat="1" applyFont="1" applyBorder="1"/>
    <xf numFmtId="0" fontId="31" fillId="0" borderId="12" xfId="180" applyFont="1" applyBorder="1" applyAlignment="1">
      <alignment horizontal="center"/>
    </xf>
    <xf numFmtId="3" fontId="31" fillId="0" borderId="24" xfId="180" applyNumberFormat="1" applyFont="1" applyFill="1" applyBorder="1"/>
    <xf numFmtId="3" fontId="31" fillId="0" borderId="21" xfId="180" applyNumberFormat="1" applyFont="1" applyBorder="1"/>
    <xf numFmtId="0" fontId="31" fillId="0" borderId="22" xfId="180" applyFont="1" applyBorder="1" applyAlignment="1">
      <alignment horizontal="center" wrapText="1"/>
    </xf>
    <xf numFmtId="0" fontId="31" fillId="0" borderId="28" xfId="180" applyFont="1" applyBorder="1" applyAlignment="1">
      <alignment horizontal="center"/>
    </xf>
    <xf numFmtId="0" fontId="32" fillId="0" borderId="29" xfId="180" applyFont="1" applyBorder="1"/>
    <xf numFmtId="3" fontId="31" fillId="0" borderId="29" xfId="180" applyNumberFormat="1" applyFont="1" applyBorder="1"/>
    <xf numFmtId="3" fontId="31" fillId="0" borderId="30" xfId="180" applyNumberFormat="1" applyFont="1" applyBorder="1"/>
    <xf numFmtId="3" fontId="32" fillId="0" borderId="0" xfId="180" applyNumberFormat="1" applyFont="1"/>
    <xf numFmtId="0" fontId="41" fillId="0" borderId="0" xfId="173" applyFont="1"/>
    <xf numFmtId="0" fontId="41" fillId="0" borderId="11" xfId="173" applyFont="1" applyBorder="1" applyAlignment="1">
      <alignment wrapText="1"/>
    </xf>
    <xf numFmtId="3" fontId="41" fillId="0" borderId="11" xfId="173" applyNumberFormat="1" applyFont="1" applyBorder="1"/>
    <xf numFmtId="3" fontId="7" fillId="0" borderId="11" xfId="173" applyNumberFormat="1" applyFont="1" applyBorder="1"/>
    <xf numFmtId="0" fontId="41" fillId="0" borderId="11" xfId="173" applyFont="1" applyBorder="1"/>
    <xf numFmtId="0" fontId="7" fillId="0" borderId="11" xfId="173" applyFont="1" applyBorder="1"/>
    <xf numFmtId="0" fontId="7" fillId="0" borderId="0" xfId="173" applyFont="1"/>
    <xf numFmtId="3" fontId="41" fillId="0" borderId="0" xfId="173" applyNumberFormat="1" applyFont="1"/>
    <xf numFmtId="0" fontId="41" fillId="0" borderId="0" xfId="171" applyFont="1"/>
    <xf numFmtId="3" fontId="40" fillId="0" borderId="92" xfId="171" applyNumberFormat="1" applyFont="1" applyBorder="1" applyAlignment="1">
      <alignment horizontal="centerContinuous" vertical="center"/>
    </xf>
    <xf numFmtId="3" fontId="40" fillId="0" borderId="93" xfId="171" applyNumberFormat="1" applyFont="1" applyBorder="1" applyAlignment="1">
      <alignment horizontal="centerContinuous" vertical="center"/>
    </xf>
    <xf numFmtId="3" fontId="40" fillId="0" borderId="94" xfId="171" applyNumberFormat="1" applyFont="1" applyBorder="1" applyAlignment="1">
      <alignment horizontal="left"/>
    </xf>
    <xf numFmtId="3" fontId="50" fillId="0" borderId="24" xfId="171" applyNumberFormat="1" applyFont="1" applyBorder="1" applyAlignment="1">
      <alignment horizontal="left"/>
    </xf>
    <xf numFmtId="3" fontId="8" fillId="0" borderId="34" xfId="104" applyNumberFormat="1" applyFont="1" applyFill="1" applyBorder="1"/>
    <xf numFmtId="3" fontId="40" fillId="0" borderId="35" xfId="171" applyNumberFormat="1" applyFont="1" applyBorder="1" applyAlignment="1">
      <alignment horizontal="left"/>
    </xf>
    <xf numFmtId="3" fontId="41" fillId="0" borderId="24" xfId="171" applyNumberFormat="1" applyFont="1" applyBorder="1" applyAlignment="1">
      <alignment horizontal="left"/>
    </xf>
    <xf numFmtId="3" fontId="40" fillId="0" borderId="34" xfId="104" applyNumberFormat="1" applyFont="1" applyFill="1" applyBorder="1"/>
    <xf numFmtId="3" fontId="40" fillId="0" borderId="76" xfId="171" applyNumberFormat="1" applyFont="1" applyBorder="1" applyAlignment="1">
      <alignment horizontal="left"/>
    </xf>
    <xf numFmtId="3" fontId="41" fillId="0" borderId="79" xfId="171" applyNumberFormat="1" applyFont="1" applyBorder="1" applyAlignment="1">
      <alignment horizontal="left"/>
    </xf>
    <xf numFmtId="3" fontId="40" fillId="0" borderId="36" xfId="171" applyNumberFormat="1" applyFont="1" applyBorder="1"/>
    <xf numFmtId="3" fontId="40" fillId="0" borderId="37" xfId="171" applyNumberFormat="1" applyFont="1" applyBorder="1"/>
    <xf numFmtId="3" fontId="40" fillId="0" borderId="0" xfId="171" applyNumberFormat="1" applyFont="1" applyBorder="1"/>
    <xf numFmtId="3" fontId="40" fillId="0" borderId="31" xfId="171" applyNumberFormat="1" applyFont="1" applyBorder="1" applyAlignment="1">
      <alignment horizontal="centerContinuous" vertical="center"/>
    </xf>
    <xf numFmtId="3" fontId="9" fillId="0" borderId="0" xfId="171" applyNumberFormat="1" applyFont="1" applyFill="1" applyBorder="1"/>
    <xf numFmtId="0" fontId="9" fillId="0" borderId="0" xfId="171" applyFont="1"/>
    <xf numFmtId="0" fontId="41" fillId="0" borderId="0" xfId="171" applyFont="1" applyAlignment="1">
      <alignment horizontal="right"/>
    </xf>
    <xf numFmtId="0" fontId="41" fillId="0" borderId="0" xfId="171" applyFont="1" applyAlignment="1">
      <alignment horizontal="left"/>
    </xf>
    <xf numFmtId="0" fontId="32" fillId="0" borderId="0" xfId="189" applyFont="1"/>
    <xf numFmtId="3" fontId="32" fillId="0" borderId="0" xfId="189" applyNumberFormat="1" applyFont="1"/>
    <xf numFmtId="0" fontId="28" fillId="0" borderId="0" xfId="189"/>
    <xf numFmtId="0" fontId="31" fillId="0" borderId="39" xfId="189" applyFont="1" applyBorder="1" applyAlignment="1">
      <alignment horizontal="center"/>
    </xf>
    <xf numFmtId="3" fontId="31" fillId="0" borderId="39" xfId="189" applyNumberFormat="1" applyFont="1" applyBorder="1" applyAlignment="1">
      <alignment horizontal="center"/>
    </xf>
    <xf numFmtId="0" fontId="29" fillId="0" borderId="0" xfId="186"/>
    <xf numFmtId="3" fontId="29" fillId="0" borderId="0" xfId="186" applyNumberFormat="1"/>
    <xf numFmtId="0" fontId="29" fillId="0" borderId="0" xfId="186" applyAlignment="1">
      <alignment wrapText="1"/>
    </xf>
    <xf numFmtId="0" fontId="37" fillId="0" borderId="0" xfId="177" applyFont="1" applyFill="1" applyAlignment="1">
      <alignment wrapText="1"/>
    </xf>
    <xf numFmtId="0" fontId="39" fillId="0" borderId="0" xfId="177" applyFont="1" applyFill="1" applyAlignment="1">
      <alignment wrapText="1"/>
    </xf>
    <xf numFmtId="0" fontId="7" fillId="0" borderId="0" xfId="0" applyFont="1"/>
    <xf numFmtId="3" fontId="7" fillId="0" borderId="15" xfId="173" applyNumberFormat="1" applyFont="1" applyBorder="1"/>
    <xf numFmtId="0" fontId="7" fillId="0" borderId="11" xfId="173" applyFont="1" applyBorder="1" applyAlignment="1">
      <alignment horizontal="left"/>
    </xf>
    <xf numFmtId="0" fontId="7" fillId="0" borderId="11" xfId="173" applyFont="1" applyBorder="1" applyAlignment="1">
      <alignment horizontal="left" wrapText="1"/>
    </xf>
    <xf numFmtId="3" fontId="7" fillId="0" borderId="44" xfId="173" applyNumberFormat="1" applyFont="1" applyBorder="1"/>
    <xf numFmtId="0" fontId="7" fillId="0" borderId="15" xfId="173" applyFont="1" applyBorder="1"/>
    <xf numFmtId="0" fontId="41" fillId="0" borderId="42" xfId="173" applyFont="1" applyBorder="1"/>
    <xf numFmtId="0" fontId="7" fillId="0" borderId="42" xfId="173" applyFont="1" applyBorder="1" applyAlignment="1">
      <alignment horizontal="left"/>
    </xf>
    <xf numFmtId="0" fontId="7" fillId="0" borderId="49" xfId="173" applyFont="1" applyBorder="1" applyAlignment="1">
      <alignment horizontal="left" wrapText="1"/>
    </xf>
    <xf numFmtId="0" fontId="7" fillId="0" borderId="95" xfId="173" applyFont="1" applyBorder="1" applyAlignment="1">
      <alignment horizontal="left" wrapText="1"/>
    </xf>
    <xf numFmtId="3" fontId="7" fillId="0" borderId="42" xfId="173" applyNumberFormat="1" applyFont="1" applyBorder="1"/>
    <xf numFmtId="0" fontId="40" fillId="0" borderId="96" xfId="173" applyFont="1" applyBorder="1" applyAlignment="1">
      <alignment wrapText="1"/>
    </xf>
    <xf numFmtId="0" fontId="7" fillId="0" borderId="96" xfId="173" applyFont="1" applyBorder="1" applyAlignment="1">
      <alignment horizontal="center"/>
    </xf>
    <xf numFmtId="0" fontId="52" fillId="0" borderId="14" xfId="185" applyFont="1" applyBorder="1" applyAlignment="1">
      <alignment horizontal="center" vertical="center" wrapText="1"/>
    </xf>
    <xf numFmtId="3" fontId="52" fillId="0" borderId="10" xfId="188" applyNumberFormat="1" applyFont="1" applyBorder="1" applyAlignment="1">
      <alignment horizontal="center" vertical="center" wrapText="1"/>
    </xf>
    <xf numFmtId="0" fontId="52" fillId="0" borderId="10" xfId="188" applyFont="1" applyBorder="1" applyAlignment="1">
      <alignment horizontal="center" vertical="center" wrapText="1"/>
    </xf>
    <xf numFmtId="0" fontId="54" fillId="0" borderId="14" xfId="185" applyFont="1" applyBorder="1" applyAlignment="1">
      <alignment wrapText="1"/>
    </xf>
    <xf numFmtId="3" fontId="54" fillId="0" borderId="10" xfId="188" applyNumberFormat="1" applyFont="1" applyBorder="1"/>
    <xf numFmtId="3" fontId="54" fillId="0" borderId="14" xfId="188" applyNumberFormat="1" applyFont="1" applyBorder="1"/>
    <xf numFmtId="3" fontId="55" fillId="0" borderId="47" xfId="188" applyNumberFormat="1" applyFont="1" applyBorder="1" applyAlignment="1">
      <alignment horizontal="center" vertical="center" wrapText="1"/>
    </xf>
    <xf numFmtId="3" fontId="53" fillId="0" borderId="47" xfId="188" applyNumberFormat="1" applyFont="1" applyBorder="1" applyAlignment="1">
      <alignment horizontal="center" vertical="center" wrapText="1"/>
    </xf>
    <xf numFmtId="3" fontId="55" fillId="0" borderId="47" xfId="188" applyNumberFormat="1" applyFont="1" applyBorder="1" applyAlignment="1">
      <alignment horizontal="center"/>
    </xf>
    <xf numFmtId="3" fontId="55" fillId="0" borderId="10" xfId="188" applyNumberFormat="1" applyFont="1" applyBorder="1" applyAlignment="1">
      <alignment horizontal="center"/>
    </xf>
    <xf numFmtId="3" fontId="32" fillId="0" borderId="42" xfId="172" applyNumberFormat="1" applyFont="1" applyBorder="1" applyAlignment="1">
      <alignment horizontal="left"/>
    </xf>
    <xf numFmtId="3" fontId="32" fillId="0" borderId="11" xfId="172" applyNumberFormat="1" applyFont="1" applyBorder="1" applyAlignment="1">
      <alignment horizontal="left"/>
    </xf>
    <xf numFmtId="3" fontId="31" fillId="0" borderId="10" xfId="172" applyNumberFormat="1" applyFont="1" applyBorder="1" applyAlignment="1">
      <alignment horizontal="left"/>
    </xf>
    <xf numFmtId="3" fontId="32" fillId="0" borderId="11" xfId="172" applyNumberFormat="1" applyFont="1" applyBorder="1" applyAlignment="1">
      <alignment horizontal="left" wrapText="1"/>
    </xf>
    <xf numFmtId="3" fontId="31" fillId="0" borderId="10" xfId="172" applyNumberFormat="1" applyFont="1" applyBorder="1" applyAlignment="1">
      <alignment horizontal="right"/>
    </xf>
    <xf numFmtId="3" fontId="32" fillId="0" borderId="0" xfId="172" applyNumberFormat="1" applyFont="1" applyBorder="1" applyAlignment="1">
      <alignment horizontal="left"/>
    </xf>
    <xf numFmtId="3" fontId="32" fillId="0" borderId="0" xfId="172" applyNumberFormat="1" applyFont="1" applyBorder="1" applyAlignment="1">
      <alignment horizontal="right"/>
    </xf>
    <xf numFmtId="2" fontId="31" fillId="0" borderId="10" xfId="172" applyNumberFormat="1" applyFont="1" applyBorder="1" applyAlignment="1">
      <alignment horizontal="center"/>
    </xf>
    <xf numFmtId="4" fontId="31" fillId="0" borderId="10" xfId="172" applyNumberFormat="1" applyFont="1" applyBorder="1" applyAlignment="1">
      <alignment horizontal="center"/>
    </xf>
    <xf numFmtId="4" fontId="31" fillId="0" borderId="10" xfId="172" applyNumberFormat="1" applyFont="1" applyBorder="1" applyAlignment="1">
      <alignment horizontal="left"/>
    </xf>
    <xf numFmtId="3" fontId="32" fillId="0" borderId="42" xfId="172" applyNumberFormat="1" applyFont="1" applyFill="1" applyBorder="1" applyAlignment="1">
      <alignment horizontal="right"/>
    </xf>
    <xf numFmtId="3" fontId="7" fillId="26" borderId="10" xfId="179" applyNumberFormat="1" applyFont="1" applyFill="1" applyBorder="1"/>
    <xf numFmtId="3" fontId="42" fillId="26" borderId="10" xfId="179" applyNumberFormat="1" applyFont="1" applyFill="1" applyBorder="1"/>
    <xf numFmtId="0" fontId="32" fillId="0" borderId="105" xfId="0" applyFont="1" applyBorder="1" applyAlignment="1">
      <alignment vertical="center" wrapText="1"/>
    </xf>
    <xf numFmtId="0" fontId="42" fillId="0" borderId="94" xfId="171" applyFont="1" applyBorder="1" applyAlignment="1">
      <alignment horizontal="right"/>
    </xf>
    <xf numFmtId="3" fontId="42" fillId="0" borderId="94" xfId="171" applyNumberFormat="1" applyFont="1" applyBorder="1" applyAlignment="1">
      <alignment horizontal="left"/>
    </xf>
    <xf numFmtId="3" fontId="40" fillId="0" borderId="24" xfId="171" applyNumberFormat="1" applyFont="1" applyBorder="1"/>
    <xf numFmtId="0" fontId="41" fillId="0" borderId="44" xfId="173" applyFont="1" applyBorder="1" applyAlignment="1">
      <alignment wrapText="1"/>
    </xf>
    <xf numFmtId="0" fontId="31" fillId="0" borderId="67" xfId="0" applyFont="1" applyBorder="1" applyAlignment="1">
      <alignment horizontal="center" vertical="center" wrapText="1"/>
    </xf>
    <xf numFmtId="0" fontId="31" fillId="0" borderId="39" xfId="0" applyFont="1" applyBorder="1" applyAlignment="1">
      <alignment horizontal="center" vertical="center" wrapText="1"/>
    </xf>
    <xf numFmtId="3" fontId="32" fillId="0" borderId="42" xfId="172" applyNumberFormat="1" applyFont="1" applyBorder="1" applyAlignment="1">
      <alignment horizontal="right"/>
    </xf>
    <xf numFmtId="3" fontId="31" fillId="0" borderId="86" xfId="172" applyNumberFormat="1" applyFont="1" applyBorder="1" applyAlignment="1">
      <alignment horizontal="right"/>
    </xf>
    <xf numFmtId="0" fontId="38" fillId="0" borderId="39" xfId="177" applyFont="1" applyFill="1" applyBorder="1" applyAlignment="1">
      <alignment wrapText="1"/>
    </xf>
    <xf numFmtId="0" fontId="9" fillId="0" borderId="0" xfId="178" applyFill="1"/>
    <xf numFmtId="0" fontId="9" fillId="0" borderId="0" xfId="178" applyFont="1" applyFill="1" applyAlignment="1">
      <alignment wrapText="1"/>
    </xf>
    <xf numFmtId="0" fontId="9" fillId="0" borderId="0" xfId="178" applyFill="1" applyAlignment="1">
      <alignment wrapText="1"/>
    </xf>
    <xf numFmtId="0" fontId="43" fillId="0" borderId="66" xfId="178" applyFont="1" applyFill="1" applyBorder="1" applyAlignment="1">
      <alignment wrapText="1"/>
    </xf>
    <xf numFmtId="3" fontId="31" fillId="0" borderId="39" xfId="187" applyNumberFormat="1" applyFont="1" applyFill="1" applyBorder="1" applyAlignment="1">
      <alignment horizontal="center" wrapText="1"/>
    </xf>
    <xf numFmtId="0" fontId="9" fillId="0" borderId="0" xfId="178" applyFont="1" applyFill="1"/>
    <xf numFmtId="0" fontId="9" fillId="0" borderId="62" xfId="178" applyFont="1" applyFill="1" applyBorder="1" applyAlignment="1">
      <alignment horizontal="left" wrapText="1"/>
    </xf>
    <xf numFmtId="3" fontId="9" fillId="0" borderId="103" xfId="178" applyNumberFormat="1" applyFont="1" applyFill="1" applyBorder="1" applyAlignment="1">
      <alignment horizontal="right" wrapText="1"/>
    </xf>
    <xf numFmtId="0" fontId="43" fillId="0" borderId="39" xfId="178" applyFont="1" applyFill="1" applyBorder="1" applyAlignment="1">
      <alignment wrapText="1"/>
    </xf>
    <xf numFmtId="3" fontId="43" fillId="0" borderId="73" xfId="178" applyNumberFormat="1" applyFont="1" applyFill="1" applyBorder="1"/>
    <xf numFmtId="0" fontId="56" fillId="0" borderId="0" xfId="178" applyFont="1" applyFill="1" applyAlignment="1">
      <alignment wrapText="1"/>
    </xf>
    <xf numFmtId="0" fontId="56" fillId="0" borderId="0" xfId="178" applyFont="1" applyFill="1"/>
    <xf numFmtId="0" fontId="56" fillId="0" borderId="0" xfId="178" applyFont="1" applyFill="1" applyAlignment="1"/>
    <xf numFmtId="3" fontId="9" fillId="0" borderId="0" xfId="178" applyNumberFormat="1" applyFill="1"/>
    <xf numFmtId="0" fontId="9" fillId="24" borderId="62" xfId="178" applyFont="1" applyFill="1" applyBorder="1" applyAlignment="1">
      <alignment horizontal="left" wrapText="1"/>
    </xf>
    <xf numFmtId="3" fontId="9" fillId="24" borderId="103" xfId="178" applyNumberFormat="1" applyFont="1" applyFill="1" applyBorder="1" applyAlignment="1">
      <alignment horizontal="right" wrapText="1"/>
    </xf>
    <xf numFmtId="0" fontId="6" fillId="0" borderId="0" xfId="207"/>
    <xf numFmtId="0" fontId="7" fillId="0" borderId="39" xfId="207" applyFont="1" applyBorder="1" applyAlignment="1">
      <alignment horizontal="center" vertical="center" wrapText="1"/>
    </xf>
    <xf numFmtId="0" fontId="6" fillId="25" borderId="35" xfId="207" applyFill="1" applyBorder="1"/>
    <xf numFmtId="0" fontId="6" fillId="25" borderId="23" xfId="207" applyNumberFormat="1" applyFill="1" applyBorder="1" applyAlignment="1">
      <alignment wrapText="1"/>
    </xf>
    <xf numFmtId="0" fontId="6" fillId="25" borderId="24" xfId="207" applyFill="1" applyBorder="1"/>
    <xf numFmtId="3" fontId="6" fillId="25" borderId="24" xfId="207" applyNumberFormat="1" applyFill="1" applyBorder="1"/>
    <xf numFmtId="0" fontId="6" fillId="25" borderId="24" xfId="207" applyNumberFormat="1" applyFill="1" applyBorder="1" applyAlignment="1">
      <alignment wrapText="1"/>
    </xf>
    <xf numFmtId="2" fontId="6" fillId="25" borderId="24" xfId="207" applyNumberFormat="1" applyFill="1" applyBorder="1"/>
    <xf numFmtId="1" fontId="6" fillId="25" borderId="24" xfId="207" applyNumberFormat="1" applyFill="1" applyBorder="1"/>
    <xf numFmtId="0" fontId="7" fillId="25" borderId="72" xfId="207" applyFont="1" applyFill="1" applyBorder="1"/>
    <xf numFmtId="0" fontId="7" fillId="25" borderId="87" xfId="207" applyNumberFormat="1" applyFont="1" applyFill="1" applyBorder="1" applyAlignment="1">
      <alignment wrapText="1"/>
    </xf>
    <xf numFmtId="3" fontId="7" fillId="25" borderId="74" xfId="207" applyNumberFormat="1" applyFont="1" applyFill="1" applyBorder="1"/>
    <xf numFmtId="3" fontId="7" fillId="25" borderId="67" xfId="207" applyNumberFormat="1" applyFont="1" applyFill="1" applyBorder="1"/>
    <xf numFmtId="0" fontId="6" fillId="0" borderId="0" xfId="207" applyNumberFormat="1" applyAlignment="1">
      <alignment wrapText="1"/>
    </xf>
    <xf numFmtId="3" fontId="6" fillId="25" borderId="34" xfId="207" applyNumberFormat="1" applyFill="1" applyBorder="1"/>
    <xf numFmtId="3" fontId="6" fillId="25" borderId="34" xfId="207" applyNumberFormat="1" applyFont="1" applyFill="1" applyBorder="1"/>
    <xf numFmtId="3" fontId="31" fillId="0" borderId="10" xfId="172" applyNumberFormat="1" applyFont="1" applyBorder="1" applyAlignment="1">
      <alignment horizontal="left" vertical="center" wrapText="1"/>
    </xf>
    <xf numFmtId="3" fontId="31" fillId="0" borderId="10" xfId="172" applyNumberFormat="1" applyFont="1" applyBorder="1" applyAlignment="1">
      <alignment horizontal="center" vertical="center" wrapText="1"/>
    </xf>
    <xf numFmtId="0" fontId="32" fillId="0" borderId="42" xfId="185" applyFont="1" applyBorder="1" applyAlignment="1">
      <alignment wrapText="1"/>
    </xf>
    <xf numFmtId="0" fontId="32" fillId="0" borderId="44" xfId="185" applyFont="1" applyBorder="1" applyAlignment="1"/>
    <xf numFmtId="0" fontId="31" fillId="0" borderId="10" xfId="185" applyFont="1" applyBorder="1" applyAlignment="1">
      <alignment wrapText="1"/>
    </xf>
    <xf numFmtId="0" fontId="32" fillId="0" borderId="11" xfId="185" applyFont="1" applyBorder="1" applyAlignment="1">
      <alignment wrapText="1"/>
    </xf>
    <xf numFmtId="3" fontId="31" fillId="0" borderId="86" xfId="172" applyNumberFormat="1" applyFont="1" applyBorder="1" applyAlignment="1">
      <alignment horizontal="left"/>
    </xf>
    <xf numFmtId="0" fontId="42" fillId="0" borderId="35" xfId="171" applyFont="1" applyFill="1" applyBorder="1" applyAlignment="1">
      <alignment horizontal="right"/>
    </xf>
    <xf numFmtId="3" fontId="50" fillId="0" borderId="24" xfId="171" applyNumberFormat="1" applyFont="1" applyFill="1" applyBorder="1"/>
    <xf numFmtId="0" fontId="41" fillId="0" borderId="0" xfId="171" applyFont="1" applyFill="1"/>
    <xf numFmtId="3" fontId="50" fillId="0" borderId="35" xfId="171" applyNumberFormat="1" applyFont="1" applyFill="1" applyBorder="1" applyAlignment="1">
      <alignment wrapText="1"/>
    </xf>
    <xf numFmtId="3" fontId="50" fillId="0" borderId="24" xfId="171" applyNumberFormat="1" applyFont="1" applyFill="1" applyBorder="1" applyAlignment="1">
      <alignment wrapText="1"/>
    </xf>
    <xf numFmtId="0" fontId="32" fillId="0" borderId="68" xfId="189" applyFont="1" applyFill="1" applyBorder="1" applyAlignment="1">
      <alignment wrapText="1"/>
    </xf>
    <xf numFmtId="0" fontId="32" fillId="0" borderId="35" xfId="189" applyFont="1" applyFill="1" applyBorder="1" applyAlignment="1">
      <alignment wrapText="1"/>
    </xf>
    <xf numFmtId="0" fontId="31" fillId="0" borderId="39" xfId="189" applyFont="1" applyFill="1" applyBorder="1"/>
    <xf numFmtId="0" fontId="32" fillId="0" borderId="0" xfId="189" applyFont="1" applyFill="1"/>
    <xf numFmtId="3" fontId="32" fillId="0" borderId="0" xfId="189" applyNumberFormat="1" applyFont="1" applyFill="1"/>
    <xf numFmtId="3" fontId="37" fillId="0" borderId="0" xfId="177" applyNumberFormat="1" applyFont="1" applyFill="1"/>
    <xf numFmtId="3" fontId="37" fillId="0" borderId="78" xfId="177" applyNumberFormat="1" applyFont="1" applyFill="1" applyBorder="1"/>
    <xf numFmtId="0" fontId="37" fillId="0" borderId="0" xfId="177" applyFont="1" applyFill="1" applyAlignment="1"/>
    <xf numFmtId="0" fontId="37" fillId="0" borderId="103" xfId="177" applyFont="1" applyFill="1" applyBorder="1" applyAlignment="1">
      <alignment wrapText="1"/>
    </xf>
    <xf numFmtId="0" fontId="37" fillId="0" borderId="118" xfId="177" applyFont="1" applyFill="1" applyBorder="1" applyAlignment="1">
      <alignment wrapText="1"/>
    </xf>
    <xf numFmtId="0" fontId="9" fillId="0" borderId="111" xfId="178" applyFont="1" applyFill="1" applyBorder="1" applyAlignment="1">
      <alignment wrapText="1"/>
    </xf>
    <xf numFmtId="3" fontId="9" fillId="0" borderId="62" xfId="178" applyNumberFormat="1" applyFont="1" applyFill="1" applyBorder="1" applyAlignment="1"/>
    <xf numFmtId="3" fontId="9" fillId="0" borderId="99" xfId="178" applyNumberFormat="1" applyFont="1" applyFill="1" applyBorder="1" applyAlignment="1"/>
    <xf numFmtId="3" fontId="37" fillId="0" borderId="40" xfId="177" applyNumberFormat="1" applyFont="1" applyFill="1" applyBorder="1"/>
    <xf numFmtId="0" fontId="6" fillId="0" borderId="0" xfId="212"/>
    <xf numFmtId="0" fontId="38" fillId="0" borderId="67" xfId="177" applyFont="1" applyFill="1" applyBorder="1" applyAlignment="1">
      <alignment horizontal="center" wrapText="1"/>
    </xf>
    <xf numFmtId="0" fontId="38" fillId="0" borderId="39" xfId="177" applyFont="1" applyFill="1" applyBorder="1" applyAlignment="1">
      <alignment horizontal="center" wrapText="1"/>
    </xf>
    <xf numFmtId="3" fontId="31" fillId="0" borderId="86" xfId="172" applyNumberFormat="1" applyFont="1" applyFill="1" applyBorder="1" applyAlignment="1">
      <alignment horizontal="left"/>
    </xf>
    <xf numFmtId="3" fontId="31" fillId="0" borderId="86" xfId="172" applyNumberFormat="1" applyFont="1" applyFill="1" applyBorder="1" applyAlignment="1">
      <alignment horizontal="right"/>
    </xf>
    <xf numFmtId="3" fontId="6" fillId="24" borderId="118" xfId="178" applyNumberFormat="1" applyFont="1" applyFill="1" applyBorder="1" applyAlignment="1">
      <alignment horizontal="right" wrapText="1"/>
    </xf>
    <xf numFmtId="0" fontId="0" fillId="24" borderId="81" xfId="178" applyFont="1" applyFill="1" applyBorder="1" applyAlignment="1">
      <alignment horizontal="left" wrapText="1"/>
    </xf>
    <xf numFmtId="0" fontId="40" fillId="0" borderId="33" xfId="171" applyFont="1" applyFill="1" applyBorder="1" applyAlignment="1">
      <alignment horizontal="center" vertical="center" wrapText="1"/>
    </xf>
    <xf numFmtId="3" fontId="40" fillId="0" borderId="38" xfId="104" applyNumberFormat="1" applyFont="1" applyFill="1" applyBorder="1"/>
    <xf numFmtId="3" fontId="41" fillId="0" borderId="0" xfId="171" applyNumberFormat="1" applyFont="1" applyFill="1"/>
    <xf numFmtId="3" fontId="40" fillId="0" borderId="34" xfId="104" applyNumberFormat="1" applyFont="1" applyFill="1" applyBorder="1" applyAlignment="1">
      <alignment horizontal="right"/>
    </xf>
    <xf numFmtId="0" fontId="41" fillId="0" borderId="0" xfId="171" applyFont="1" applyFill="1" applyAlignment="1">
      <alignment horizontal="left"/>
    </xf>
    <xf numFmtId="0" fontId="6" fillId="0" borderId="0" xfId="178" applyFont="1" applyFill="1"/>
    <xf numFmtId="0" fontId="32" fillId="0" borderId="106" xfId="0" applyFont="1" applyFill="1" applyBorder="1" applyAlignment="1">
      <alignment vertical="center" wrapText="1"/>
    </xf>
    <xf numFmtId="3" fontId="32" fillId="0" borderId="106" xfId="0" applyNumberFormat="1" applyFont="1" applyFill="1" applyBorder="1" applyAlignment="1">
      <alignment horizontal="center" vertical="center" wrapText="1"/>
    </xf>
    <xf numFmtId="3" fontId="32" fillId="0" borderId="75" xfId="189" applyNumberFormat="1" applyFont="1" applyFill="1" applyBorder="1"/>
    <xf numFmtId="3" fontId="32" fillId="0" borderId="34" xfId="189" applyNumberFormat="1" applyFont="1" applyFill="1" applyBorder="1"/>
    <xf numFmtId="3" fontId="31" fillId="0" borderId="39" xfId="189" applyNumberFormat="1" applyFont="1" applyFill="1" applyBorder="1"/>
    <xf numFmtId="0" fontId="37" fillId="0" borderId="79" xfId="177" applyFont="1" applyFill="1" applyBorder="1" applyAlignment="1">
      <alignment wrapText="1"/>
    </xf>
    <xf numFmtId="0" fontId="37" fillId="0" borderId="24" xfId="177" applyFont="1" applyFill="1" applyBorder="1" applyAlignment="1">
      <alignment wrapText="1"/>
    </xf>
    <xf numFmtId="0" fontId="6" fillId="25" borderId="24" xfId="207" applyFill="1" applyBorder="1" applyAlignment="1">
      <alignment horizontal="right"/>
    </xf>
    <xf numFmtId="0" fontId="31" fillId="0" borderId="96" xfId="185" applyFont="1" applyBorder="1" applyAlignment="1">
      <alignment wrapText="1"/>
    </xf>
    <xf numFmtId="0" fontId="32" fillId="0" borderId="100" xfId="185" applyFont="1" applyBorder="1" applyAlignment="1">
      <alignment wrapText="1"/>
    </xf>
    <xf numFmtId="3" fontId="32" fillId="0" borderId="43" xfId="172" applyNumberFormat="1" applyFont="1" applyBorder="1" applyAlignment="1">
      <alignment horizontal="right"/>
    </xf>
    <xf numFmtId="0" fontId="32" fillId="0" borderId="62" xfId="185" applyFont="1" applyBorder="1" applyAlignment="1"/>
    <xf numFmtId="0" fontId="32" fillId="0" borderId="62" xfId="185" applyFont="1" applyBorder="1" applyAlignment="1">
      <alignment wrapText="1"/>
    </xf>
    <xf numFmtId="0" fontId="32" fillId="0" borderId="99" xfId="185" applyFont="1" applyBorder="1" applyAlignment="1"/>
    <xf numFmtId="0" fontId="31" fillId="0" borderId="46" xfId="185" applyFont="1" applyBorder="1" applyAlignment="1">
      <alignment wrapText="1"/>
    </xf>
    <xf numFmtId="0" fontId="38" fillId="0" borderId="0" xfId="177" applyFont="1" applyFill="1" applyBorder="1" applyAlignment="1">
      <alignment wrapText="1"/>
    </xf>
    <xf numFmtId="3" fontId="52" fillId="0" borderId="41" xfId="188" applyNumberFormat="1" applyFont="1" applyBorder="1" applyAlignment="1">
      <alignment horizontal="center" vertical="center" wrapText="1"/>
    </xf>
    <xf numFmtId="3" fontId="52" fillId="0" borderId="14" xfId="188" applyNumberFormat="1" applyFont="1" applyBorder="1" applyAlignment="1">
      <alignment horizontal="center" vertical="center" wrapText="1"/>
    </xf>
    <xf numFmtId="3" fontId="7" fillId="0" borderId="49" xfId="213" applyNumberFormat="1" applyFont="1" applyBorder="1" applyAlignment="1">
      <alignment horizontal="right" wrapText="1"/>
    </xf>
    <xf numFmtId="3" fontId="52" fillId="0" borderId="66" xfId="188" applyNumberFormat="1" applyFont="1" applyBorder="1" applyAlignment="1">
      <alignment horizontal="center" vertical="center" wrapText="1"/>
    </xf>
    <xf numFmtId="3" fontId="52" fillId="0" borderId="126" xfId="188" applyNumberFormat="1" applyFont="1" applyBorder="1" applyAlignment="1">
      <alignment horizontal="center" vertical="center" wrapText="1"/>
    </xf>
    <xf numFmtId="3" fontId="52" fillId="0" borderId="46" xfId="188" applyNumberFormat="1" applyFont="1" applyBorder="1" applyAlignment="1">
      <alignment horizontal="center" vertical="center" wrapText="1"/>
    </xf>
    <xf numFmtId="3" fontId="41" fillId="0" borderId="10" xfId="188" applyNumberFormat="1" applyFont="1" applyBorder="1" applyAlignment="1">
      <alignment horizontal="right"/>
    </xf>
    <xf numFmtId="3" fontId="67" fillId="0" borderId="14" xfId="185" applyNumberFormat="1" applyFont="1" applyBorder="1" applyAlignment="1">
      <alignment horizontal="center" wrapText="1"/>
    </xf>
    <xf numFmtId="3" fontId="41" fillId="0" borderId="42" xfId="188" applyNumberFormat="1" applyFont="1" applyBorder="1" applyAlignment="1">
      <alignment horizontal="right"/>
    </xf>
    <xf numFmtId="3" fontId="50" fillId="0" borderId="42" xfId="188" applyNumberFormat="1" applyFont="1" applyBorder="1" applyAlignment="1">
      <alignment horizontal="right"/>
    </xf>
    <xf numFmtId="3" fontId="8" fillId="0" borderId="45" xfId="185" applyNumberFormat="1" applyFont="1" applyBorder="1" applyAlignment="1">
      <alignment wrapText="1"/>
    </xf>
    <xf numFmtId="3" fontId="68" fillId="0" borderId="45" xfId="185" applyNumberFormat="1" applyFont="1" applyBorder="1" applyAlignment="1">
      <alignment wrapText="1"/>
    </xf>
    <xf numFmtId="3" fontId="6" fillId="0" borderId="45" xfId="185" applyNumberFormat="1" applyFont="1" applyBorder="1" applyAlignment="1">
      <alignment wrapText="1"/>
    </xf>
    <xf numFmtId="3" fontId="54" fillId="0" borderId="14" xfId="185" applyNumberFormat="1" applyFont="1" applyBorder="1" applyAlignment="1">
      <alignment wrapText="1"/>
    </xf>
    <xf numFmtId="3" fontId="50" fillId="0" borderId="11" xfId="188" applyNumberFormat="1" applyFont="1" applyBorder="1" applyAlignment="1">
      <alignment horizontal="right"/>
    </xf>
    <xf numFmtId="3" fontId="8" fillId="0" borderId="21" xfId="185" applyNumberFormat="1" applyFont="1" applyBorder="1" applyAlignment="1">
      <alignment wrapText="1"/>
    </xf>
    <xf numFmtId="3" fontId="68" fillId="0" borderId="21" xfId="185" applyNumberFormat="1" applyFont="1" applyBorder="1" applyAlignment="1">
      <alignment wrapText="1"/>
    </xf>
    <xf numFmtId="3" fontId="6" fillId="0" borderId="21" xfId="185" applyNumberFormat="1" applyFont="1" applyBorder="1" applyAlignment="1">
      <alignment wrapText="1"/>
    </xf>
    <xf numFmtId="3" fontId="6" fillId="0" borderId="11" xfId="185" applyNumberFormat="1" applyFont="1" applyBorder="1" applyAlignment="1">
      <alignment wrapText="1"/>
    </xf>
    <xf numFmtId="3" fontId="8" fillId="0" borderId="11" xfId="185" applyNumberFormat="1" applyFont="1" applyBorder="1" applyAlignment="1">
      <alignment wrapText="1"/>
    </xf>
    <xf numFmtId="3" fontId="41" fillId="0" borderId="11" xfId="188" applyNumberFormat="1" applyFont="1" applyBorder="1" applyAlignment="1">
      <alignment horizontal="right"/>
    </xf>
    <xf numFmtId="3" fontId="68" fillId="0" borderId="44" xfId="185" applyNumberFormat="1" applyFont="1" applyBorder="1" applyAlignment="1">
      <alignment wrapText="1"/>
    </xf>
    <xf numFmtId="3" fontId="6" fillId="0" borderId="44" xfId="185" applyNumberFormat="1" applyFont="1" applyBorder="1" applyAlignment="1">
      <alignment wrapText="1"/>
    </xf>
    <xf numFmtId="3" fontId="8" fillId="0" borderId="44" xfId="185" applyNumberFormat="1" applyFont="1" applyBorder="1" applyAlignment="1">
      <alignment wrapText="1"/>
    </xf>
    <xf numFmtId="3" fontId="68" fillId="0" borderId="11" xfId="185" applyNumberFormat="1" applyFont="1" applyBorder="1" applyAlignment="1">
      <alignment wrapText="1"/>
    </xf>
    <xf numFmtId="3" fontId="41" fillId="0" borderId="49" xfId="188" applyNumberFormat="1" applyFont="1" applyBorder="1" applyAlignment="1">
      <alignment horizontal="right"/>
    </xf>
    <xf numFmtId="3" fontId="54" fillId="0" borderId="121" xfId="185" applyNumberFormat="1" applyFont="1" applyBorder="1" applyAlignment="1">
      <alignment wrapText="1"/>
    </xf>
    <xf numFmtId="3" fontId="50" fillId="0" borderId="91" xfId="188" applyNumberFormat="1" applyFont="1" applyBorder="1" applyAlignment="1">
      <alignment horizontal="right"/>
    </xf>
    <xf numFmtId="3" fontId="40" fillId="0" borderId="11" xfId="188" applyNumberFormat="1" applyFont="1" applyBorder="1" applyAlignment="1">
      <alignment horizontal="right"/>
    </xf>
    <xf numFmtId="3" fontId="43" fillId="0" borderId="121" xfId="185" applyNumberFormat="1" applyFont="1" applyBorder="1" applyAlignment="1">
      <alignment wrapText="1"/>
    </xf>
    <xf numFmtId="3" fontId="40" fillId="0" borderId="42" xfId="188" applyNumberFormat="1" applyFont="1" applyBorder="1" applyAlignment="1">
      <alignment horizontal="right"/>
    </xf>
    <xf numFmtId="3" fontId="7" fillId="0" borderId="45" xfId="185" applyNumberFormat="1" applyFont="1" applyBorder="1" applyAlignment="1">
      <alignment wrapText="1"/>
    </xf>
    <xf numFmtId="3" fontId="54" fillId="0" borderId="45" xfId="185" applyNumberFormat="1" applyFont="1" applyBorder="1" applyAlignment="1">
      <alignment wrapText="1"/>
    </xf>
    <xf numFmtId="3" fontId="7" fillId="0" borderId="21" xfId="185" applyNumberFormat="1" applyFont="1" applyBorder="1" applyAlignment="1">
      <alignment wrapText="1"/>
    </xf>
    <xf numFmtId="3" fontId="54" fillId="0" borderId="21" xfId="185" applyNumberFormat="1" applyFont="1" applyBorder="1" applyAlignment="1">
      <alignment wrapText="1"/>
    </xf>
    <xf numFmtId="3" fontId="43" fillId="0" borderId="45" xfId="185" applyNumberFormat="1" applyFont="1" applyBorder="1" applyAlignment="1">
      <alignment wrapText="1"/>
    </xf>
    <xf numFmtId="3" fontId="6" fillId="0" borderId="0" xfId="207" applyNumberFormat="1"/>
    <xf numFmtId="0" fontId="70" fillId="0" borderId="10" xfId="188" applyFont="1" applyBorder="1" applyAlignment="1">
      <alignment horizontal="center"/>
    </xf>
    <xf numFmtId="3" fontId="52" fillId="0" borderId="88" xfId="188" applyNumberFormat="1" applyFont="1" applyBorder="1" applyAlignment="1">
      <alignment horizontal="center" vertical="center" wrapText="1"/>
    </xf>
    <xf numFmtId="0" fontId="71" fillId="0" borderId="10" xfId="188" applyFont="1" applyBorder="1" applyAlignment="1">
      <alignment horizontal="center"/>
    </xf>
    <xf numFmtId="0" fontId="67" fillId="0" borderId="14" xfId="185" applyFont="1" applyBorder="1" applyAlignment="1">
      <alignment horizontal="center" wrapText="1"/>
    </xf>
    <xf numFmtId="3" fontId="67" fillId="0" borderId="10" xfId="188" applyNumberFormat="1" applyFont="1" applyBorder="1" applyAlignment="1">
      <alignment horizontal="center"/>
    </xf>
    <xf numFmtId="3" fontId="67" fillId="0" borderId="41" xfId="188" applyNumberFormat="1" applyFont="1" applyBorder="1" applyAlignment="1">
      <alignment horizontal="center"/>
    </xf>
    <xf numFmtId="3" fontId="72" fillId="0" borderId="10" xfId="188" applyNumberFormat="1" applyFont="1" applyBorder="1" applyAlignment="1">
      <alignment horizontal="center"/>
    </xf>
    <xf numFmtId="3" fontId="67" fillId="0" borderId="14" xfId="188" applyNumberFormat="1" applyFont="1" applyBorder="1" applyAlignment="1">
      <alignment horizontal="center"/>
    </xf>
    <xf numFmtId="0" fontId="73" fillId="0" borderId="0" xfId="207" applyFont="1" applyAlignment="1">
      <alignment horizontal="center"/>
    </xf>
    <xf numFmtId="0" fontId="41" fillId="0" borderId="42" xfId="188" applyFont="1" applyBorder="1"/>
    <xf numFmtId="0" fontId="8" fillId="0" borderId="42" xfId="188" applyFont="1" applyBorder="1"/>
    <xf numFmtId="0" fontId="8" fillId="0" borderId="45" xfId="185" applyFont="1" applyBorder="1" applyAlignment="1">
      <alignment wrapText="1"/>
    </xf>
    <xf numFmtId="3" fontId="8" fillId="0" borderId="40" xfId="188" applyNumberFormat="1" applyFont="1" applyBorder="1"/>
    <xf numFmtId="3" fontId="8" fillId="0" borderId="24" xfId="188" applyNumberFormat="1" applyFont="1" applyBorder="1"/>
    <xf numFmtId="3" fontId="8" fillId="0" borderId="71" xfId="188" applyNumberFormat="1" applyFont="1" applyBorder="1"/>
    <xf numFmtId="3" fontId="8" fillId="0" borderId="11" xfId="188" applyNumberFormat="1" applyFont="1" applyBorder="1"/>
    <xf numFmtId="3" fontId="8" fillId="0" borderId="89" xfId="188" applyNumberFormat="1" applyFont="1" applyBorder="1"/>
    <xf numFmtId="3" fontId="8" fillId="0" borderId="80" xfId="188" applyNumberFormat="1" applyFont="1" applyBorder="1"/>
    <xf numFmtId="3" fontId="8" fillId="0" borderId="44" xfId="188" applyNumberFormat="1" applyFont="1" applyBorder="1"/>
    <xf numFmtId="0" fontId="8" fillId="0" borderId="0" xfId="207" applyFont="1"/>
    <xf numFmtId="0" fontId="41" fillId="0" borderId="10" xfId="188" applyFont="1" applyBorder="1"/>
    <xf numFmtId="3" fontId="8" fillId="0" borderId="20" xfId="188" applyNumberFormat="1" applyFont="1" applyBorder="1"/>
    <xf numFmtId="3" fontId="6" fillId="0" borderId="11" xfId="188" applyNumberFormat="1" applyFont="1" applyBorder="1"/>
    <xf numFmtId="3" fontId="6" fillId="0" borderId="44" xfId="188" applyNumberFormat="1" applyFont="1" applyBorder="1"/>
    <xf numFmtId="0" fontId="41" fillId="0" borderId="11" xfId="188" applyFont="1" applyBorder="1"/>
    <xf numFmtId="0" fontId="8" fillId="0" borderId="21" xfId="185" applyFont="1" applyBorder="1" applyAlignment="1">
      <alignment wrapText="1"/>
    </xf>
    <xf numFmtId="3" fontId="8" fillId="0" borderId="69" xfId="188" applyNumberFormat="1" applyFont="1" applyBorder="1"/>
    <xf numFmtId="3" fontId="8" fillId="0" borderId="23" xfId="188" applyNumberFormat="1" applyFont="1" applyBorder="1"/>
    <xf numFmtId="3" fontId="8" fillId="0" borderId="42" xfId="188" applyNumberFormat="1" applyFont="1" applyBorder="1"/>
    <xf numFmtId="3" fontId="6" fillId="0" borderId="42" xfId="188" applyNumberFormat="1" applyFont="1" applyBorder="1"/>
    <xf numFmtId="0" fontId="6" fillId="0" borderId="42" xfId="188" applyFont="1" applyBorder="1"/>
    <xf numFmtId="0" fontId="8" fillId="0" borderId="11" xfId="185" applyFont="1" applyBorder="1" applyAlignment="1">
      <alignment wrapText="1"/>
    </xf>
    <xf numFmtId="3" fontId="6" fillId="0" borderId="40" xfId="188" applyNumberFormat="1" applyFont="1" applyBorder="1"/>
    <xf numFmtId="3" fontId="6" fillId="0" borderId="24" xfId="188" applyNumberFormat="1" applyFont="1" applyBorder="1"/>
    <xf numFmtId="3" fontId="6" fillId="0" borderId="71" xfId="188" applyNumberFormat="1" applyFont="1" applyBorder="1"/>
    <xf numFmtId="3" fontId="6" fillId="0" borderId="20" xfId="188" applyNumberFormat="1" applyFont="1" applyBorder="1"/>
    <xf numFmtId="3" fontId="6" fillId="0" borderId="89" xfId="188" applyNumberFormat="1" applyFont="1" applyBorder="1"/>
    <xf numFmtId="3" fontId="6" fillId="0" borderId="80" xfId="188" applyNumberFormat="1" applyFont="1" applyBorder="1"/>
    <xf numFmtId="0" fontId="8" fillId="0" borderId="11" xfId="188" applyFont="1" applyBorder="1"/>
    <xf numFmtId="0" fontId="41" fillId="0" borderId="49" xfId="188" applyFont="1" applyBorder="1"/>
    <xf numFmtId="0" fontId="6" fillId="0" borderId="11" xfId="188" applyFont="1" applyBorder="1"/>
    <xf numFmtId="0" fontId="54" fillId="0" borderId="121" xfId="185" applyFont="1" applyBorder="1" applyAlignment="1">
      <alignment wrapText="1"/>
    </xf>
    <xf numFmtId="3" fontId="54" fillId="0" borderId="95" xfId="188" applyNumberFormat="1" applyFont="1" applyBorder="1"/>
    <xf numFmtId="3" fontId="54" fillId="0" borderId="17" xfId="188" applyNumberFormat="1" applyFont="1" applyBorder="1"/>
    <xf numFmtId="3" fontId="54" fillId="0" borderId="107" xfId="188" applyNumberFormat="1" applyFont="1" applyBorder="1"/>
    <xf numFmtId="3" fontId="54" fillId="0" borderId="49" xfId="188" applyNumberFormat="1" applyFont="1" applyBorder="1"/>
    <xf numFmtId="3" fontId="54" fillId="0" borderId="120" xfId="188" applyNumberFormat="1" applyFont="1" applyBorder="1"/>
    <xf numFmtId="3" fontId="8" fillId="0" borderId="127" xfId="188" applyNumberFormat="1" applyFont="1" applyBorder="1"/>
    <xf numFmtId="3" fontId="8" fillId="0" borderId="70" xfId="188" applyNumberFormat="1" applyFont="1" applyBorder="1"/>
    <xf numFmtId="3" fontId="6" fillId="0" borderId="69" xfId="188" applyNumberFormat="1" applyFont="1" applyBorder="1"/>
    <xf numFmtId="3" fontId="6" fillId="0" borderId="23" xfId="188" applyNumberFormat="1" applyFont="1" applyBorder="1"/>
    <xf numFmtId="3" fontId="6" fillId="0" borderId="70" xfId="188" applyNumberFormat="1" applyFont="1" applyBorder="1"/>
    <xf numFmtId="0" fontId="54" fillId="0" borderId="10" xfId="185" applyFont="1" applyBorder="1" applyAlignment="1">
      <alignment wrapText="1"/>
    </xf>
    <xf numFmtId="3" fontId="8" fillId="0" borderId="25" xfId="188" applyNumberFormat="1" applyFont="1" applyBorder="1"/>
    <xf numFmtId="3" fontId="8" fillId="0" borderId="21" xfId="188" applyNumberFormat="1" applyFont="1" applyBorder="1"/>
    <xf numFmtId="3" fontId="6" fillId="0" borderId="27" xfId="188" applyNumberFormat="1" applyFont="1" applyBorder="1"/>
    <xf numFmtId="3" fontId="6" fillId="0" borderId="21" xfId="188" applyNumberFormat="1" applyFont="1" applyBorder="1"/>
    <xf numFmtId="3" fontId="6" fillId="0" borderId="25" xfId="188" applyNumberFormat="1" applyFont="1" applyBorder="1"/>
    <xf numFmtId="0" fontId="8" fillId="0" borderId="91" xfId="188" applyFont="1" applyBorder="1"/>
    <xf numFmtId="3" fontId="8" fillId="0" borderId="128" xfId="188" applyNumberFormat="1" applyFont="1" applyBorder="1"/>
    <xf numFmtId="3" fontId="8" fillId="0" borderId="26" xfId="188" applyNumberFormat="1" applyFont="1" applyBorder="1"/>
    <xf numFmtId="3" fontId="8" fillId="0" borderId="79" xfId="188" applyNumberFormat="1" applyFont="1" applyBorder="1"/>
    <xf numFmtId="0" fontId="6" fillId="0" borderId="45" xfId="185" applyFont="1" applyBorder="1" applyAlignment="1">
      <alignment wrapText="1"/>
    </xf>
    <xf numFmtId="3" fontId="23" fillId="0" borderId="0" xfId="207" applyNumberFormat="1" applyFont="1"/>
    <xf numFmtId="0" fontId="23" fillId="0" borderId="0" xfId="207" applyFont="1"/>
    <xf numFmtId="0" fontId="43" fillId="0" borderId="121" xfId="185" applyFont="1" applyBorder="1" applyAlignment="1">
      <alignment wrapText="1"/>
    </xf>
    <xf numFmtId="0" fontId="7" fillId="0" borderId="11" xfId="188" applyFont="1" applyBorder="1"/>
    <xf numFmtId="0" fontId="7" fillId="0" borderId="45" xfId="185" applyFont="1" applyBorder="1" applyAlignment="1">
      <alignment wrapText="1"/>
    </xf>
    <xf numFmtId="0" fontId="7" fillId="0" borderId="0" xfId="207" applyFont="1"/>
    <xf numFmtId="0" fontId="7" fillId="0" borderId="21" xfId="185" applyFont="1" applyBorder="1" applyAlignment="1">
      <alignment wrapText="1"/>
    </xf>
    <xf numFmtId="3" fontId="43" fillId="0" borderId="21" xfId="185" applyNumberFormat="1" applyFont="1" applyBorder="1" applyAlignment="1">
      <alignment wrapText="1"/>
    </xf>
    <xf numFmtId="0" fontId="43" fillId="0" borderId="45" xfId="185" applyFont="1" applyBorder="1" applyAlignment="1">
      <alignment wrapText="1"/>
    </xf>
    <xf numFmtId="0" fontId="52" fillId="0" borderId="41" xfId="185" applyFont="1" applyBorder="1" applyAlignment="1">
      <alignment horizontal="center" vertical="center" wrapText="1"/>
    </xf>
    <xf numFmtId="2" fontId="31" fillId="0" borderId="46" xfId="172" applyNumberFormat="1" applyFont="1" applyBorder="1" applyAlignment="1">
      <alignment horizontal="center"/>
    </xf>
    <xf numFmtId="2" fontId="31" fillId="0" borderId="91" xfId="172" applyNumberFormat="1" applyFont="1" applyBorder="1" applyAlignment="1">
      <alignment horizontal="center"/>
    </xf>
    <xf numFmtId="4" fontId="31" fillId="0" borderId="46" xfId="172" applyNumberFormat="1" applyFont="1" applyBorder="1" applyAlignment="1">
      <alignment horizontal="center"/>
    </xf>
    <xf numFmtId="4" fontId="31" fillId="0" borderId="96" xfId="172" applyNumberFormat="1" applyFont="1" applyBorder="1" applyAlignment="1">
      <alignment horizontal="center"/>
    </xf>
    <xf numFmtId="3" fontId="32" fillId="0" borderId="12" xfId="172" applyNumberFormat="1" applyFont="1" applyBorder="1" applyAlignment="1">
      <alignment horizontal="left"/>
    </xf>
    <xf numFmtId="3" fontId="32" fillId="0" borderId="12" xfId="172" applyNumberFormat="1" applyFont="1" applyBorder="1" applyAlignment="1">
      <alignment horizontal="left" wrapText="1"/>
    </xf>
    <xf numFmtId="0" fontId="37" fillId="0" borderId="0" xfId="177" applyFont="1" applyFill="1"/>
    <xf numFmtId="0" fontId="38" fillId="0" borderId="0" xfId="177" applyFont="1" applyFill="1" applyAlignment="1">
      <alignment horizontal="right"/>
    </xf>
    <xf numFmtId="0" fontId="76" fillId="0" borderId="0" xfId="177" applyFont="1" applyFill="1"/>
    <xf numFmtId="0" fontId="76" fillId="0" borderId="0" xfId="177" applyFont="1" applyFill="1" applyAlignment="1">
      <alignment horizontal="right"/>
    </xf>
    <xf numFmtId="0" fontId="38" fillId="0" borderId="0" xfId="177" applyFont="1" applyFill="1"/>
    <xf numFmtId="0" fontId="38" fillId="0" borderId="0" xfId="177" applyFont="1" applyFill="1" applyAlignment="1">
      <alignment wrapText="1"/>
    </xf>
    <xf numFmtId="0" fontId="37" fillId="0" borderId="76" xfId="177" applyFont="1" applyFill="1" applyBorder="1"/>
    <xf numFmtId="3" fontId="37" fillId="0" borderId="34" xfId="177" applyNumberFormat="1" applyFont="1" applyFill="1" applyBorder="1"/>
    <xf numFmtId="0" fontId="37" fillId="0" borderId="35" xfId="177" applyFont="1" applyFill="1" applyBorder="1"/>
    <xf numFmtId="3" fontId="37" fillId="0" borderId="24" xfId="177" applyNumberFormat="1" applyFont="1" applyFill="1" applyBorder="1"/>
    <xf numFmtId="0" fontId="38" fillId="0" borderId="39" xfId="177" applyFont="1" applyFill="1" applyBorder="1"/>
    <xf numFmtId="3" fontId="38" fillId="0" borderId="67" xfId="177" applyNumberFormat="1" applyFont="1" applyFill="1" applyBorder="1"/>
    <xf numFmtId="0" fontId="38" fillId="0" borderId="0" xfId="177" applyFont="1" applyFill="1" applyBorder="1"/>
    <xf numFmtId="3" fontId="38" fillId="0" borderId="0" xfId="177" applyNumberFormat="1" applyFont="1" applyFill="1" applyBorder="1"/>
    <xf numFmtId="0" fontId="41" fillId="0" borderId="0" xfId="174" applyFont="1"/>
    <xf numFmtId="0" fontId="30" fillId="0" borderId="0" xfId="174"/>
    <xf numFmtId="0" fontId="40" fillId="0" borderId="10" xfId="182" applyFont="1" applyBorder="1" applyAlignment="1">
      <alignment horizontal="center" wrapText="1"/>
    </xf>
    <xf numFmtId="0" fontId="40" fillId="0" borderId="41" xfId="182" applyFont="1" applyBorder="1" applyAlignment="1">
      <alignment horizontal="center" wrapText="1"/>
    </xf>
    <xf numFmtId="0" fontId="41" fillId="0" borderId="11" xfId="182" applyFont="1" applyBorder="1" applyAlignment="1">
      <alignment wrapText="1"/>
    </xf>
    <xf numFmtId="0" fontId="41" fillId="0" borderId="49" xfId="182" applyFont="1" applyBorder="1" applyAlignment="1">
      <alignment wrapText="1"/>
    </xf>
    <xf numFmtId="3" fontId="41" fillId="0" borderId="49" xfId="182" applyNumberFormat="1" applyFont="1" applyBorder="1"/>
    <xf numFmtId="3" fontId="41" fillId="0" borderId="20" xfId="182" applyNumberFormat="1" applyFont="1" applyBorder="1"/>
    <xf numFmtId="3" fontId="41" fillId="0" borderId="11" xfId="182" applyNumberFormat="1" applyFont="1" applyBorder="1"/>
    <xf numFmtId="3" fontId="41" fillId="0" borderId="21" xfId="182" applyNumberFormat="1" applyFont="1" applyBorder="1"/>
    <xf numFmtId="3" fontId="7" fillId="0" borderId="11" xfId="182" applyNumberFormat="1" applyFont="1" applyBorder="1"/>
    <xf numFmtId="0" fontId="41" fillId="0" borderId="11" xfId="213" applyFont="1" applyBorder="1" applyAlignment="1">
      <alignment wrapText="1"/>
    </xf>
    <xf numFmtId="0" fontId="42" fillId="0" borderId="11" xfId="182" applyFont="1" applyBorder="1" applyAlignment="1">
      <alignment wrapText="1"/>
    </xf>
    <xf numFmtId="3" fontId="43" fillId="0" borderId="11" xfId="182" applyNumberFormat="1" applyFont="1" applyBorder="1"/>
    <xf numFmtId="0" fontId="44" fillId="0" borderId="0" xfId="174" applyFont="1"/>
    <xf numFmtId="0" fontId="40" fillId="0" borderId="11" xfId="182" applyFont="1" applyBorder="1" applyAlignment="1">
      <alignment wrapText="1"/>
    </xf>
    <xf numFmtId="0" fontId="41" fillId="0" borderId="44" xfId="182" applyFont="1" applyBorder="1" applyAlignment="1">
      <alignment wrapText="1"/>
    </xf>
    <xf numFmtId="3" fontId="6" fillId="0" borderId="44" xfId="182" applyNumberFormat="1" applyBorder="1"/>
    <xf numFmtId="3" fontId="6" fillId="0" borderId="89" xfId="182" applyNumberFormat="1" applyBorder="1"/>
    <xf numFmtId="3" fontId="6" fillId="0" borderId="45" xfId="182" applyNumberFormat="1" applyBorder="1"/>
    <xf numFmtId="0" fontId="45" fillId="0" borderId="0" xfId="174" applyFont="1"/>
    <xf numFmtId="0" fontId="40" fillId="0" borderId="44" xfId="182" applyFont="1" applyBorder="1" applyAlignment="1">
      <alignment wrapText="1"/>
    </xf>
    <xf numFmtId="3" fontId="7" fillId="0" borderId="44" xfId="182" applyNumberFormat="1" applyFont="1" applyBorder="1"/>
    <xf numFmtId="0" fontId="46" fillId="0" borderId="0" xfId="174" applyFont="1"/>
    <xf numFmtId="3" fontId="6" fillId="0" borderId="11" xfId="182" applyNumberFormat="1" applyBorder="1"/>
    <xf numFmtId="3" fontId="6" fillId="0" borderId="20" xfId="182" applyNumberFormat="1" applyBorder="1"/>
    <xf numFmtId="3" fontId="43" fillId="0" borderId="20" xfId="182" applyNumberFormat="1" applyFont="1" applyBorder="1"/>
    <xf numFmtId="3" fontId="43" fillId="0" borderId="21" xfId="182" applyNumberFormat="1" applyFont="1" applyBorder="1"/>
    <xf numFmtId="3" fontId="42" fillId="0" borderId="11" xfId="182" applyNumberFormat="1" applyFont="1" applyBorder="1"/>
    <xf numFmtId="0" fontId="42" fillId="0" borderId="132" xfId="182" applyFont="1" applyBorder="1" applyAlignment="1">
      <alignment wrapText="1"/>
    </xf>
    <xf numFmtId="3" fontId="43" fillId="0" borderId="132" xfId="182" applyNumberFormat="1" applyFont="1" applyBorder="1"/>
    <xf numFmtId="0" fontId="42" fillId="0" borderId="42" xfId="182" applyFont="1" applyBorder="1" applyAlignment="1">
      <alignment wrapText="1"/>
    </xf>
    <xf numFmtId="3" fontId="43" fillId="0" borderId="42" xfId="182" applyNumberFormat="1" applyFont="1" applyBorder="1"/>
    <xf numFmtId="3" fontId="6" fillId="0" borderId="21" xfId="182" applyNumberFormat="1" applyBorder="1"/>
    <xf numFmtId="3" fontId="8" fillId="0" borderId="11" xfId="182" applyNumberFormat="1" applyFont="1" applyBorder="1"/>
    <xf numFmtId="3" fontId="8" fillId="0" borderId="20" xfId="182" applyNumberFormat="1" applyFont="1" applyBorder="1"/>
    <xf numFmtId="3" fontId="8" fillId="0" borderId="21" xfId="182" applyNumberFormat="1" applyFont="1" applyBorder="1"/>
    <xf numFmtId="3" fontId="40" fillId="0" borderId="11" xfId="182" applyNumberFormat="1" applyFont="1" applyBorder="1"/>
    <xf numFmtId="3" fontId="41" fillId="0" borderId="42" xfId="182" applyNumberFormat="1" applyFont="1" applyBorder="1"/>
    <xf numFmtId="0" fontId="0" fillId="0" borderId="11" xfId="182" applyFont="1" applyBorder="1" applyAlignment="1">
      <alignment wrapText="1"/>
    </xf>
    <xf numFmtId="0" fontId="41" fillId="0" borderId="42" xfId="182" applyFont="1" applyBorder="1" applyAlignment="1">
      <alignment wrapText="1"/>
    </xf>
    <xf numFmtId="3" fontId="6" fillId="0" borderId="42" xfId="182" applyNumberFormat="1" applyBorder="1"/>
    <xf numFmtId="3" fontId="6" fillId="0" borderId="19" xfId="182" applyNumberFormat="1" applyBorder="1"/>
    <xf numFmtId="3" fontId="6" fillId="0" borderId="43" xfId="182" applyNumberFormat="1" applyBorder="1"/>
    <xf numFmtId="0" fontId="40" fillId="0" borderId="11" xfId="182" applyFont="1" applyBorder="1" applyAlignment="1">
      <alignment horizontal="left" wrapText="1"/>
    </xf>
    <xf numFmtId="0" fontId="40" fillId="0" borderId="42" xfId="182" applyFont="1" applyBorder="1" applyAlignment="1">
      <alignment wrapText="1"/>
    </xf>
    <xf numFmtId="3" fontId="7" fillId="0" borderId="42" xfId="182" applyNumberFormat="1" applyFont="1" applyBorder="1"/>
    <xf numFmtId="3" fontId="7" fillId="0" borderId="19" xfId="182" applyNumberFormat="1" applyFont="1" applyBorder="1"/>
    <xf numFmtId="3" fontId="7" fillId="0" borderId="43" xfId="182" applyNumberFormat="1" applyFont="1" applyBorder="1"/>
    <xf numFmtId="3" fontId="40" fillId="0" borderId="44" xfId="182" applyNumberFormat="1" applyFont="1" applyBorder="1"/>
    <xf numFmtId="3" fontId="40" fillId="0" borderId="89" xfId="182" applyNumberFormat="1" applyFont="1" applyBorder="1"/>
    <xf numFmtId="3" fontId="40" fillId="0" borderId="45" xfId="182" applyNumberFormat="1" applyFont="1" applyBorder="1"/>
    <xf numFmtId="3" fontId="7" fillId="0" borderId="91" xfId="182" applyNumberFormat="1" applyFont="1" applyBorder="1"/>
    <xf numFmtId="0" fontId="40" fillId="0" borderId="10" xfId="182" applyFont="1" applyBorder="1" applyAlignment="1">
      <alignment wrapText="1"/>
    </xf>
    <xf numFmtId="3" fontId="40" fillId="0" borderId="10" xfId="182" applyNumberFormat="1" applyFont="1" applyBorder="1"/>
    <xf numFmtId="3" fontId="7" fillId="0" borderId="10" xfId="182" applyNumberFormat="1" applyFont="1" applyBorder="1"/>
    <xf numFmtId="0" fontId="40" fillId="0" borderId="46" xfId="182" applyFont="1" applyBorder="1" applyAlignment="1">
      <alignment wrapText="1"/>
    </xf>
    <xf numFmtId="3" fontId="40" fillId="0" borderId="46" xfId="182" applyNumberFormat="1" applyFont="1" applyBorder="1"/>
    <xf numFmtId="3" fontId="40" fillId="0" borderId="90" xfId="182" applyNumberFormat="1" applyFont="1" applyBorder="1"/>
    <xf numFmtId="3" fontId="40" fillId="0" borderId="47" xfId="182" applyNumberFormat="1" applyFont="1" applyBorder="1"/>
    <xf numFmtId="3" fontId="43" fillId="0" borderId="10" xfId="182" applyNumberFormat="1" applyFont="1" applyBorder="1"/>
    <xf numFmtId="0" fontId="31" fillId="0" borderId="49" xfId="174" applyFont="1" applyBorder="1" applyAlignment="1">
      <alignment wrapText="1"/>
    </xf>
    <xf numFmtId="3" fontId="31" fillId="0" borderId="16" xfId="174" applyNumberFormat="1" applyFont="1" applyBorder="1"/>
    <xf numFmtId="3" fontId="31" fillId="0" borderId="17" xfId="174" applyNumberFormat="1" applyFont="1" applyBorder="1"/>
    <xf numFmtId="3" fontId="31" fillId="0" borderId="107" xfId="174" applyNumberFormat="1" applyFont="1" applyBorder="1"/>
    <xf numFmtId="3" fontId="31" fillId="0" borderId="18" xfId="174" applyNumberFormat="1" applyFont="1" applyBorder="1"/>
    <xf numFmtId="3" fontId="31" fillId="0" borderId="95" xfId="174" applyNumberFormat="1" applyFont="1" applyBorder="1"/>
    <xf numFmtId="3" fontId="31" fillId="0" borderId="119" xfId="174" applyNumberFormat="1" applyFont="1" applyBorder="1"/>
    <xf numFmtId="3" fontId="31" fillId="0" borderId="120" xfId="174" applyNumberFormat="1" applyFont="1" applyBorder="1"/>
    <xf numFmtId="3" fontId="31" fillId="0" borderId="121" xfId="174" applyNumberFormat="1" applyFont="1" applyBorder="1"/>
    <xf numFmtId="3" fontId="27" fillId="0" borderId="11" xfId="174" applyNumberFormat="1" applyFont="1" applyBorder="1" applyAlignment="1">
      <alignment wrapText="1"/>
    </xf>
    <xf numFmtId="3" fontId="32" fillId="0" borderId="22" xfId="174" applyNumberFormat="1" applyFont="1" applyBorder="1"/>
    <xf numFmtId="3" fontId="32" fillId="0" borderId="24" xfId="174" applyNumberFormat="1" applyFont="1" applyBorder="1"/>
    <xf numFmtId="3" fontId="32" fillId="0" borderId="71" xfId="174" applyNumberFormat="1" applyFont="1" applyBorder="1"/>
    <xf numFmtId="3" fontId="32" fillId="0" borderId="25" xfId="174" applyNumberFormat="1" applyFont="1" applyBorder="1"/>
    <xf numFmtId="3" fontId="32" fillId="0" borderId="20" xfId="174" applyNumberFormat="1" applyFont="1" applyBorder="1"/>
    <xf numFmtId="3" fontId="32" fillId="0" borderId="12" xfId="174" applyNumberFormat="1" applyFont="1" applyBorder="1"/>
    <xf numFmtId="3" fontId="32" fillId="0" borderId="40" xfId="174" applyNumberFormat="1" applyFont="1" applyBorder="1"/>
    <xf numFmtId="3" fontId="32" fillId="0" borderId="21" xfId="174" applyNumberFormat="1" applyFont="1" applyBorder="1"/>
    <xf numFmtId="3" fontId="32" fillId="0" borderId="21" xfId="174" applyNumberFormat="1" applyFont="1" applyBorder="1" applyAlignment="1">
      <alignment wrapText="1"/>
    </xf>
    <xf numFmtId="3" fontId="32" fillId="0" borderId="84" xfId="174" applyNumberFormat="1" applyFont="1" applyBorder="1"/>
    <xf numFmtId="3" fontId="32" fillId="0" borderId="79" xfId="174" applyNumberFormat="1" applyFont="1" applyBorder="1"/>
    <xf numFmtId="3" fontId="32" fillId="0" borderId="45" xfId="174" applyNumberFormat="1" applyFont="1" applyBorder="1"/>
    <xf numFmtId="3" fontId="32" fillId="0" borderId="89" xfId="174" applyNumberFormat="1" applyFont="1" applyBorder="1"/>
    <xf numFmtId="0" fontId="31" fillId="0" borderId="11" xfId="174" applyFont="1" applyBorder="1" applyAlignment="1">
      <alignment wrapText="1"/>
    </xf>
    <xf numFmtId="3" fontId="31" fillId="0" borderId="84" xfId="174" applyNumberFormat="1" applyFont="1" applyBorder="1"/>
    <xf numFmtId="3" fontId="31" fillId="0" borderId="79" xfId="174" applyNumberFormat="1" applyFont="1" applyBorder="1"/>
    <xf numFmtId="3" fontId="31" fillId="0" borderId="45" xfId="174" applyNumberFormat="1" applyFont="1" applyBorder="1"/>
    <xf numFmtId="3" fontId="31" fillId="0" borderId="20" xfId="174" applyNumberFormat="1" applyFont="1" applyBorder="1"/>
    <xf numFmtId="3" fontId="31" fillId="0" borderId="24" xfId="174" applyNumberFormat="1" applyFont="1" applyBorder="1"/>
    <xf numFmtId="3" fontId="31" fillId="0" borderId="22" xfId="174" applyNumberFormat="1" applyFont="1" applyBorder="1"/>
    <xf numFmtId="3" fontId="31" fillId="0" borderId="25" xfId="174" applyNumberFormat="1" applyFont="1" applyBorder="1"/>
    <xf numFmtId="3" fontId="31" fillId="0" borderId="89" xfId="174" applyNumberFormat="1" applyFont="1" applyBorder="1"/>
    <xf numFmtId="3" fontId="31" fillId="0" borderId="12" xfId="174" applyNumberFormat="1" applyFont="1" applyBorder="1"/>
    <xf numFmtId="3" fontId="31" fillId="0" borderId="40" xfId="174" applyNumberFormat="1" applyFont="1" applyBorder="1"/>
    <xf numFmtId="3" fontId="31" fillId="0" borderId="21" xfId="174" applyNumberFormat="1" applyFont="1" applyBorder="1"/>
    <xf numFmtId="3" fontId="32" fillId="0" borderId="11" xfId="174" applyNumberFormat="1" applyFont="1" applyBorder="1" applyAlignment="1">
      <alignment wrapText="1"/>
    </xf>
    <xf numFmtId="3" fontId="32" fillId="0" borderId="22" xfId="174" applyNumberFormat="1" applyFont="1" applyBorder="1" applyAlignment="1">
      <alignment wrapText="1"/>
    </xf>
    <xf numFmtId="3" fontId="32" fillId="0" borderId="24" xfId="174" applyNumberFormat="1" applyFont="1" applyBorder="1" applyAlignment="1">
      <alignment wrapText="1"/>
    </xf>
    <xf numFmtId="3" fontId="32" fillId="0" borderId="25" xfId="174" applyNumberFormat="1" applyFont="1" applyBorder="1" applyAlignment="1">
      <alignment wrapText="1"/>
    </xf>
    <xf numFmtId="3" fontId="32" fillId="0" borderId="20" xfId="174" applyNumberFormat="1" applyFont="1" applyBorder="1" applyAlignment="1">
      <alignment wrapText="1"/>
    </xf>
    <xf numFmtId="3" fontId="32" fillId="0" borderId="12" xfId="174" applyNumberFormat="1" applyFont="1" applyBorder="1" applyAlignment="1">
      <alignment wrapText="1"/>
    </xf>
    <xf numFmtId="3" fontId="32" fillId="0" borderId="40" xfId="174" applyNumberFormat="1" applyFont="1" applyBorder="1" applyAlignment="1">
      <alignment wrapText="1"/>
    </xf>
    <xf numFmtId="3" fontId="32" fillId="0" borderId="44" xfId="174" applyNumberFormat="1" applyFont="1" applyBorder="1" applyAlignment="1">
      <alignment wrapText="1"/>
    </xf>
    <xf numFmtId="3" fontId="32" fillId="0" borderId="115" xfId="174" applyNumberFormat="1" applyFont="1" applyBorder="1"/>
    <xf numFmtId="3" fontId="32" fillId="0" borderId="85" xfId="174" applyNumberFormat="1" applyFont="1" applyBorder="1"/>
    <xf numFmtId="3" fontId="27" fillId="0" borderId="44" xfId="174" applyNumberFormat="1" applyFont="1" applyBorder="1" applyAlignment="1">
      <alignment wrapText="1"/>
    </xf>
    <xf numFmtId="3" fontId="27" fillId="0" borderId="84" xfId="174" applyNumberFormat="1" applyFont="1" applyBorder="1"/>
    <xf numFmtId="3" fontId="27" fillId="0" borderId="79" xfId="174" applyNumberFormat="1" applyFont="1" applyBorder="1"/>
    <xf numFmtId="3" fontId="27" fillId="0" borderId="45" xfId="174" applyNumberFormat="1" applyFont="1" applyBorder="1"/>
    <xf numFmtId="3" fontId="27" fillId="0" borderId="89" xfId="174" applyNumberFormat="1" applyFont="1" applyBorder="1"/>
    <xf numFmtId="3" fontId="27" fillId="0" borderId="24" xfId="174" applyNumberFormat="1" applyFont="1" applyBorder="1"/>
    <xf numFmtId="3" fontId="27" fillId="0" borderId="85" xfId="174" applyNumberFormat="1" applyFont="1" applyBorder="1"/>
    <xf numFmtId="3" fontId="27" fillId="0" borderId="80" xfId="174" applyNumberFormat="1" applyFont="1" applyBorder="1"/>
    <xf numFmtId="3" fontId="27" fillId="0" borderId="115" xfId="174" applyNumberFormat="1" applyFont="1" applyBorder="1"/>
    <xf numFmtId="3" fontId="27" fillId="0" borderId="78" xfId="174" applyNumberFormat="1" applyFont="1" applyBorder="1"/>
    <xf numFmtId="3" fontId="27" fillId="0" borderId="25" xfId="174" applyNumberFormat="1" applyFont="1" applyBorder="1"/>
    <xf numFmtId="3" fontId="31" fillId="0" borderId="15" xfId="174" applyNumberFormat="1" applyFont="1" applyBorder="1"/>
    <xf numFmtId="3" fontId="31" fillId="0" borderId="28" xfId="174" applyNumberFormat="1" applyFont="1" applyBorder="1"/>
    <xf numFmtId="3" fontId="31" fillId="0" borderId="29" xfId="174" applyNumberFormat="1" applyFont="1" applyBorder="1"/>
    <xf numFmtId="3" fontId="31" fillId="0" borderId="108" xfId="174" applyNumberFormat="1" applyFont="1" applyBorder="1"/>
    <xf numFmtId="3" fontId="31" fillId="0" borderId="109" xfId="174" applyNumberFormat="1" applyFont="1" applyBorder="1"/>
    <xf numFmtId="3" fontId="31" fillId="0" borderId="30" xfId="174" applyNumberFormat="1" applyFont="1" applyBorder="1"/>
    <xf numFmtId="3" fontId="31" fillId="0" borderId="122" xfId="174" applyNumberFormat="1" applyFont="1" applyBorder="1"/>
    <xf numFmtId="3" fontId="31" fillId="0" borderId="123" xfId="174" applyNumberFormat="1" applyFont="1" applyBorder="1"/>
    <xf numFmtId="3" fontId="32" fillId="0" borderId="0" xfId="174" applyNumberFormat="1" applyFont="1"/>
    <xf numFmtId="3" fontId="31" fillId="0" borderId="0" xfId="174" applyNumberFormat="1" applyFont="1"/>
    <xf numFmtId="0" fontId="32" fillId="0" borderId="0" xfId="174" applyFont="1"/>
    <xf numFmtId="3" fontId="32" fillId="0" borderId="0" xfId="182" applyNumberFormat="1" applyFont="1" applyAlignment="1">
      <alignment wrapText="1"/>
    </xf>
    <xf numFmtId="0" fontId="27" fillId="0" borderId="0" xfId="174" applyFont="1"/>
    <xf numFmtId="0" fontId="35" fillId="0" borderId="0" xfId="174" applyFont="1"/>
    <xf numFmtId="0" fontId="40" fillId="0" borderId="10" xfId="173" applyFont="1" applyBorder="1" applyAlignment="1">
      <alignment horizontal="centerContinuous"/>
    </xf>
    <xf numFmtId="0" fontId="40" fillId="0" borderId="41" xfId="173" applyFont="1" applyBorder="1" applyAlignment="1">
      <alignment horizontal="centerContinuous"/>
    </xf>
    <xf numFmtId="3" fontId="40" fillId="0" borderId="10" xfId="173" applyNumberFormat="1" applyFont="1" applyBorder="1" applyAlignment="1">
      <alignment horizontal="centerContinuous" wrapText="1"/>
    </xf>
    <xf numFmtId="0" fontId="41" fillId="0" borderId="0" xfId="173" applyFont="1" applyAlignment="1">
      <alignment horizontal="centerContinuous"/>
    </xf>
    <xf numFmtId="0" fontId="40" fillId="0" borderId="86" xfId="173" applyFont="1" applyBorder="1" applyAlignment="1">
      <alignment horizontal="center" wrapText="1"/>
    </xf>
    <xf numFmtId="0" fontId="40" fillId="0" borderId="50" xfId="173" applyFont="1" applyBorder="1" applyAlignment="1">
      <alignment horizontal="centerContinuous" wrapText="1"/>
    </xf>
    <xf numFmtId="3" fontId="40" fillId="0" borderId="50" xfId="173" applyNumberFormat="1" applyFont="1" applyBorder="1" applyAlignment="1">
      <alignment horizontal="centerContinuous" wrapText="1"/>
    </xf>
    <xf numFmtId="3" fontId="40" fillId="0" borderId="86" xfId="173" applyNumberFormat="1" applyFont="1" applyBorder="1" applyAlignment="1">
      <alignment horizontal="centerContinuous" wrapText="1"/>
    </xf>
    <xf numFmtId="3" fontId="40" fillId="0" borderId="96" xfId="173" applyNumberFormat="1" applyFont="1" applyBorder="1" applyAlignment="1">
      <alignment horizontal="centerContinuous" wrapText="1"/>
    </xf>
    <xf numFmtId="0" fontId="41" fillId="0" borderId="0" xfId="173" applyFont="1" applyAlignment="1">
      <alignment horizontal="centerContinuous" wrapText="1"/>
    </xf>
    <xf numFmtId="0" fontId="40" fillId="0" borderId="52" xfId="173" applyFont="1" applyBorder="1" applyAlignment="1">
      <alignment horizontal="centerContinuous" wrapText="1"/>
    </xf>
    <xf numFmtId="0" fontId="40" fillId="0" borderId="53" xfId="173" applyFont="1" applyBorder="1" applyAlignment="1">
      <alignment horizontal="centerContinuous" wrapText="1"/>
    </xf>
    <xf numFmtId="3" fontId="40" fillId="0" borderId="53" xfId="173" applyNumberFormat="1" applyFont="1" applyBorder="1" applyAlignment="1">
      <alignment horizontal="centerContinuous" wrapText="1"/>
    </xf>
    <xf numFmtId="3" fontId="40" fillId="0" borderId="54" xfId="173" applyNumberFormat="1" applyFont="1" applyBorder="1" applyAlignment="1">
      <alignment horizontal="centerContinuous" wrapText="1"/>
    </xf>
    <xf numFmtId="3" fontId="40" fillId="0" borderId="124" xfId="173" applyNumberFormat="1" applyFont="1" applyBorder="1" applyAlignment="1">
      <alignment horizontal="centerContinuous" wrapText="1"/>
    </xf>
    <xf numFmtId="3" fontId="40" fillId="0" borderId="83" xfId="173" applyNumberFormat="1" applyFont="1" applyBorder="1" applyAlignment="1">
      <alignment horizontal="centerContinuous" wrapText="1"/>
    </xf>
    <xf numFmtId="0" fontId="41" fillId="0" borderId="55" xfId="173" applyFont="1" applyBorder="1"/>
    <xf numFmtId="3" fontId="41" fillId="0" borderId="55" xfId="173" applyNumberFormat="1" applyFont="1" applyBorder="1"/>
    <xf numFmtId="3" fontId="41" fillId="0" borderId="56" xfId="173" applyNumberFormat="1" applyFont="1" applyBorder="1"/>
    <xf numFmtId="3" fontId="41" fillId="0" borderId="57" xfId="173" applyNumberFormat="1" applyFont="1" applyBorder="1"/>
    <xf numFmtId="3" fontId="41" fillId="0" borderId="125" xfId="173" applyNumberFormat="1" applyFont="1" applyBorder="1"/>
    <xf numFmtId="3" fontId="41" fillId="0" borderId="58" xfId="173" applyNumberFormat="1" applyFont="1" applyBorder="1"/>
    <xf numFmtId="3" fontId="41" fillId="0" borderId="96" xfId="173" applyNumberFormat="1" applyFont="1" applyBorder="1"/>
    <xf numFmtId="3" fontId="7" fillId="0" borderId="59" xfId="173" applyNumberFormat="1" applyFont="1" applyBorder="1"/>
    <xf numFmtId="3" fontId="7" fillId="0" borderId="60" xfId="173" applyNumberFormat="1" applyFont="1" applyBorder="1"/>
    <xf numFmtId="3" fontId="7" fillId="0" borderId="61" xfId="173" applyNumberFormat="1" applyFont="1" applyBorder="1"/>
    <xf numFmtId="3" fontId="7" fillId="0" borderId="51" xfId="173" applyNumberFormat="1" applyFont="1" applyBorder="1"/>
    <xf numFmtId="3" fontId="41" fillId="0" borderId="12" xfId="173" applyNumberFormat="1" applyFont="1" applyBorder="1"/>
    <xf numFmtId="3" fontId="7" fillId="0" borderId="12" xfId="173" applyNumberFormat="1" applyFont="1" applyBorder="1"/>
    <xf numFmtId="3" fontId="7" fillId="0" borderId="62" xfId="173" applyNumberFormat="1" applyFont="1" applyBorder="1"/>
    <xf numFmtId="3" fontId="7" fillId="0" borderId="63" xfId="173" applyNumberFormat="1" applyFont="1" applyBorder="1"/>
    <xf numFmtId="3" fontId="41" fillId="0" borderId="64" xfId="173" applyNumberFormat="1" applyFont="1" applyBorder="1"/>
    <xf numFmtId="3" fontId="7" fillId="0" borderId="64" xfId="173" applyNumberFormat="1" applyFont="1" applyBorder="1"/>
    <xf numFmtId="3" fontId="7" fillId="0" borderId="65" xfId="173" applyNumberFormat="1" applyFont="1" applyBorder="1"/>
    <xf numFmtId="3" fontId="7" fillId="0" borderId="54" xfId="173" applyNumberFormat="1" applyFont="1" applyBorder="1"/>
    <xf numFmtId="0" fontId="7" fillId="0" borderId="11" xfId="173" applyFont="1" applyBorder="1" applyAlignment="1">
      <alignment wrapText="1"/>
    </xf>
    <xf numFmtId="3" fontId="42" fillId="0" borderId="11" xfId="173" applyNumberFormat="1" applyFont="1" applyBorder="1"/>
    <xf numFmtId="3" fontId="42" fillId="0" borderId="62" xfId="173" applyNumberFormat="1" applyFont="1" applyBorder="1"/>
    <xf numFmtId="0" fontId="7" fillId="0" borderId="12" xfId="173" applyFont="1" applyBorder="1"/>
    <xf numFmtId="3" fontId="42" fillId="0" borderId="12" xfId="173" applyNumberFormat="1" applyFont="1" applyBorder="1"/>
    <xf numFmtId="3" fontId="43" fillId="0" borderId="12" xfId="173" applyNumberFormat="1" applyFont="1" applyBorder="1"/>
    <xf numFmtId="3" fontId="42" fillId="0" borderId="21" xfId="173" applyNumberFormat="1" applyFont="1" applyBorder="1"/>
    <xf numFmtId="0" fontId="8" fillId="0" borderId="91" xfId="173" applyFont="1" applyBorder="1"/>
    <xf numFmtId="0" fontId="8" fillId="0" borderId="15" xfId="173" applyFont="1" applyBorder="1"/>
    <xf numFmtId="3" fontId="8" fillId="0" borderId="15" xfId="173" applyNumberFormat="1" applyFont="1" applyBorder="1"/>
    <xf numFmtId="0" fontId="8" fillId="0" borderId="0" xfId="173" applyFont="1"/>
    <xf numFmtId="0" fontId="40" fillId="0" borderId="13" xfId="173" applyFont="1" applyBorder="1"/>
    <xf numFmtId="0" fontId="40" fillId="0" borderId="10" xfId="173" applyFont="1" applyBorder="1"/>
    <xf numFmtId="3" fontId="43" fillId="0" borderId="10" xfId="173" applyNumberFormat="1" applyFont="1" applyBorder="1"/>
    <xf numFmtId="0" fontId="0" fillId="0" borderId="91" xfId="173" applyFont="1" applyBorder="1" applyAlignment="1">
      <alignment wrapText="1"/>
    </xf>
    <xf numFmtId="0" fontId="0" fillId="0" borderId="91" xfId="173" applyFont="1" applyBorder="1"/>
    <xf numFmtId="3" fontId="6" fillId="0" borderId="42" xfId="173" applyNumberFormat="1" applyFont="1" applyBorder="1"/>
    <xf numFmtId="0" fontId="0" fillId="0" borderId="44" xfId="173" applyFont="1" applyBorder="1" applyAlignment="1">
      <alignment wrapText="1"/>
    </xf>
    <xf numFmtId="0" fontId="0" fillId="0" borderId="44" xfId="173" applyFont="1" applyBorder="1"/>
    <xf numFmtId="3" fontId="6" fillId="0" borderId="91" xfId="173" applyNumberFormat="1" applyFont="1" applyBorder="1"/>
    <xf numFmtId="3" fontId="6" fillId="0" borderId="44" xfId="173" applyNumberFormat="1" applyFont="1" applyBorder="1"/>
    <xf numFmtId="0" fontId="0" fillId="0" borderId="15" xfId="173" applyFont="1" applyBorder="1" applyAlignment="1">
      <alignment wrapText="1"/>
    </xf>
    <xf numFmtId="0" fontId="0" fillId="0" borderId="15" xfId="173" applyFont="1" applyBorder="1"/>
    <xf numFmtId="3" fontId="6" fillId="0" borderId="15" xfId="173" applyNumberFormat="1" applyFont="1" applyBorder="1"/>
    <xf numFmtId="0" fontId="7" fillId="0" borderId="13" xfId="173" applyFont="1" applyBorder="1"/>
    <xf numFmtId="0" fontId="7" fillId="0" borderId="46" xfId="173" applyFont="1" applyBorder="1"/>
    <xf numFmtId="3" fontId="7" fillId="0" borderId="10" xfId="173" applyNumberFormat="1" applyFont="1" applyBorder="1"/>
    <xf numFmtId="0" fontId="40" fillId="0" borderId="46" xfId="173" applyFont="1" applyBorder="1"/>
    <xf numFmtId="4" fontId="43" fillId="0" borderId="10" xfId="173" applyNumberFormat="1" applyFont="1" applyBorder="1"/>
    <xf numFmtId="3" fontId="43" fillId="0" borderId="44" xfId="182" applyNumberFormat="1" applyFont="1" applyBorder="1"/>
    <xf numFmtId="3" fontId="41" fillId="0" borderId="11" xfId="182" applyNumberFormat="1" applyFont="1" applyBorder="1" applyAlignment="1">
      <alignment horizontal="center"/>
    </xf>
    <xf numFmtId="3" fontId="41" fillId="0" borderId="21" xfId="182" applyNumberFormat="1" applyFont="1" applyBorder="1" applyAlignment="1">
      <alignment horizontal="right"/>
    </xf>
    <xf numFmtId="0" fontId="40" fillId="0" borderId="48" xfId="182" applyFont="1" applyBorder="1" applyAlignment="1">
      <alignment wrapText="1"/>
    </xf>
    <xf numFmtId="0" fontId="40" fillId="0" borderId="0" xfId="182" applyFont="1" applyAlignment="1">
      <alignment wrapText="1"/>
    </xf>
    <xf numFmtId="3" fontId="40" fillId="0" borderId="0" xfId="182" applyNumberFormat="1" applyFont="1"/>
    <xf numFmtId="3" fontId="31" fillId="0" borderId="95" xfId="174" applyNumberFormat="1" applyFont="1" applyBorder="1" applyAlignment="1">
      <alignment wrapText="1"/>
    </xf>
    <xf numFmtId="3" fontId="31" fillId="0" borderId="17" xfId="174" applyNumberFormat="1" applyFont="1" applyBorder="1" applyAlignment="1">
      <alignment wrapText="1"/>
    </xf>
    <xf numFmtId="3" fontId="31" fillId="0" borderId="16" xfId="174" applyNumberFormat="1" applyFont="1" applyBorder="1" applyAlignment="1">
      <alignment wrapText="1"/>
    </xf>
    <xf numFmtId="3" fontId="31" fillId="0" borderId="18" xfId="174" applyNumberFormat="1" applyFont="1" applyBorder="1" applyAlignment="1">
      <alignment wrapText="1"/>
    </xf>
    <xf numFmtId="3" fontId="31" fillId="0" borderId="121" xfId="174" applyNumberFormat="1" applyFont="1" applyBorder="1" applyAlignment="1">
      <alignment wrapText="1"/>
    </xf>
    <xf numFmtId="3" fontId="27" fillId="0" borderId="20" xfId="174" applyNumberFormat="1" applyFont="1" applyBorder="1" applyAlignment="1">
      <alignment wrapText="1"/>
    </xf>
    <xf numFmtId="3" fontId="27" fillId="0" borderId="24" xfId="174" applyNumberFormat="1" applyFont="1" applyBorder="1" applyAlignment="1">
      <alignment wrapText="1"/>
    </xf>
    <xf numFmtId="3" fontId="27" fillId="0" borderId="25" xfId="174" applyNumberFormat="1" applyFont="1" applyBorder="1" applyAlignment="1">
      <alignment wrapText="1"/>
    </xf>
    <xf numFmtId="3" fontId="27" fillId="0" borderId="21" xfId="174" applyNumberFormat="1" applyFont="1" applyBorder="1" applyAlignment="1">
      <alignment wrapText="1"/>
    </xf>
    <xf numFmtId="3" fontId="27" fillId="0" borderId="12" xfId="174" applyNumberFormat="1" applyFont="1" applyBorder="1"/>
    <xf numFmtId="3" fontId="27" fillId="0" borderId="20" xfId="174" applyNumberFormat="1" applyFont="1" applyBorder="1"/>
    <xf numFmtId="3" fontId="27" fillId="0" borderId="21" xfId="174" applyNumberFormat="1" applyFont="1" applyBorder="1"/>
    <xf numFmtId="3" fontId="27" fillId="0" borderId="71" xfId="174" applyNumberFormat="1" applyFont="1" applyBorder="1"/>
    <xf numFmtId="3" fontId="31" fillId="0" borderId="71" xfId="174" applyNumberFormat="1" applyFont="1" applyBorder="1" applyAlignment="1">
      <alignment wrapText="1"/>
    </xf>
    <xf numFmtId="3" fontId="31" fillId="0" borderId="25" xfId="174" applyNumberFormat="1" applyFont="1" applyBorder="1" applyAlignment="1">
      <alignment wrapText="1"/>
    </xf>
    <xf numFmtId="3" fontId="31" fillId="0" borderId="24" xfId="174" applyNumberFormat="1" applyFont="1" applyBorder="1" applyAlignment="1">
      <alignment wrapText="1"/>
    </xf>
    <xf numFmtId="3" fontId="31" fillId="0" borderId="21" xfId="174" applyNumberFormat="1" applyFont="1" applyBorder="1" applyAlignment="1">
      <alignment wrapText="1"/>
    </xf>
    <xf numFmtId="3" fontId="32" fillId="0" borderId="71" xfId="174" applyNumberFormat="1" applyFont="1" applyBorder="1" applyAlignment="1">
      <alignment wrapText="1"/>
    </xf>
    <xf numFmtId="3" fontId="30" fillId="0" borderId="0" xfId="174" applyNumberFormat="1"/>
    <xf numFmtId="3" fontId="32" fillId="0" borderId="89" xfId="174" applyNumberFormat="1" applyFont="1" applyBorder="1" applyAlignment="1">
      <alignment wrapText="1"/>
    </xf>
    <xf numFmtId="3" fontId="32" fillId="0" borderId="79" xfId="174" applyNumberFormat="1" applyFont="1" applyBorder="1" applyAlignment="1">
      <alignment wrapText="1"/>
    </xf>
    <xf numFmtId="3" fontId="32" fillId="0" borderId="85" xfId="174" applyNumberFormat="1" applyFont="1" applyBorder="1" applyAlignment="1">
      <alignment wrapText="1"/>
    </xf>
    <xf numFmtId="3" fontId="32" fillId="0" borderId="78" xfId="174" applyNumberFormat="1" applyFont="1" applyBorder="1" applyAlignment="1">
      <alignment wrapText="1"/>
    </xf>
    <xf numFmtId="3" fontId="32" fillId="0" borderId="80" xfId="174" applyNumberFormat="1" applyFont="1" applyBorder="1" applyAlignment="1">
      <alignment wrapText="1"/>
    </xf>
    <xf numFmtId="3" fontId="32" fillId="0" borderId="45" xfId="174" applyNumberFormat="1" applyFont="1" applyBorder="1" applyAlignment="1">
      <alignment wrapText="1"/>
    </xf>
    <xf numFmtId="3" fontId="27" fillId="0" borderId="89" xfId="174" applyNumberFormat="1" applyFont="1" applyBorder="1" applyAlignment="1">
      <alignment wrapText="1"/>
    </xf>
    <xf numFmtId="3" fontId="27" fillId="0" borderId="79" xfId="174" applyNumberFormat="1" applyFont="1" applyBorder="1" applyAlignment="1">
      <alignment wrapText="1"/>
    </xf>
    <xf numFmtId="3" fontId="27" fillId="0" borderId="85" xfId="174" applyNumberFormat="1" applyFont="1" applyBorder="1" applyAlignment="1">
      <alignment wrapText="1"/>
    </xf>
    <xf numFmtId="3" fontId="27" fillId="0" borderId="40" xfId="174" applyNumberFormat="1" applyFont="1" applyBorder="1" applyAlignment="1">
      <alignment wrapText="1"/>
    </xf>
    <xf numFmtId="3" fontId="27" fillId="0" borderId="80" xfId="174" applyNumberFormat="1" applyFont="1" applyBorder="1" applyAlignment="1">
      <alignment wrapText="1"/>
    </xf>
    <xf numFmtId="3" fontId="27" fillId="0" borderId="45" xfId="174" applyNumberFormat="1" applyFont="1" applyBorder="1" applyAlignment="1">
      <alignment wrapText="1"/>
    </xf>
    <xf numFmtId="0" fontId="40" fillId="0" borderId="10" xfId="173" applyFont="1" applyBorder="1" applyAlignment="1">
      <alignment horizontal="centerContinuous" wrapText="1"/>
    </xf>
    <xf numFmtId="0" fontId="40" fillId="0" borderId="88" xfId="173" applyFont="1" applyBorder="1" applyAlignment="1">
      <alignment horizontal="centerContinuous" wrapText="1"/>
    </xf>
    <xf numFmtId="3" fontId="8" fillId="0" borderId="58" xfId="173" applyNumberFormat="1" applyFont="1" applyBorder="1"/>
    <xf numFmtId="3" fontId="43" fillId="0" borderId="91" xfId="173" applyNumberFormat="1" applyFont="1" applyBorder="1"/>
    <xf numFmtId="0" fontId="8" fillId="0" borderId="0" xfId="0" applyFont="1"/>
    <xf numFmtId="0" fontId="0" fillId="0" borderId="11" xfId="173" applyFont="1" applyBorder="1" applyAlignment="1">
      <alignment wrapText="1"/>
    </xf>
    <xf numFmtId="0" fontId="0" fillId="0" borderId="11" xfId="173" applyFont="1" applyBorder="1"/>
    <xf numFmtId="3" fontId="6" fillId="0" borderId="11" xfId="173" applyNumberFormat="1" applyFont="1" applyBorder="1"/>
    <xf numFmtId="0" fontId="6" fillId="0" borderId="0" xfId="173" applyFont="1"/>
    <xf numFmtId="0" fontId="7" fillId="0" borderId="44" xfId="173" applyFont="1" applyBorder="1"/>
    <xf numFmtId="3" fontId="48" fillId="0" borderId="21" xfId="185" applyNumberFormat="1" applyBorder="1" applyAlignment="1">
      <alignment wrapText="1"/>
    </xf>
    <xf numFmtId="3" fontId="48" fillId="0" borderId="45" xfId="185" applyNumberFormat="1" applyBorder="1" applyAlignment="1">
      <alignment wrapText="1"/>
    </xf>
    <xf numFmtId="0" fontId="48" fillId="0" borderId="45" xfId="185" applyBorder="1" applyAlignment="1">
      <alignment wrapText="1"/>
    </xf>
    <xf numFmtId="3" fontId="48" fillId="0" borderId="43" xfId="185" applyNumberFormat="1" applyBorder="1" applyAlignment="1">
      <alignment wrapText="1"/>
    </xf>
    <xf numFmtId="0" fontId="48" fillId="0" borderId="11" xfId="185" applyBorder="1" applyAlignment="1">
      <alignment wrapText="1"/>
    </xf>
    <xf numFmtId="3" fontId="48" fillId="0" borderId="49" xfId="185" applyNumberFormat="1" applyBorder="1" applyAlignment="1">
      <alignment wrapText="1"/>
    </xf>
    <xf numFmtId="3" fontId="48" fillId="0" borderId="44" xfId="185" applyNumberFormat="1" applyBorder="1" applyAlignment="1">
      <alignment wrapText="1"/>
    </xf>
    <xf numFmtId="0" fontId="48" fillId="0" borderId="21" xfId="185" applyBorder="1" applyAlignment="1">
      <alignment wrapText="1"/>
    </xf>
    <xf numFmtId="3" fontId="48" fillId="0" borderId="121" xfId="185" applyNumberFormat="1" applyBorder="1" applyAlignment="1">
      <alignment wrapText="1"/>
    </xf>
    <xf numFmtId="3" fontId="48" fillId="0" borderId="54" xfId="185" applyNumberFormat="1" applyBorder="1" applyAlignment="1">
      <alignment wrapText="1"/>
    </xf>
    <xf numFmtId="3" fontId="41" fillId="0" borderId="91" xfId="188" applyNumberFormat="1" applyFont="1" applyBorder="1" applyAlignment="1">
      <alignment horizontal="right"/>
    </xf>
    <xf numFmtId="3" fontId="6" fillId="0" borderId="54" xfId="185" applyNumberFormat="1" applyFont="1" applyBorder="1" applyAlignment="1">
      <alignment wrapText="1"/>
    </xf>
    <xf numFmtId="3" fontId="6" fillId="0" borderId="43" xfId="185" applyNumberFormat="1" applyFont="1" applyBorder="1" applyAlignment="1">
      <alignment wrapText="1"/>
    </xf>
    <xf numFmtId="3" fontId="8" fillId="0" borderId="54" xfId="185" applyNumberFormat="1" applyFont="1" applyBorder="1" applyAlignment="1">
      <alignment wrapText="1"/>
    </xf>
    <xf numFmtId="3" fontId="68" fillId="0" borderId="54" xfId="185" applyNumberFormat="1" applyFont="1" applyBorder="1" applyAlignment="1">
      <alignment wrapText="1"/>
    </xf>
    <xf numFmtId="3" fontId="7" fillId="0" borderId="43" xfId="185" applyNumberFormat="1" applyFont="1" applyBorder="1" applyAlignment="1">
      <alignment wrapText="1"/>
    </xf>
    <xf numFmtId="3" fontId="54" fillId="0" borderId="43" xfId="185" applyNumberFormat="1" applyFont="1" applyBorder="1" applyAlignment="1">
      <alignment wrapText="1"/>
    </xf>
    <xf numFmtId="3" fontId="48" fillId="0" borderId="40" xfId="188" applyNumberFormat="1" applyBorder="1"/>
    <xf numFmtId="3" fontId="48" fillId="0" borderId="24" xfId="188" applyNumberFormat="1" applyBorder="1"/>
    <xf numFmtId="3" fontId="48" fillId="0" borderId="71" xfId="188" applyNumberFormat="1" applyBorder="1"/>
    <xf numFmtId="3" fontId="48" fillId="0" borderId="11" xfId="188" applyNumberFormat="1" applyBorder="1"/>
    <xf numFmtId="3" fontId="48" fillId="0" borderId="20" xfId="188" applyNumberFormat="1" applyBorder="1"/>
    <xf numFmtId="3" fontId="48" fillId="0" borderId="44" xfId="188" applyNumberFormat="1" applyBorder="1"/>
    <xf numFmtId="3" fontId="48" fillId="0" borderId="89" xfId="188" applyNumberFormat="1" applyBorder="1"/>
    <xf numFmtId="3" fontId="48" fillId="0" borderId="80" xfId="188" applyNumberFormat="1" applyBorder="1"/>
    <xf numFmtId="0" fontId="48" fillId="0" borderId="43" xfId="185" applyBorder="1" applyAlignment="1">
      <alignment wrapText="1"/>
    </xf>
    <xf numFmtId="3" fontId="48" fillId="0" borderId="69" xfId="188" applyNumberFormat="1" applyBorder="1"/>
    <xf numFmtId="3" fontId="48" fillId="0" borderId="23" xfId="188" applyNumberFormat="1" applyBorder="1"/>
    <xf numFmtId="3" fontId="48" fillId="0" borderId="19" xfId="188" applyNumberFormat="1" applyBorder="1"/>
    <xf numFmtId="3" fontId="48" fillId="0" borderId="70" xfId="188" applyNumberFormat="1" applyBorder="1"/>
    <xf numFmtId="3" fontId="48" fillId="0" borderId="42" xfId="188" applyNumberFormat="1" applyBorder="1"/>
    <xf numFmtId="0" fontId="48" fillId="0" borderId="121" xfId="185" applyBorder="1" applyAlignment="1">
      <alignment wrapText="1"/>
    </xf>
    <xf numFmtId="3" fontId="48" fillId="0" borderId="120" xfId="188" applyNumberFormat="1" applyBorder="1"/>
    <xf numFmtId="3" fontId="48" fillId="0" borderId="17" xfId="188" applyNumberFormat="1" applyBorder="1"/>
    <xf numFmtId="3" fontId="48" fillId="0" borderId="107" xfId="188" applyNumberFormat="1" applyBorder="1"/>
    <xf numFmtId="3" fontId="48" fillId="0" borderId="49" xfId="188" applyNumberFormat="1" applyBorder="1"/>
    <xf numFmtId="3" fontId="48" fillId="0" borderId="95" xfId="188" applyNumberFormat="1" applyBorder="1"/>
    <xf numFmtId="3" fontId="6" fillId="0" borderId="19" xfId="188" applyNumberFormat="1" applyFont="1" applyBorder="1"/>
    <xf numFmtId="3" fontId="8" fillId="0" borderId="19" xfId="188" applyNumberFormat="1" applyFont="1" applyBorder="1"/>
    <xf numFmtId="0" fontId="48" fillId="0" borderId="54" xfId="185" applyBorder="1" applyAlignment="1">
      <alignment wrapText="1"/>
    </xf>
    <xf numFmtId="3" fontId="8" fillId="0" borderId="91" xfId="188" applyNumberFormat="1" applyFont="1" applyBorder="1"/>
    <xf numFmtId="3" fontId="48" fillId="0" borderId="78" xfId="188" applyNumberFormat="1" applyBorder="1"/>
    <xf numFmtId="3" fontId="48" fillId="0" borderId="79" xfId="188" applyNumberFormat="1" applyBorder="1"/>
    <xf numFmtId="3" fontId="48" fillId="0" borderId="25" xfId="188" applyNumberFormat="1" applyBorder="1"/>
    <xf numFmtId="3" fontId="8" fillId="0" borderId="27" xfId="188" applyNumberFormat="1" applyFont="1" applyBorder="1"/>
    <xf numFmtId="0" fontId="8" fillId="0" borderId="54" xfId="185" applyFont="1" applyBorder="1" applyAlignment="1">
      <alignment wrapText="1"/>
    </xf>
    <xf numFmtId="3" fontId="7" fillId="0" borderId="40" xfId="188" applyNumberFormat="1" applyFont="1" applyBorder="1"/>
    <xf numFmtId="3" fontId="7" fillId="0" borderId="11" xfId="188" applyNumberFormat="1" applyFont="1" applyBorder="1"/>
    <xf numFmtId="3" fontId="7" fillId="0" borderId="71" xfId="188" applyNumberFormat="1" applyFont="1" applyBorder="1"/>
    <xf numFmtId="3" fontId="7" fillId="0" borderId="20" xfId="188" applyNumberFormat="1" applyFont="1" applyBorder="1"/>
    <xf numFmtId="0" fontId="2" fillId="0" borderId="10" xfId="269" applyBorder="1" applyAlignment="1">
      <alignment horizontal="center" wrapText="1"/>
    </xf>
    <xf numFmtId="0" fontId="2" fillId="0" borderId="0" xfId="269"/>
    <xf numFmtId="2" fontId="38" fillId="0" borderId="46" xfId="172" applyNumberFormat="1" applyFont="1" applyBorder="1" applyAlignment="1">
      <alignment horizontal="center"/>
    </xf>
    <xf numFmtId="4" fontId="32" fillId="0" borderId="22" xfId="270" applyNumberFormat="1" applyFont="1" applyBorder="1" applyAlignment="1">
      <alignment horizontal="center"/>
    </xf>
    <xf numFmtId="4" fontId="32" fillId="0" borderId="21" xfId="270" applyNumberFormat="1" applyFont="1" applyBorder="1" applyAlignment="1">
      <alignment horizontal="center"/>
    </xf>
    <xf numFmtId="4" fontId="32" fillId="0" borderId="20" xfId="270" applyNumberFormat="1" applyFont="1" applyBorder="1" applyAlignment="1">
      <alignment horizontal="center"/>
    </xf>
    <xf numFmtId="4" fontId="32" fillId="0" borderId="100" xfId="270" applyNumberFormat="1" applyFont="1" applyBorder="1" applyAlignment="1">
      <alignment horizontal="center"/>
    </xf>
    <xf numFmtId="4" fontId="32" fillId="0" borderId="12" xfId="270" applyNumberFormat="1" applyFont="1" applyBorder="1" applyAlignment="1">
      <alignment horizontal="center"/>
    </xf>
    <xf numFmtId="4" fontId="32" fillId="0" borderId="99" xfId="270" applyNumberFormat="1" applyFont="1" applyBorder="1" applyAlignment="1">
      <alignment horizontal="center"/>
    </xf>
    <xf numFmtId="4" fontId="32" fillId="0" borderId="92" xfId="270" applyNumberFormat="1" applyFont="1" applyBorder="1" applyAlignment="1">
      <alignment horizontal="center"/>
    </xf>
    <xf numFmtId="4" fontId="32" fillId="0" borderId="119" xfId="270" applyNumberFormat="1" applyFont="1" applyBorder="1" applyAlignment="1">
      <alignment horizontal="center"/>
    </xf>
    <xf numFmtId="4" fontId="32" fillId="0" borderId="49" xfId="270" applyNumberFormat="1" applyFont="1" applyBorder="1" applyAlignment="1">
      <alignment horizontal="center"/>
    </xf>
    <xf numFmtId="4" fontId="32" fillId="0" borderId="62" xfId="270" applyNumberFormat="1" applyFont="1" applyBorder="1" applyAlignment="1">
      <alignment horizontal="center"/>
    </xf>
    <xf numFmtId="4" fontId="32" fillId="0" borderId="94" xfId="270" applyNumberFormat="1" applyFont="1" applyBorder="1" applyAlignment="1">
      <alignment horizontal="center"/>
    </xf>
    <xf numFmtId="4" fontId="32" fillId="0" borderId="11" xfId="270" applyNumberFormat="1" applyFont="1" applyBorder="1" applyAlignment="1">
      <alignment horizontal="center"/>
    </xf>
    <xf numFmtId="3" fontId="32" fillId="0" borderId="12" xfId="172" applyNumberFormat="1" applyFont="1" applyBorder="1"/>
    <xf numFmtId="4" fontId="32" fillId="0" borderId="113" xfId="270" applyNumberFormat="1" applyFont="1" applyBorder="1" applyAlignment="1">
      <alignment horizontal="center"/>
    </xf>
    <xf numFmtId="4" fontId="32" fillId="0" borderId="122" xfId="270" applyNumberFormat="1" applyFont="1" applyBorder="1" applyAlignment="1">
      <alignment horizontal="center"/>
    </xf>
    <xf numFmtId="4" fontId="32" fillId="0" borderId="15" xfId="270" applyNumberFormat="1" applyFont="1" applyBorder="1" applyAlignment="1">
      <alignment horizontal="center"/>
    </xf>
    <xf numFmtId="4" fontId="32" fillId="0" borderId="121" xfId="270" applyNumberFormat="1" applyFont="1" applyBorder="1" applyAlignment="1">
      <alignment horizontal="center"/>
    </xf>
    <xf numFmtId="4" fontId="32" fillId="0" borderId="108" xfId="270" applyNumberFormat="1" applyFont="1" applyBorder="1" applyAlignment="1">
      <alignment horizontal="center"/>
    </xf>
    <xf numFmtId="3" fontId="32" fillId="0" borderId="22" xfId="172" applyNumberFormat="1" applyFont="1" applyBorder="1" applyAlignment="1">
      <alignment horizontal="left"/>
    </xf>
    <xf numFmtId="2" fontId="32" fillId="0" borderId="11" xfId="172" applyNumberFormat="1" applyFont="1" applyBorder="1" applyAlignment="1">
      <alignment horizontal="center"/>
    </xf>
    <xf numFmtId="3" fontId="32" fillId="0" borderId="0" xfId="172" applyNumberFormat="1" applyFont="1" applyAlignment="1">
      <alignment horizontal="left"/>
    </xf>
    <xf numFmtId="4" fontId="6" fillId="0" borderId="0" xfId="212" applyNumberFormat="1"/>
    <xf numFmtId="3" fontId="0" fillId="0" borderId="0" xfId="0" applyNumberFormat="1"/>
    <xf numFmtId="3" fontId="0" fillId="0" borderId="39" xfId="0" applyNumberFormat="1" applyBorder="1" applyAlignment="1">
      <alignment wrapText="1"/>
    </xf>
    <xf numFmtId="3" fontId="49" fillId="0" borderId="39" xfId="0" applyNumberFormat="1" applyFont="1" applyBorder="1" applyAlignment="1">
      <alignment horizontal="center" vertical="center" wrapText="1"/>
    </xf>
    <xf numFmtId="3" fontId="49" fillId="0" borderId="66" xfId="0" applyNumberFormat="1" applyFont="1" applyBorder="1" applyAlignment="1">
      <alignment horizontal="center" vertical="center" wrapText="1"/>
    </xf>
    <xf numFmtId="3" fontId="49" fillId="0" borderId="67" xfId="0" applyNumberFormat="1" applyFont="1" applyBorder="1" applyAlignment="1">
      <alignment horizontal="center" vertical="center" wrapText="1"/>
    </xf>
    <xf numFmtId="3" fontId="0" fillId="0" borderId="0" xfId="0" applyNumberFormat="1" applyAlignment="1">
      <alignment wrapText="1"/>
    </xf>
    <xf numFmtId="3" fontId="49" fillId="0" borderId="74" xfId="0" applyNumberFormat="1" applyFont="1" applyBorder="1" applyAlignment="1">
      <alignment horizontal="center" vertical="center" wrapText="1"/>
    </xf>
    <xf numFmtId="3" fontId="7" fillId="0" borderId="39" xfId="0" applyNumberFormat="1" applyFont="1" applyBorder="1" applyAlignment="1">
      <alignment horizontal="center" vertical="center"/>
    </xf>
    <xf numFmtId="3" fontId="7" fillId="0" borderId="66" xfId="0" applyNumberFormat="1" applyFont="1" applyBorder="1" applyAlignment="1">
      <alignment horizontal="center" vertical="center"/>
    </xf>
    <xf numFmtId="3" fontId="7" fillId="0" borderId="67" xfId="0" applyNumberFormat="1" applyFont="1" applyBorder="1" applyAlignment="1">
      <alignment horizontal="center" vertical="center"/>
    </xf>
    <xf numFmtId="3" fontId="7" fillId="0" borderId="74" xfId="0" applyNumberFormat="1" applyFont="1" applyBorder="1" applyAlignment="1">
      <alignment horizontal="center" vertical="center"/>
    </xf>
    <xf numFmtId="3" fontId="7" fillId="0" borderId="0" xfId="0" applyNumberFormat="1" applyFont="1" applyAlignment="1">
      <alignment horizontal="center" vertical="center"/>
    </xf>
    <xf numFmtId="3" fontId="7" fillId="0" borderId="68" xfId="0" applyNumberFormat="1" applyFont="1" applyBorder="1"/>
    <xf numFmtId="3" fontId="7" fillId="0" borderId="33" xfId="0" applyNumberFormat="1" applyFont="1" applyBorder="1" applyAlignment="1">
      <alignment wrapText="1"/>
    </xf>
    <xf numFmtId="3" fontId="7" fillId="0" borderId="69" xfId="0" applyNumberFormat="1" applyFont="1" applyBorder="1"/>
    <xf numFmtId="3" fontId="7" fillId="0" borderId="19" xfId="0" applyNumberFormat="1" applyFont="1" applyBorder="1"/>
    <xf numFmtId="3" fontId="7" fillId="0" borderId="65" xfId="0" applyNumberFormat="1" applyFont="1" applyBorder="1"/>
    <xf numFmtId="3" fontId="7" fillId="0" borderId="100" xfId="0" applyNumberFormat="1" applyFont="1" applyBorder="1"/>
    <xf numFmtId="3" fontId="7" fillId="0" borderId="0" xfId="0" applyNumberFormat="1" applyFont="1"/>
    <xf numFmtId="3" fontId="43" fillId="0" borderId="68" xfId="0" applyNumberFormat="1" applyFont="1" applyBorder="1"/>
    <xf numFmtId="3" fontId="43" fillId="0" borderId="34" xfId="0" applyNumberFormat="1" applyFont="1" applyBorder="1" applyAlignment="1">
      <alignment wrapText="1"/>
    </xf>
    <xf numFmtId="3" fontId="43" fillId="0" borderId="69" xfId="0" applyNumberFormat="1" applyFont="1" applyBorder="1"/>
    <xf numFmtId="3" fontId="43" fillId="0" borderId="24" xfId="0" applyNumberFormat="1" applyFont="1" applyBorder="1"/>
    <xf numFmtId="3" fontId="43" fillId="0" borderId="19" xfId="0" applyNumberFormat="1" applyFont="1" applyBorder="1"/>
    <xf numFmtId="3" fontId="43" fillId="0" borderId="65" xfId="0" applyNumberFormat="1" applyFont="1" applyBorder="1"/>
    <xf numFmtId="3" fontId="43" fillId="0" borderId="0" xfId="0" applyNumberFormat="1" applyFont="1"/>
    <xf numFmtId="3" fontId="43" fillId="0" borderId="75" xfId="0" applyNumberFormat="1" applyFont="1" applyBorder="1" applyAlignment="1">
      <alignment wrapText="1"/>
    </xf>
    <xf numFmtId="3" fontId="43" fillId="0" borderId="23" xfId="0" applyNumberFormat="1" applyFont="1" applyBorder="1"/>
    <xf numFmtId="3" fontId="0" fillId="0" borderId="75" xfId="0" applyNumberFormat="1" applyBorder="1" applyAlignment="1">
      <alignment wrapText="1"/>
    </xf>
    <xf numFmtId="3" fontId="0" fillId="0" borderId="69" xfId="0" applyNumberFormat="1" applyBorder="1"/>
    <xf numFmtId="3" fontId="0" fillId="0" borderId="23" xfId="0" applyNumberFormat="1" applyBorder="1"/>
    <xf numFmtId="3" fontId="0" fillId="0" borderId="19" xfId="0" applyNumberFormat="1" applyBorder="1"/>
    <xf numFmtId="3" fontId="0" fillId="0" borderId="70" xfId="0" applyNumberFormat="1" applyBorder="1"/>
    <xf numFmtId="3" fontId="7" fillId="0" borderId="62" xfId="0" applyNumberFormat="1" applyFont="1" applyBorder="1"/>
    <xf numFmtId="3" fontId="0" fillId="0" borderId="65" xfId="0" applyNumberFormat="1" applyBorder="1"/>
    <xf numFmtId="3" fontId="7" fillId="0" borderId="75" xfId="0" applyNumberFormat="1" applyFont="1" applyBorder="1" applyAlignment="1">
      <alignment wrapText="1"/>
    </xf>
    <xf numFmtId="3" fontId="8" fillId="0" borderId="68" xfId="0" applyNumberFormat="1" applyFont="1" applyBorder="1"/>
    <xf numFmtId="3" fontId="8" fillId="0" borderId="75" xfId="0" applyNumberFormat="1" applyFont="1" applyBorder="1" applyAlignment="1">
      <alignment wrapText="1"/>
    </xf>
    <xf numFmtId="3" fontId="8" fillId="0" borderId="69" xfId="0" applyNumberFormat="1" applyFont="1" applyBorder="1"/>
    <xf numFmtId="3" fontId="8" fillId="0" borderId="19" xfId="0" applyNumberFormat="1" applyFont="1" applyBorder="1"/>
    <xf numFmtId="3" fontId="8" fillId="0" borderId="65" xfId="0" applyNumberFormat="1" applyFont="1" applyBorder="1"/>
    <xf numFmtId="3" fontId="8" fillId="0" borderId="62" xfId="0" applyNumberFormat="1" applyFont="1" applyBorder="1"/>
    <xf numFmtId="3" fontId="8" fillId="0" borderId="0" xfId="0" applyNumberFormat="1" applyFont="1"/>
    <xf numFmtId="3" fontId="0" fillId="0" borderId="68" xfId="0" applyNumberFormat="1" applyBorder="1"/>
    <xf numFmtId="3" fontId="0" fillId="0" borderId="62" xfId="0" applyNumberFormat="1" applyBorder="1"/>
    <xf numFmtId="3" fontId="7" fillId="0" borderId="35" xfId="0" applyNumberFormat="1" applyFont="1" applyBorder="1"/>
    <xf numFmtId="0" fontId="8" fillId="0" borderId="34" xfId="265" applyFont="1" applyBorder="1" applyAlignment="1">
      <alignment wrapText="1"/>
    </xf>
    <xf numFmtId="3" fontId="0" fillId="0" borderId="40" xfId="0" applyNumberFormat="1" applyBorder="1"/>
    <xf numFmtId="3" fontId="0" fillId="0" borderId="24" xfId="0" applyNumberFormat="1" applyBorder="1"/>
    <xf numFmtId="3" fontId="0" fillId="0" borderId="20" xfId="0" applyNumberFormat="1" applyBorder="1"/>
    <xf numFmtId="3" fontId="0" fillId="0" borderId="71" xfId="0" applyNumberFormat="1" applyBorder="1"/>
    <xf numFmtId="0" fontId="0" fillId="0" borderId="34" xfId="0" applyBorder="1" applyAlignment="1">
      <alignment wrapText="1"/>
    </xf>
    <xf numFmtId="0" fontId="8" fillId="0" borderId="34" xfId="0" applyFont="1" applyBorder="1" applyAlignment="1">
      <alignment wrapText="1"/>
    </xf>
    <xf numFmtId="0" fontId="27" fillId="0" borderId="62" xfId="157" applyFont="1" applyBorder="1" applyAlignment="1">
      <alignment wrapText="1"/>
    </xf>
    <xf numFmtId="0" fontId="7" fillId="0" borderId="34" xfId="0" applyFont="1" applyBorder="1" applyAlignment="1">
      <alignment wrapText="1"/>
    </xf>
    <xf numFmtId="3" fontId="0" fillId="0" borderId="34" xfId="0" applyNumberFormat="1" applyBorder="1"/>
    <xf numFmtId="3" fontId="7" fillId="0" borderId="34" xfId="0" applyNumberFormat="1" applyFont="1" applyBorder="1" applyAlignment="1">
      <alignment wrapText="1"/>
    </xf>
    <xf numFmtId="3" fontId="7" fillId="0" borderId="40" xfId="0" applyNumberFormat="1" applyFont="1" applyBorder="1"/>
    <xf numFmtId="3" fontId="7" fillId="0" borderId="20" xfId="0" applyNumberFormat="1" applyFont="1" applyBorder="1"/>
    <xf numFmtId="3" fontId="7" fillId="0" borderId="94" xfId="0" applyNumberFormat="1" applyFont="1" applyBorder="1"/>
    <xf numFmtId="3" fontId="7" fillId="0" borderId="129" xfId="0" applyNumberFormat="1" applyFont="1" applyBorder="1"/>
    <xf numFmtId="3" fontId="7" fillId="0" borderId="36" xfId="0" applyNumberFormat="1" applyFont="1" applyBorder="1"/>
    <xf numFmtId="3" fontId="0" fillId="0" borderId="114" xfId="0" applyNumberFormat="1" applyBorder="1"/>
    <xf numFmtId="3" fontId="0" fillId="0" borderId="37" xfId="0" applyNumberFormat="1" applyBorder="1"/>
    <xf numFmtId="3" fontId="0" fillId="0" borderId="134" xfId="0" applyNumberFormat="1" applyBorder="1"/>
    <xf numFmtId="3" fontId="7" fillId="0" borderId="99" xfId="0" applyNumberFormat="1" applyFont="1" applyBorder="1"/>
    <xf numFmtId="3" fontId="0" fillId="0" borderId="133" xfId="0" applyNumberFormat="1" applyBorder="1"/>
    <xf numFmtId="3" fontId="0" fillId="0" borderId="99" xfId="0" applyNumberFormat="1" applyBorder="1"/>
    <xf numFmtId="0" fontId="0" fillId="0" borderId="75" xfId="0" applyBorder="1" applyAlignment="1">
      <alignment wrapText="1"/>
    </xf>
    <xf numFmtId="3" fontId="0" fillId="0" borderId="35" xfId="0" applyNumberFormat="1" applyBorder="1"/>
    <xf numFmtId="0" fontId="0" fillId="0" borderId="34" xfId="265" applyFont="1" applyBorder="1" applyAlignment="1">
      <alignment wrapText="1"/>
    </xf>
    <xf numFmtId="0" fontId="8" fillId="0" borderId="75" xfId="0" applyFont="1" applyBorder="1" applyAlignment="1">
      <alignment wrapText="1"/>
    </xf>
    <xf numFmtId="3" fontId="0" fillId="0" borderId="36" xfId="0" applyNumberFormat="1" applyBorder="1"/>
    <xf numFmtId="0" fontId="0" fillId="0" borderId="75" xfId="265" applyFont="1" applyBorder="1" applyAlignment="1">
      <alignment wrapText="1"/>
    </xf>
    <xf numFmtId="3" fontId="0" fillId="0" borderId="38" xfId="0" applyNumberFormat="1" applyBorder="1" applyAlignment="1">
      <alignment wrapText="1"/>
    </xf>
    <xf numFmtId="3" fontId="7" fillId="0" borderId="114" xfId="0" applyNumberFormat="1" applyFont="1" applyBorder="1"/>
    <xf numFmtId="3" fontId="7" fillId="0" borderId="134" xfId="0" applyNumberFormat="1" applyFont="1" applyBorder="1"/>
    <xf numFmtId="3" fontId="0" fillId="0" borderId="34" xfId="0" applyNumberFormat="1" applyBorder="1" applyAlignment="1">
      <alignment wrapText="1"/>
    </xf>
    <xf numFmtId="0" fontId="7" fillId="0" borderId="62" xfId="208" applyFont="1" applyBorder="1" applyAlignment="1">
      <alignment wrapText="1"/>
    </xf>
    <xf numFmtId="0" fontId="8" fillId="0" borderId="71" xfId="265" applyFont="1" applyBorder="1" applyAlignment="1">
      <alignment wrapText="1"/>
    </xf>
    <xf numFmtId="0" fontId="7" fillId="0" borderId="103" xfId="208" applyFont="1" applyBorder="1" applyAlignment="1">
      <alignment wrapText="1"/>
    </xf>
    <xf numFmtId="0" fontId="8" fillId="0" borderId="75" xfId="265" applyFont="1" applyBorder="1" applyAlignment="1">
      <alignment wrapText="1"/>
    </xf>
    <xf numFmtId="3" fontId="0" fillId="0" borderId="25" xfId="0" applyNumberFormat="1" applyBorder="1" applyAlignment="1">
      <alignment wrapText="1"/>
    </xf>
    <xf numFmtId="0" fontId="0" fillId="0" borderId="45" xfId="185" applyFont="1" applyBorder="1" applyAlignment="1">
      <alignment wrapText="1"/>
    </xf>
    <xf numFmtId="0" fontId="7" fillId="0" borderId="75" xfId="0" applyFont="1" applyBorder="1" applyAlignment="1">
      <alignment wrapText="1"/>
    </xf>
    <xf numFmtId="0" fontId="7" fillId="0" borderId="38" xfId="265" applyFont="1" applyBorder="1" applyAlignment="1">
      <alignment wrapText="1"/>
    </xf>
    <xf numFmtId="3" fontId="0" fillId="0" borderId="94" xfId="0" applyNumberFormat="1" applyBorder="1"/>
    <xf numFmtId="0" fontId="0" fillId="0" borderId="34" xfId="157" applyFont="1" applyBorder="1" applyAlignment="1">
      <alignment wrapText="1"/>
    </xf>
    <xf numFmtId="0" fontId="7" fillId="0" borderId="34" xfId="265" applyFont="1" applyBorder="1" applyAlignment="1">
      <alignment wrapText="1"/>
    </xf>
    <xf numFmtId="3" fontId="0" fillId="0" borderId="129" xfId="0" applyNumberFormat="1" applyBorder="1"/>
    <xf numFmtId="0" fontId="7" fillId="0" borderId="34" xfId="265" applyFont="1" applyBorder="1" applyAlignment="1">
      <alignment horizontal="left" vertical="top" wrapText="1"/>
    </xf>
    <xf numFmtId="3" fontId="7" fillId="0" borderId="72" xfId="0" applyNumberFormat="1" applyFont="1" applyBorder="1"/>
    <xf numFmtId="3" fontId="7" fillId="0" borderId="73" xfId="0" applyNumberFormat="1" applyFont="1" applyBorder="1" applyAlignment="1">
      <alignment wrapText="1"/>
    </xf>
    <xf numFmtId="3" fontId="7" fillId="0" borderId="39" xfId="0" applyNumberFormat="1" applyFont="1" applyBorder="1"/>
    <xf numFmtId="3" fontId="7" fillId="0" borderId="71" xfId="0" applyNumberFormat="1" applyFont="1" applyBorder="1"/>
    <xf numFmtId="3" fontId="8" fillId="0" borderId="34" xfId="0" applyNumberFormat="1" applyFont="1" applyBorder="1" applyAlignment="1">
      <alignment wrapText="1"/>
    </xf>
    <xf numFmtId="3" fontId="0" fillId="0" borderId="76" xfId="0" applyNumberFormat="1" applyBorder="1"/>
    <xf numFmtId="3" fontId="0" fillId="0" borderId="78" xfId="0" applyNumberFormat="1" applyBorder="1"/>
    <xf numFmtId="3" fontId="0" fillId="0" borderId="79" xfId="0" applyNumberFormat="1" applyBorder="1"/>
    <xf numFmtId="3" fontId="0" fillId="0" borderId="80" xfId="0" applyNumberFormat="1" applyBorder="1"/>
    <xf numFmtId="3" fontId="7" fillId="0" borderId="81" xfId="0" applyNumberFormat="1" applyFont="1" applyBorder="1"/>
    <xf numFmtId="3" fontId="8" fillId="0" borderId="130" xfId="0" applyNumberFormat="1" applyFont="1" applyBorder="1" applyAlignment="1">
      <alignment wrapText="1"/>
    </xf>
    <xf numFmtId="3" fontId="0" fillId="0" borderId="130" xfId="0" applyNumberFormat="1" applyBorder="1" applyAlignment="1">
      <alignment wrapText="1"/>
    </xf>
    <xf numFmtId="3" fontId="7" fillId="0" borderId="76" xfId="0" applyNumberFormat="1" applyFont="1" applyBorder="1"/>
    <xf numFmtId="3" fontId="7" fillId="0" borderId="77" xfId="0" applyNumberFormat="1" applyFont="1" applyBorder="1" applyAlignment="1">
      <alignment wrapText="1"/>
    </xf>
    <xf numFmtId="3" fontId="7" fillId="0" borderId="78" xfId="0" applyNumberFormat="1" applyFont="1" applyBorder="1"/>
    <xf numFmtId="3" fontId="7" fillId="0" borderId="80" xfId="0" applyNumberFormat="1" applyFont="1" applyBorder="1"/>
    <xf numFmtId="3" fontId="7" fillId="0" borderId="131" xfId="0" applyNumberFormat="1" applyFont="1" applyBorder="1"/>
    <xf numFmtId="3" fontId="7" fillId="0" borderId="82" xfId="0" applyNumberFormat="1" applyFont="1" applyBorder="1" applyAlignment="1">
      <alignment wrapText="1"/>
    </xf>
    <xf numFmtId="3" fontId="7" fillId="0" borderId="82" xfId="0" applyNumberFormat="1" applyFont="1" applyBorder="1"/>
    <xf numFmtId="0" fontId="28" fillId="0" borderId="0" xfId="157"/>
    <xf numFmtId="0" fontId="6" fillId="0" borderId="0" xfId="208"/>
    <xf numFmtId="0" fontId="6" fillId="0" borderId="0" xfId="208" applyAlignment="1">
      <alignment horizontal="center"/>
    </xf>
    <xf numFmtId="0" fontId="7" fillId="0" borderId="97" xfId="208" applyFont="1" applyBorder="1" applyAlignment="1">
      <alignment horizontal="center"/>
    </xf>
    <xf numFmtId="0" fontId="7" fillId="0" borderId="97" xfId="208" applyFont="1" applyBorder="1" applyAlignment="1">
      <alignment horizontal="center" wrapText="1"/>
    </xf>
    <xf numFmtId="3" fontId="7" fillId="0" borderId="101" xfId="208" applyNumberFormat="1" applyFont="1" applyBorder="1" applyAlignment="1">
      <alignment horizontal="center" wrapText="1"/>
    </xf>
    <xf numFmtId="3" fontId="7" fillId="0" borderId="98" xfId="208" applyNumberFormat="1" applyFont="1" applyBorder="1" applyAlignment="1">
      <alignment horizontal="center" wrapText="1"/>
    </xf>
    <xf numFmtId="0" fontId="7" fillId="0" borderId="92" xfId="208" applyFont="1" applyBorder="1" applyAlignment="1">
      <alignment horizontal="right"/>
    </xf>
    <xf numFmtId="3" fontId="7" fillId="0" borderId="100" xfId="208" applyNumberFormat="1" applyFont="1" applyBorder="1" applyAlignment="1">
      <alignment wrapText="1"/>
    </xf>
    <xf numFmtId="3" fontId="7" fillId="0" borderId="102" xfId="208" applyNumberFormat="1" applyFont="1" applyBorder="1"/>
    <xf numFmtId="3" fontId="7" fillId="0" borderId="102" xfId="208" applyNumberFormat="1" applyFont="1" applyBorder="1" applyAlignment="1">
      <alignment horizontal="center"/>
    </xf>
    <xf numFmtId="0" fontId="7" fillId="0" borderId="94" xfId="208" applyFont="1" applyBorder="1" applyAlignment="1">
      <alignment horizontal="right"/>
    </xf>
    <xf numFmtId="3" fontId="7" fillId="0" borderId="62" xfId="208" applyNumberFormat="1" applyFont="1" applyBorder="1" applyAlignment="1">
      <alignment wrapText="1"/>
    </xf>
    <xf numFmtId="3" fontId="7" fillId="0" borderId="34" xfId="208" applyNumberFormat="1" applyFont="1" applyBorder="1"/>
    <xf numFmtId="3" fontId="7" fillId="0" borderId="34" xfId="208" applyNumberFormat="1" applyFont="1" applyBorder="1" applyAlignment="1">
      <alignment horizontal="center"/>
    </xf>
    <xf numFmtId="0" fontId="0" fillId="0" borderId="62" xfId="208" applyFont="1" applyBorder="1" applyAlignment="1">
      <alignment wrapText="1"/>
    </xf>
    <xf numFmtId="3" fontId="6" fillId="0" borderId="34" xfId="208" applyNumberFormat="1" applyBorder="1"/>
    <xf numFmtId="3" fontId="0" fillId="0" borderId="34" xfId="208" applyNumberFormat="1" applyFont="1" applyBorder="1" applyAlignment="1">
      <alignment horizontal="center"/>
    </xf>
    <xf numFmtId="3" fontId="6" fillId="0" borderId="34" xfId="208" applyNumberFormat="1" applyBorder="1" applyAlignment="1">
      <alignment horizontal="center"/>
    </xf>
    <xf numFmtId="3" fontId="0" fillId="0" borderId="34" xfId="208" applyNumberFormat="1" applyFont="1" applyBorder="1"/>
    <xf numFmtId="0" fontId="35" fillId="0" borderId="94" xfId="208" applyFont="1" applyBorder="1" applyAlignment="1">
      <alignment horizontal="right"/>
    </xf>
    <xf numFmtId="0" fontId="27" fillId="0" borderId="62" xfId="208" applyFont="1" applyBorder="1" applyAlignment="1">
      <alignment wrapText="1"/>
    </xf>
    <xf numFmtId="3" fontId="27" fillId="0" borderId="103" xfId="208" applyNumberFormat="1" applyFont="1" applyBorder="1" applyAlignment="1">
      <alignment wrapText="1"/>
    </xf>
    <xf numFmtId="3" fontId="27" fillId="0" borderId="34" xfId="208" applyNumberFormat="1" applyFont="1" applyBorder="1"/>
    <xf numFmtId="3" fontId="32" fillId="0" borderId="34" xfId="208" applyNumberFormat="1" applyFont="1" applyBorder="1"/>
    <xf numFmtId="3" fontId="27" fillId="0" borderId="34" xfId="208" applyNumberFormat="1" applyFont="1" applyBorder="1" applyAlignment="1">
      <alignment horizontal="center"/>
    </xf>
    <xf numFmtId="0" fontId="27" fillId="0" borderId="0" xfId="157" applyFont="1"/>
    <xf numFmtId="3" fontId="27" fillId="0" borderId="103" xfId="208" applyNumberFormat="1" applyFont="1" applyBorder="1" applyAlignment="1">
      <alignment horizontal="center"/>
    </xf>
    <xf numFmtId="3" fontId="27" fillId="0" borderId="103" xfId="208" applyNumberFormat="1" applyFont="1" applyBorder="1"/>
    <xf numFmtId="0" fontId="6" fillId="0" borderId="62" xfId="208" applyBorder="1" applyAlignment="1">
      <alignment wrapText="1"/>
    </xf>
    <xf numFmtId="0" fontId="8" fillId="0" borderId="62" xfId="208" applyFont="1" applyBorder="1" applyAlignment="1">
      <alignment wrapText="1"/>
    </xf>
    <xf numFmtId="3" fontId="8" fillId="0" borderId="103" xfId="208" applyNumberFormat="1" applyFont="1" applyBorder="1"/>
    <xf numFmtId="3" fontId="8" fillId="0" borderId="103" xfId="208" applyNumberFormat="1" applyFont="1" applyBorder="1" applyAlignment="1">
      <alignment horizontal="center"/>
    </xf>
    <xf numFmtId="0" fontId="8" fillId="0" borderId="62" xfId="157" applyFont="1" applyBorder="1" applyAlignment="1">
      <alignment wrapText="1"/>
    </xf>
    <xf numFmtId="3" fontId="7" fillId="0" borderId="34" xfId="208" applyNumberFormat="1" applyFont="1" applyBorder="1" applyAlignment="1">
      <alignment wrapText="1"/>
    </xf>
    <xf numFmtId="3" fontId="7" fillId="0" borderId="34" xfId="208" applyNumberFormat="1" applyFont="1" applyBorder="1" applyAlignment="1">
      <alignment horizontal="center" wrapText="1"/>
    </xf>
    <xf numFmtId="3" fontId="8" fillId="0" borderId="34" xfId="208" applyNumberFormat="1" applyFont="1" applyBorder="1"/>
    <xf numFmtId="3" fontId="8" fillId="0" borderId="34" xfId="208" applyNumberFormat="1" applyFont="1" applyBorder="1" applyAlignment="1">
      <alignment horizontal="center"/>
    </xf>
    <xf numFmtId="0" fontId="0" fillId="0" borderId="62" xfId="157" applyFont="1" applyBorder="1" applyAlignment="1">
      <alignment wrapText="1"/>
    </xf>
    <xf numFmtId="0" fontId="6" fillId="0" borderId="62" xfId="157" applyFont="1" applyBorder="1" applyAlignment="1">
      <alignment wrapText="1"/>
    </xf>
    <xf numFmtId="0" fontId="31" fillId="0" borderId="94" xfId="208" applyFont="1" applyBorder="1" applyAlignment="1">
      <alignment horizontal="right"/>
    </xf>
    <xf numFmtId="3" fontId="27" fillId="0" borderId="103" xfId="157" applyNumberFormat="1" applyFont="1" applyBorder="1" applyAlignment="1">
      <alignment wrapText="1"/>
    </xf>
    <xf numFmtId="0" fontId="32" fillId="0" borderId="0" xfId="157" applyFont="1"/>
    <xf numFmtId="3" fontId="27" fillId="0" borderId="62" xfId="208" applyNumberFormat="1" applyFont="1" applyBorder="1" applyAlignment="1">
      <alignment horizontal="center"/>
    </xf>
    <xf numFmtId="0" fontId="27" fillId="0" borderId="62" xfId="157" applyFont="1" applyBorder="1" applyAlignment="1">
      <alignment horizontal="left" wrapText="1"/>
    </xf>
    <xf numFmtId="3" fontId="27" fillId="0" borderId="103" xfId="157" applyNumberFormat="1" applyFont="1" applyBorder="1" applyAlignment="1">
      <alignment horizontal="right" wrapText="1"/>
    </xf>
    <xf numFmtId="3" fontId="0" fillId="0" borderId="103" xfId="208" applyNumberFormat="1" applyFont="1" applyBorder="1" applyAlignment="1">
      <alignment horizontal="center"/>
    </xf>
    <xf numFmtId="3" fontId="6" fillId="0" borderId="103" xfId="208" applyNumberFormat="1" applyBorder="1" applyAlignment="1">
      <alignment horizontal="center"/>
    </xf>
    <xf numFmtId="0" fontId="7" fillId="0" borderId="62" xfId="208" applyFont="1" applyBorder="1" applyAlignment="1">
      <alignment horizontal="right"/>
    </xf>
    <xf numFmtId="0" fontId="7" fillId="0" borderId="39" xfId="208" applyFont="1" applyBorder="1" applyAlignment="1">
      <alignment wrapText="1"/>
    </xf>
    <xf numFmtId="3" fontId="7" fillId="0" borderId="73" xfId="208" applyNumberFormat="1" applyFont="1" applyBorder="1"/>
    <xf numFmtId="3" fontId="7" fillId="0" borderId="73" xfId="208" applyNumberFormat="1" applyFont="1" applyBorder="1" applyAlignment="1">
      <alignment horizontal="center"/>
    </xf>
    <xf numFmtId="0" fontId="6" fillId="0" borderId="65" xfId="208" applyBorder="1" applyAlignment="1">
      <alignment wrapText="1"/>
    </xf>
    <xf numFmtId="3" fontId="6" fillId="0" borderId="75" xfId="208" applyNumberFormat="1" applyBorder="1"/>
    <xf numFmtId="3" fontId="6" fillId="0" borderId="75" xfId="208" applyNumberFormat="1" applyBorder="1" applyAlignment="1">
      <alignment horizontal="center"/>
    </xf>
    <xf numFmtId="3" fontId="0" fillId="0" borderId="75" xfId="208" applyNumberFormat="1" applyFont="1" applyBorder="1" applyAlignment="1">
      <alignment horizontal="center"/>
    </xf>
    <xf numFmtId="0" fontId="6" fillId="0" borderId="81" xfId="208" applyBorder="1" applyAlignment="1">
      <alignment wrapText="1"/>
    </xf>
    <xf numFmtId="0" fontId="7" fillId="0" borderId="81" xfId="208" applyFont="1" applyBorder="1" applyAlignment="1">
      <alignment horizontal="right"/>
    </xf>
    <xf numFmtId="3" fontId="8" fillId="0" borderId="104" xfId="208" applyNumberFormat="1" applyFont="1" applyBorder="1"/>
    <xf numFmtId="3" fontId="8" fillId="0" borderId="104" xfId="208" applyNumberFormat="1" applyFont="1" applyBorder="1" applyAlignment="1">
      <alignment horizontal="center"/>
    </xf>
    <xf numFmtId="0" fontId="7" fillId="0" borderId="99" xfId="208" applyFont="1" applyBorder="1" applyAlignment="1">
      <alignment horizontal="right"/>
    </xf>
    <xf numFmtId="3" fontId="7" fillId="0" borderId="39" xfId="208" applyNumberFormat="1" applyFont="1" applyBorder="1"/>
    <xf numFmtId="3" fontId="7" fillId="0" borderId="39" xfId="208" applyNumberFormat="1" applyFont="1" applyBorder="1" applyAlignment="1">
      <alignment horizontal="center"/>
    </xf>
    <xf numFmtId="0" fontId="0" fillId="0" borderId="0" xfId="208" applyFont="1"/>
    <xf numFmtId="3" fontId="6" fillId="0" borderId="0" xfId="208" applyNumberFormat="1"/>
    <xf numFmtId="3" fontId="6" fillId="0" borderId="0" xfId="208" applyNumberFormat="1" applyAlignment="1">
      <alignment horizontal="center"/>
    </xf>
    <xf numFmtId="3" fontId="0" fillId="0" borderId="0" xfId="208" applyNumberFormat="1" applyFont="1" applyAlignment="1">
      <alignment horizontal="center"/>
    </xf>
    <xf numFmtId="0" fontId="0" fillId="0" borderId="0" xfId="208" applyFont="1" applyAlignment="1">
      <alignment horizontal="center"/>
    </xf>
    <xf numFmtId="0" fontId="32" fillId="0" borderId="0" xfId="207" applyFont="1"/>
    <xf numFmtId="3" fontId="32" fillId="0" borderId="0" xfId="207" applyNumberFormat="1" applyFont="1"/>
    <xf numFmtId="0" fontId="31" fillId="0" borderId="10" xfId="207" applyFont="1" applyBorder="1" applyAlignment="1">
      <alignment horizontal="center" vertical="center" wrapText="1"/>
    </xf>
    <xf numFmtId="3" fontId="31" fillId="0" borderId="10" xfId="207" applyNumberFormat="1" applyFont="1" applyBorder="1" applyAlignment="1">
      <alignment horizontal="center" vertical="center" wrapText="1"/>
    </xf>
    <xf numFmtId="0" fontId="32" fillId="0" borderId="0" xfId="207" applyFont="1" applyAlignment="1">
      <alignment horizontal="center" vertical="center"/>
    </xf>
    <xf numFmtId="0" fontId="31" fillId="0" borderId="11" xfId="208" applyFont="1" applyBorder="1" applyAlignment="1">
      <alignment wrapText="1"/>
    </xf>
    <xf numFmtId="3" fontId="31" fillId="0" borderId="11" xfId="208" applyNumberFormat="1" applyFont="1" applyBorder="1" applyAlignment="1">
      <alignment wrapText="1"/>
    </xf>
    <xf numFmtId="0" fontId="32" fillId="0" borderId="42" xfId="207" applyFont="1" applyBorder="1" applyAlignment="1">
      <alignment wrapText="1"/>
    </xf>
    <xf numFmtId="3" fontId="32" fillId="0" borderId="42" xfId="207" applyNumberFormat="1" applyFont="1" applyBorder="1" applyAlignment="1">
      <alignment wrapText="1"/>
    </xf>
    <xf numFmtId="0" fontId="31" fillId="0" borderId="42" xfId="207" applyFont="1" applyBorder="1" applyAlignment="1">
      <alignment wrapText="1"/>
    </xf>
    <xf numFmtId="3" fontId="31" fillId="0" borderId="42" xfId="207" applyNumberFormat="1" applyFont="1" applyBorder="1" applyAlignment="1">
      <alignment wrapText="1"/>
    </xf>
    <xf numFmtId="0" fontId="31" fillId="0" borderId="11" xfId="207" applyFont="1" applyBorder="1"/>
    <xf numFmtId="3" fontId="31" fillId="0" borderId="11" xfId="207" applyNumberFormat="1" applyFont="1" applyBorder="1"/>
    <xf numFmtId="0" fontId="31" fillId="0" borderId="11" xfId="207" applyFont="1" applyBorder="1" applyAlignment="1">
      <alignment wrapText="1"/>
    </xf>
    <xf numFmtId="3" fontId="31" fillId="0" borderId="11" xfId="207" applyNumberFormat="1" applyFont="1" applyBorder="1" applyAlignment="1">
      <alignment wrapText="1"/>
    </xf>
    <xf numFmtId="0" fontId="32" fillId="0" borderId="11" xfId="207" applyFont="1" applyBorder="1" applyAlignment="1">
      <alignment wrapText="1"/>
    </xf>
    <xf numFmtId="3" fontId="32" fillId="0" borderId="11" xfId="207" applyNumberFormat="1" applyFont="1" applyBorder="1" applyAlignment="1">
      <alignment wrapText="1"/>
    </xf>
    <xf numFmtId="0" fontId="27" fillId="0" borderId="11" xfId="207" applyFont="1" applyBorder="1" applyAlignment="1">
      <alignment wrapText="1"/>
    </xf>
    <xf numFmtId="3" fontId="27" fillId="0" borderId="11" xfId="207" applyNumberFormat="1" applyFont="1" applyBorder="1" applyAlignment="1">
      <alignment wrapText="1"/>
    </xf>
    <xf numFmtId="0" fontId="35" fillId="0" borderId="11" xfId="207" applyFont="1" applyBorder="1"/>
    <xf numFmtId="3" fontId="35" fillId="0" borderId="11" xfId="207" applyNumberFormat="1" applyFont="1" applyBorder="1"/>
    <xf numFmtId="0" fontId="32" fillId="0" borderId="132" xfId="207" applyFont="1" applyBorder="1" applyAlignment="1">
      <alignment wrapText="1"/>
    </xf>
    <xf numFmtId="3" fontId="32" fillId="0" borderId="132" xfId="207" applyNumberFormat="1" applyFont="1" applyBorder="1" applyAlignment="1">
      <alignment wrapText="1"/>
    </xf>
    <xf numFmtId="0" fontId="32" fillId="0" borderId="52" xfId="207" applyFont="1" applyBorder="1" applyAlignment="1">
      <alignment wrapText="1"/>
    </xf>
    <xf numFmtId="3" fontId="32" fillId="0" borderId="52" xfId="207" applyNumberFormat="1" applyFont="1" applyBorder="1" applyAlignment="1">
      <alignment wrapText="1"/>
    </xf>
    <xf numFmtId="0" fontId="32" fillId="0" borderId="64" xfId="207" applyFont="1" applyBorder="1" applyAlignment="1">
      <alignment wrapText="1"/>
    </xf>
    <xf numFmtId="0" fontId="32" fillId="0" borderId="42" xfId="207" applyFont="1" applyBorder="1"/>
    <xf numFmtId="3" fontId="32" fillId="0" borderId="42" xfId="207" applyNumberFormat="1" applyFont="1" applyBorder="1"/>
    <xf numFmtId="0" fontId="32" fillId="0" borderId="64" xfId="212" applyFont="1" applyBorder="1" applyAlignment="1">
      <alignment wrapText="1"/>
    </xf>
    <xf numFmtId="0" fontId="31" fillId="0" borderId="15" xfId="207" applyFont="1" applyBorder="1" applyAlignment="1">
      <alignment wrapText="1"/>
    </xf>
    <xf numFmtId="3" fontId="31" fillId="0" borderId="15" xfId="207" applyNumberFormat="1" applyFont="1" applyBorder="1" applyAlignment="1">
      <alignment wrapText="1"/>
    </xf>
    <xf numFmtId="0" fontId="59" fillId="0" borderId="0" xfId="212" applyFont="1"/>
    <xf numFmtId="0" fontId="59" fillId="0" borderId="0" xfId="212" applyFont="1" applyAlignment="1">
      <alignment wrapText="1"/>
    </xf>
    <xf numFmtId="3" fontId="59" fillId="0" borderId="0" xfId="212" applyNumberFormat="1" applyFont="1"/>
    <xf numFmtId="0" fontId="61" fillId="0" borderId="39" xfId="212" applyFont="1" applyBorder="1" applyAlignment="1">
      <alignment horizontal="center" vertical="center" wrapText="1"/>
    </xf>
    <xf numFmtId="0" fontId="61" fillId="0" borderId="39" xfId="212" applyFont="1" applyBorder="1" applyAlignment="1">
      <alignment horizontal="center" vertical="center"/>
    </xf>
    <xf numFmtId="3" fontId="31" fillId="0" borderId="39" xfId="208" applyNumberFormat="1" applyFont="1" applyBorder="1" applyAlignment="1">
      <alignment horizontal="center" vertical="center" wrapText="1"/>
    </xf>
    <xf numFmtId="0" fontId="59" fillId="0" borderId="0" xfId="212" applyFont="1" applyAlignment="1">
      <alignment horizontal="center"/>
    </xf>
    <xf numFmtId="0" fontId="31" fillId="0" borderId="62" xfId="207" applyFont="1" applyBorder="1" applyAlignment="1">
      <alignment wrapText="1"/>
    </xf>
    <xf numFmtId="0" fontId="32" fillId="0" borderId="62" xfId="207" applyFont="1" applyBorder="1" applyAlignment="1">
      <alignment wrapText="1"/>
    </xf>
    <xf numFmtId="3" fontId="31" fillId="0" borderId="62" xfId="207" applyNumberFormat="1" applyFont="1" applyBorder="1" applyAlignment="1">
      <alignment wrapText="1"/>
    </xf>
    <xf numFmtId="0" fontId="31" fillId="0" borderId="0" xfId="207" applyFont="1"/>
    <xf numFmtId="3" fontId="31" fillId="0" borderId="62" xfId="207" applyNumberFormat="1" applyFont="1" applyBorder="1"/>
    <xf numFmtId="0" fontId="31" fillId="0" borderId="113" xfId="207" applyFont="1" applyBorder="1"/>
    <xf numFmtId="0" fontId="31" fillId="0" borderId="117" xfId="207" applyFont="1" applyBorder="1"/>
    <xf numFmtId="3" fontId="31" fillId="0" borderId="39" xfId="207" applyNumberFormat="1" applyFont="1" applyBorder="1" applyAlignment="1">
      <alignment wrapText="1"/>
    </xf>
    <xf numFmtId="0" fontId="32" fillId="0" borderId="0" xfId="207" applyFont="1" applyAlignment="1">
      <alignment wrapText="1"/>
    </xf>
    <xf numFmtId="0" fontId="6" fillId="0" borderId="0" xfId="179"/>
    <xf numFmtId="3" fontId="6" fillId="0" borderId="0" xfId="179" applyNumberFormat="1" applyAlignment="1">
      <alignment wrapText="1"/>
    </xf>
    <xf numFmtId="3" fontId="6" fillId="0" borderId="0" xfId="179" applyNumberFormat="1"/>
    <xf numFmtId="0" fontId="40" fillId="0" borderId="10" xfId="179" applyFont="1" applyBorder="1" applyAlignment="1">
      <alignment horizontal="center"/>
    </xf>
    <xf numFmtId="3" fontId="40" fillId="0" borderId="10" xfId="179" applyNumberFormat="1" applyFont="1" applyBorder="1" applyAlignment="1">
      <alignment horizontal="center" wrapText="1"/>
    </xf>
    <xf numFmtId="3" fontId="40" fillId="0" borderId="22" xfId="179" applyNumberFormat="1" applyFont="1" applyBorder="1" applyAlignment="1">
      <alignment wrapText="1"/>
    </xf>
    <xf numFmtId="3" fontId="6" fillId="0" borderId="25" xfId="179" applyNumberFormat="1" applyBorder="1"/>
    <xf numFmtId="0" fontId="40" fillId="0" borderId="0" xfId="179" applyFont="1"/>
    <xf numFmtId="3" fontId="40" fillId="0" borderId="16" xfId="179" applyNumberFormat="1" applyFont="1" applyBorder="1" applyAlignment="1">
      <alignment wrapText="1"/>
    </xf>
    <xf numFmtId="3" fontId="40" fillId="0" borderId="18" xfId="179" applyNumberFormat="1" applyFont="1" applyBorder="1"/>
    <xf numFmtId="3" fontId="50" fillId="0" borderId="22" xfId="179" applyNumberFormat="1" applyFont="1" applyBorder="1" applyAlignment="1">
      <alignment wrapText="1"/>
    </xf>
    <xf numFmtId="3" fontId="50" fillId="0" borderId="25" xfId="179" applyNumberFormat="1" applyFont="1" applyBorder="1"/>
    <xf numFmtId="0" fontId="50" fillId="0" borderId="0" xfId="179" applyFont="1"/>
    <xf numFmtId="3" fontId="50" fillId="0" borderId="0" xfId="179" applyNumberFormat="1" applyFont="1"/>
    <xf numFmtId="0" fontId="8" fillId="0" borderId="22" xfId="183" applyFont="1" applyBorder="1" applyAlignment="1">
      <alignment wrapText="1"/>
    </xf>
    <xf numFmtId="3" fontId="8" fillId="0" borderId="25" xfId="179" applyNumberFormat="1" applyFont="1" applyBorder="1"/>
    <xf numFmtId="3" fontId="50" fillId="0" borderId="84" xfId="179" applyNumberFormat="1" applyFont="1" applyBorder="1" applyAlignment="1">
      <alignment wrapText="1"/>
    </xf>
    <xf numFmtId="3" fontId="50" fillId="0" borderId="85" xfId="179" applyNumberFormat="1" applyFont="1" applyBorder="1"/>
    <xf numFmtId="0" fontId="6" fillId="0" borderId="84" xfId="179" applyBorder="1"/>
    <xf numFmtId="3" fontId="6" fillId="0" borderId="27" xfId="179" applyNumberFormat="1" applyBorder="1"/>
    <xf numFmtId="3" fontId="42" fillId="0" borderId="10" xfId="179" applyNumberFormat="1" applyFont="1" applyBorder="1" applyAlignment="1">
      <alignment wrapText="1"/>
    </xf>
    <xf numFmtId="3" fontId="42" fillId="0" borderId="10" xfId="179" applyNumberFormat="1" applyFont="1" applyBorder="1"/>
    <xf numFmtId="0" fontId="42" fillId="0" borderId="0" xfId="179" applyFont="1"/>
    <xf numFmtId="3" fontId="42" fillId="0" borderId="0" xfId="179" applyNumberFormat="1" applyFont="1" applyAlignment="1">
      <alignment wrapText="1"/>
    </xf>
    <xf numFmtId="3" fontId="42" fillId="0" borderId="0" xfId="179" applyNumberFormat="1" applyFont="1"/>
    <xf numFmtId="3" fontId="6" fillId="0" borderId="18" xfId="179" applyNumberFormat="1" applyBorder="1"/>
    <xf numFmtId="3" fontId="8" fillId="0" borderId="22" xfId="179" applyNumberFormat="1" applyFont="1" applyBorder="1" applyAlignment="1">
      <alignment wrapText="1"/>
    </xf>
    <xf numFmtId="3" fontId="41" fillId="0" borderId="25" xfId="179" applyNumberFormat="1" applyFont="1" applyBorder="1"/>
    <xf numFmtId="3" fontId="8" fillId="0" borderId="12" xfId="179" applyNumberFormat="1" applyFont="1" applyBorder="1" applyAlignment="1">
      <alignment wrapText="1"/>
    </xf>
    <xf numFmtId="3" fontId="8" fillId="0" borderId="84" xfId="179" applyNumberFormat="1" applyFont="1" applyBorder="1" applyAlignment="1">
      <alignment wrapText="1"/>
    </xf>
    <xf numFmtId="3" fontId="8" fillId="0" borderId="28" xfId="179" applyNumberFormat="1" applyFont="1" applyBorder="1" applyAlignment="1">
      <alignment wrapText="1"/>
    </xf>
    <xf numFmtId="3" fontId="50" fillId="0" borderId="30" xfId="179" applyNumberFormat="1" applyFont="1" applyBorder="1"/>
    <xf numFmtId="3" fontId="8" fillId="0" borderId="58" xfId="179" applyNumberFormat="1" applyFont="1" applyBorder="1" applyAlignment="1">
      <alignment wrapText="1"/>
    </xf>
    <xf numFmtId="3" fontId="41" fillId="0" borderId="116" xfId="179" applyNumberFormat="1" applyFont="1" applyBorder="1"/>
    <xf numFmtId="0" fontId="43" fillId="0" borderId="110" xfId="179" applyFont="1" applyBorder="1" applyAlignment="1">
      <alignment wrapText="1"/>
    </xf>
    <xf numFmtId="3" fontId="50" fillId="0" borderId="58" xfId="179" applyNumberFormat="1" applyFont="1" applyBorder="1" applyAlignment="1">
      <alignment wrapText="1"/>
    </xf>
    <xf numFmtId="3" fontId="50" fillId="0" borderId="54" xfId="179" applyNumberFormat="1" applyFont="1" applyBorder="1"/>
    <xf numFmtId="3" fontId="41" fillId="0" borderId="30" xfId="179" applyNumberFormat="1" applyFont="1" applyBorder="1"/>
    <xf numFmtId="0" fontId="7" fillId="0" borderId="10" xfId="179" applyFont="1" applyBorder="1" applyAlignment="1">
      <alignment horizontal="center" wrapText="1"/>
    </xf>
    <xf numFmtId="3" fontId="40" fillId="0" borderId="10" xfId="179" applyNumberFormat="1" applyFont="1" applyBorder="1" applyAlignment="1">
      <alignment wrapText="1"/>
    </xf>
    <xf numFmtId="3" fontId="40" fillId="0" borderId="10" xfId="179" applyNumberFormat="1" applyFont="1" applyBorder="1"/>
    <xf numFmtId="3" fontId="7" fillId="0" borderId="41" xfId="179" applyNumberFormat="1" applyFont="1" applyBorder="1"/>
    <xf numFmtId="3" fontId="7" fillId="0" borderId="10" xfId="179" applyNumberFormat="1" applyFont="1" applyBorder="1"/>
    <xf numFmtId="3" fontId="40" fillId="0" borderId="0" xfId="179" applyNumberFormat="1" applyFont="1" applyAlignment="1">
      <alignment wrapText="1"/>
    </xf>
    <xf numFmtId="3" fontId="40" fillId="0" borderId="0" xfId="179" applyNumberFormat="1" applyFont="1"/>
    <xf numFmtId="3" fontId="7" fillId="0" borderId="0" xfId="179" applyNumberFormat="1" applyFont="1"/>
    <xf numFmtId="0" fontId="32" fillId="0" borderId="0" xfId="184" applyFont="1"/>
    <xf numFmtId="3" fontId="32" fillId="0" borderId="0" xfId="184" applyNumberFormat="1" applyFont="1"/>
    <xf numFmtId="3" fontId="31" fillId="0" borderId="0" xfId="184" applyNumberFormat="1" applyFont="1" applyAlignment="1">
      <alignment horizontal="right"/>
    </xf>
    <xf numFmtId="3" fontId="27" fillId="0" borderId="0" xfId="184" applyNumberFormat="1" applyFont="1" applyAlignment="1">
      <alignment horizontal="right"/>
    </xf>
    <xf numFmtId="0" fontId="31" fillId="0" borderId="0" xfId="184" applyFont="1" applyAlignment="1">
      <alignment wrapText="1"/>
    </xf>
    <xf numFmtId="0" fontId="31" fillId="0" borderId="31" xfId="184" applyFont="1" applyBorder="1" applyAlignment="1">
      <alignment horizontal="center"/>
    </xf>
    <xf numFmtId="3" fontId="31" fillId="0" borderId="32" xfId="184" applyNumberFormat="1" applyFont="1" applyBorder="1" applyAlignment="1">
      <alignment horizontal="center"/>
    </xf>
    <xf numFmtId="3" fontId="31" fillId="0" borderId="33" xfId="184" applyNumberFormat="1" applyFont="1" applyBorder="1" applyAlignment="1">
      <alignment horizontal="center"/>
    </xf>
    <xf numFmtId="0" fontId="31" fillId="0" borderId="0" xfId="184" applyFont="1" applyAlignment="1">
      <alignment horizontal="center"/>
    </xf>
    <xf numFmtId="0" fontId="32" fillId="0" borderId="35" xfId="184" applyFont="1" applyBorder="1" applyAlignment="1">
      <alignment wrapText="1"/>
    </xf>
    <xf numFmtId="3" fontId="32" fillId="0" borderId="24" xfId="184" applyNumberFormat="1" applyFont="1" applyBorder="1"/>
    <xf numFmtId="3" fontId="32" fillId="0" borderId="34" xfId="184" applyNumberFormat="1" applyFont="1" applyBorder="1"/>
    <xf numFmtId="0" fontId="74" fillId="0" borderId="0" xfId="184" applyFont="1"/>
    <xf numFmtId="0" fontId="32" fillId="0" borderId="76" xfId="184" applyFont="1" applyBorder="1" applyAlignment="1">
      <alignment wrapText="1"/>
    </xf>
    <xf numFmtId="3" fontId="32" fillId="0" borderId="79" xfId="184" applyNumberFormat="1" applyFont="1" applyBorder="1"/>
    <xf numFmtId="0" fontId="31" fillId="0" borderId="36" xfId="184" applyFont="1" applyBorder="1" applyAlignment="1">
      <alignment wrapText="1"/>
    </xf>
    <xf numFmtId="3" fontId="31" fillId="0" borderId="37" xfId="184" applyNumberFormat="1" applyFont="1" applyBorder="1"/>
    <xf numFmtId="3" fontId="31" fillId="0" borderId="38" xfId="184" applyNumberFormat="1" applyFont="1" applyBorder="1"/>
    <xf numFmtId="3" fontId="31" fillId="0" borderId="0" xfId="184" applyNumberFormat="1" applyFont="1"/>
    <xf numFmtId="0" fontId="31" fillId="0" borderId="0" xfId="184" applyFont="1"/>
    <xf numFmtId="0" fontId="31" fillId="0" borderId="0" xfId="184" applyFont="1" applyAlignment="1">
      <alignment horizontal="left" wrapText="1"/>
    </xf>
    <xf numFmtId="0" fontId="32" fillId="0" borderId="31" xfId="184" applyFont="1" applyBorder="1" applyAlignment="1">
      <alignment horizontal="left" wrapText="1"/>
    </xf>
    <xf numFmtId="3" fontId="32" fillId="0" borderId="32" xfId="184" applyNumberFormat="1" applyFont="1" applyBorder="1"/>
    <xf numFmtId="3" fontId="32" fillId="0" borderId="33" xfId="184" applyNumberFormat="1" applyFont="1" applyBorder="1"/>
    <xf numFmtId="0" fontId="31" fillId="0" borderId="24" xfId="184" applyFont="1" applyBorder="1" applyAlignment="1">
      <alignment wrapText="1"/>
    </xf>
    <xf numFmtId="3" fontId="31" fillId="0" borderId="24" xfId="184" applyNumberFormat="1" applyFont="1" applyBorder="1"/>
    <xf numFmtId="0" fontId="35" fillId="0" borderId="0" xfId="184" applyFont="1"/>
    <xf numFmtId="3" fontId="35" fillId="0" borderId="0" xfId="184" applyNumberFormat="1" applyFont="1"/>
    <xf numFmtId="0" fontId="32" fillId="0" borderId="0" xfId="187" applyFont="1"/>
    <xf numFmtId="0" fontId="31" fillId="0" borderId="0" xfId="187" applyFont="1" applyAlignment="1">
      <alignment horizontal="right"/>
    </xf>
    <xf numFmtId="0" fontId="27" fillId="0" borderId="0" xfId="187" applyFont="1" applyAlignment="1">
      <alignment horizontal="right"/>
    </xf>
    <xf numFmtId="0" fontId="32" fillId="0" borderId="0" xfId="187" applyFont="1" applyAlignment="1">
      <alignment horizontal="right"/>
    </xf>
    <xf numFmtId="0" fontId="31" fillId="0" borderId="10" xfId="176" applyFont="1" applyBorder="1" applyAlignment="1">
      <alignment horizontal="center" wrapText="1"/>
    </xf>
    <xf numFmtId="3" fontId="31" fillId="0" borderId="10" xfId="187" applyNumberFormat="1" applyFont="1" applyBorder="1" applyAlignment="1">
      <alignment horizontal="center" wrapText="1"/>
    </xf>
    <xf numFmtId="0" fontId="31" fillId="0" borderId="10" xfId="181" applyFont="1" applyBorder="1" applyAlignment="1">
      <alignment horizontal="center" wrapText="1"/>
    </xf>
    <xf numFmtId="3" fontId="31" fillId="0" borderId="10" xfId="181" applyNumberFormat="1" applyFont="1" applyBorder="1" applyAlignment="1">
      <alignment horizontal="center"/>
    </xf>
    <xf numFmtId="3" fontId="31" fillId="0" borderId="11" xfId="175" applyNumberFormat="1" applyFont="1" applyBorder="1" applyAlignment="1">
      <alignment wrapText="1"/>
    </xf>
    <xf numFmtId="0" fontId="32" fillId="0" borderId="11" xfId="175" applyFont="1" applyBorder="1"/>
    <xf numFmtId="3" fontId="32" fillId="0" borderId="11" xfId="187" applyNumberFormat="1" applyFont="1" applyBorder="1"/>
    <xf numFmtId="3" fontId="31" fillId="0" borderId="11" xfId="187" applyNumberFormat="1" applyFont="1" applyBorder="1"/>
    <xf numFmtId="3" fontId="32" fillId="0" borderId="21" xfId="187" applyNumberFormat="1" applyFont="1" applyBorder="1"/>
    <xf numFmtId="0" fontId="74" fillId="0" borderId="0" xfId="187" applyFont="1"/>
    <xf numFmtId="3" fontId="32" fillId="0" borderId="0" xfId="187" applyNumberFormat="1" applyFont="1"/>
    <xf numFmtId="3" fontId="31" fillId="0" borderId="13" xfId="175" applyNumberFormat="1" applyFont="1" applyBorder="1" applyAlignment="1">
      <alignment wrapText="1"/>
    </xf>
    <xf numFmtId="3" fontId="31" fillId="0" borderId="14" xfId="187" applyNumberFormat="1" applyFont="1" applyBorder="1"/>
    <xf numFmtId="3" fontId="31" fillId="0" borderId="91" xfId="175" applyNumberFormat="1" applyFont="1" applyBorder="1" applyAlignment="1">
      <alignment wrapText="1"/>
    </xf>
    <xf numFmtId="3" fontId="31" fillId="0" borderId="54" xfId="187" applyNumberFormat="1" applyFont="1" applyBorder="1"/>
    <xf numFmtId="3" fontId="32" fillId="0" borderId="11" xfId="175" applyNumberFormat="1" applyFont="1" applyBorder="1" applyAlignment="1">
      <alignment wrapText="1"/>
    </xf>
    <xf numFmtId="0" fontId="32" fillId="0" borderId="91" xfId="207" applyFont="1" applyBorder="1" applyAlignment="1">
      <alignment wrapText="1"/>
    </xf>
    <xf numFmtId="3" fontId="32" fillId="0" borderId="54" xfId="187" applyNumberFormat="1" applyFont="1" applyBorder="1"/>
    <xf numFmtId="0" fontId="31" fillId="0" borderId="15" xfId="207" applyFont="1" applyBorder="1"/>
    <xf numFmtId="3" fontId="31" fillId="0" borderId="15" xfId="187" applyNumberFormat="1" applyFont="1" applyBorder="1"/>
    <xf numFmtId="3" fontId="31" fillId="0" borderId="0" xfId="187" applyNumberFormat="1" applyFont="1"/>
    <xf numFmtId="0" fontId="33" fillId="0" borderId="31" xfId="186" applyFont="1" applyBorder="1"/>
    <xf numFmtId="0" fontId="33" fillId="0" borderId="32" xfId="186" applyFont="1" applyBorder="1" applyAlignment="1">
      <alignment horizontal="center" wrapText="1"/>
    </xf>
    <xf numFmtId="3" fontId="33" fillId="0" borderId="33" xfId="186" applyNumberFormat="1" applyFont="1" applyBorder="1" applyAlignment="1">
      <alignment horizontal="center" wrapText="1"/>
    </xf>
    <xf numFmtId="0" fontId="33" fillId="0" borderId="0" xfId="186" applyFont="1"/>
    <xf numFmtId="0" fontId="29" fillId="0" borderId="35" xfId="186" applyBorder="1"/>
    <xf numFmtId="0" fontId="29" fillId="0" borderId="24" xfId="186" applyBorder="1" applyAlignment="1">
      <alignment wrapText="1"/>
    </xf>
    <xf numFmtId="3" fontId="29" fillId="0" borderId="34" xfId="186" applyNumberFormat="1" applyBorder="1"/>
    <xf numFmtId="0" fontId="33" fillId="0" borderId="35" xfId="186" applyFont="1" applyBorder="1"/>
    <xf numFmtId="0" fontId="33" fillId="0" borderId="24" xfId="186" applyFont="1" applyBorder="1" applyAlignment="1">
      <alignment wrapText="1"/>
    </xf>
    <xf numFmtId="3" fontId="33" fillId="0" borderId="34" xfId="186" applyNumberFormat="1" applyFont="1" applyBorder="1"/>
    <xf numFmtId="0" fontId="34" fillId="0" borderId="24" xfId="186" applyFont="1" applyBorder="1" applyAlignment="1">
      <alignment wrapText="1"/>
    </xf>
    <xf numFmtId="3" fontId="36" fillId="0" borderId="34" xfId="186" applyNumberFormat="1" applyFont="1" applyBorder="1" applyAlignment="1">
      <alignment horizontal="right" wrapText="1"/>
    </xf>
    <xf numFmtId="0" fontId="64" fillId="0" borderId="24" xfId="186" applyFont="1" applyBorder="1" applyAlignment="1">
      <alignment wrapText="1"/>
    </xf>
    <xf numFmtId="3" fontId="65" fillId="0" borderId="34" xfId="186" applyNumberFormat="1" applyFont="1" applyBorder="1" applyAlignment="1">
      <alignment horizontal="right" wrapText="1"/>
    </xf>
    <xf numFmtId="0" fontId="62" fillId="0" borderId="0" xfId="186" applyFont="1"/>
    <xf numFmtId="3" fontId="29" fillId="0" borderId="34" xfId="186" applyNumberFormat="1" applyBorder="1" applyAlignment="1">
      <alignment horizontal="right"/>
    </xf>
    <xf numFmtId="3" fontId="33" fillId="0" borderId="0" xfId="186" applyNumberFormat="1" applyFont="1"/>
    <xf numFmtId="0" fontId="36" fillId="0" borderId="24" xfId="186" applyFont="1" applyBorder="1" applyAlignment="1">
      <alignment wrapText="1"/>
    </xf>
    <xf numFmtId="3" fontId="36" fillId="0" borderId="34" xfId="186" applyNumberFormat="1" applyFont="1" applyBorder="1"/>
    <xf numFmtId="0" fontId="33" fillId="0" borderId="36" xfId="186" applyFont="1" applyBorder="1"/>
    <xf numFmtId="0" fontId="33" fillId="0" borderId="37" xfId="186" applyFont="1" applyBorder="1" applyAlignment="1">
      <alignment wrapText="1"/>
    </xf>
    <xf numFmtId="3" fontId="33" fillId="0" borderId="38" xfId="186" applyNumberFormat="1" applyFont="1" applyBorder="1"/>
    <xf numFmtId="3" fontId="7" fillId="0" borderId="41" xfId="182" applyNumberFormat="1" applyFont="1" applyBorder="1" applyAlignment="1">
      <alignment horizontal="center"/>
    </xf>
    <xf numFmtId="3" fontId="7" fillId="0" borderId="41" xfId="182" applyNumberFormat="1" applyFont="1" applyBorder="1" applyAlignment="1">
      <alignment horizontal="center" wrapText="1"/>
    </xf>
    <xf numFmtId="3" fontId="7" fillId="0" borderId="10" xfId="182" applyNumberFormat="1" applyFont="1" applyBorder="1" applyAlignment="1">
      <alignment horizontal="center"/>
    </xf>
    <xf numFmtId="3" fontId="7" fillId="0" borderId="10" xfId="182" applyNumberFormat="1" applyFont="1" applyBorder="1" applyAlignment="1">
      <alignment horizontal="center" wrapText="1"/>
    </xf>
    <xf numFmtId="3" fontId="40" fillId="0" borderId="10" xfId="173" applyNumberFormat="1" applyFont="1" applyBorder="1" applyAlignment="1">
      <alignment horizontal="center"/>
    </xf>
    <xf numFmtId="3" fontId="40" fillId="0" borderId="41" xfId="173" applyNumberFormat="1" applyFont="1" applyBorder="1" applyAlignment="1">
      <alignment horizontal="center" wrapText="1"/>
    </xf>
    <xf numFmtId="3" fontId="40" fillId="0" borderId="14" xfId="173" applyNumberFormat="1" applyFont="1" applyBorder="1" applyAlignment="1">
      <alignment horizontal="center" wrapText="1"/>
    </xf>
    <xf numFmtId="3" fontId="40" fillId="0" borderId="10" xfId="173" applyNumberFormat="1" applyFont="1" applyBorder="1" applyAlignment="1">
      <alignment horizontal="center" wrapText="1"/>
    </xf>
    <xf numFmtId="3" fontId="52" fillId="0" borderId="97" xfId="188" applyNumberFormat="1" applyFont="1" applyBorder="1" applyAlignment="1">
      <alignment horizontal="center" vertical="center" wrapText="1"/>
    </xf>
    <xf numFmtId="3" fontId="52" fillId="0" borderId="47" xfId="188" applyNumberFormat="1" applyFont="1" applyBorder="1" applyAlignment="1">
      <alignment horizontal="center" vertical="center" wrapText="1"/>
    </xf>
    <xf numFmtId="3" fontId="7" fillId="0" borderId="0" xfId="0" applyNumberFormat="1" applyFont="1" applyAlignment="1">
      <alignment horizontal="center"/>
    </xf>
    <xf numFmtId="0" fontId="31" fillId="0" borderId="112" xfId="208" applyFont="1" applyBorder="1" applyAlignment="1">
      <alignment horizontal="center" wrapText="1"/>
    </xf>
    <xf numFmtId="0" fontId="31" fillId="0" borderId="102" xfId="208" applyFont="1" applyBorder="1" applyAlignment="1">
      <alignment horizontal="center" wrapText="1"/>
    </xf>
    <xf numFmtId="0" fontId="31" fillId="0" borderId="0" xfId="174" applyFont="1" applyAlignment="1">
      <alignment horizontal="center"/>
    </xf>
    <xf numFmtId="3" fontId="7" fillId="0" borderId="41" xfId="182" applyNumberFormat="1" applyFont="1" applyBorder="1" applyAlignment="1">
      <alignment horizontal="center" wrapText="1"/>
    </xf>
    <xf numFmtId="3" fontId="7" fillId="0" borderId="88" xfId="182" applyNumberFormat="1" applyFont="1" applyBorder="1" applyAlignment="1">
      <alignment horizontal="center" wrapText="1"/>
    </xf>
    <xf numFmtId="3" fontId="7" fillId="0" borderId="14" xfId="182" applyNumberFormat="1" applyFont="1" applyBorder="1" applyAlignment="1">
      <alignment horizontal="center" wrapText="1"/>
    </xf>
    <xf numFmtId="3" fontId="7" fillId="0" borderId="41" xfId="182" applyNumberFormat="1" applyFont="1" applyBorder="1" applyAlignment="1">
      <alignment horizontal="center"/>
    </xf>
    <xf numFmtId="3" fontId="7" fillId="0" borderId="88" xfId="182" applyNumberFormat="1" applyFont="1" applyBorder="1" applyAlignment="1">
      <alignment horizontal="center"/>
    </xf>
    <xf numFmtId="3" fontId="7" fillId="0" borderId="14" xfId="182" applyNumberFormat="1" applyFont="1" applyBorder="1" applyAlignment="1">
      <alignment horizontal="center"/>
    </xf>
    <xf numFmtId="3" fontId="7" fillId="0" borderId="10" xfId="182" applyNumberFormat="1" applyFont="1" applyBorder="1" applyAlignment="1">
      <alignment horizontal="center"/>
    </xf>
    <xf numFmtId="3" fontId="7" fillId="0" borderId="10" xfId="182" applyNumberFormat="1" applyFont="1" applyBorder="1" applyAlignment="1">
      <alignment horizontal="center" wrapText="1"/>
    </xf>
    <xf numFmtId="0" fontId="7" fillId="0" borderId="0" xfId="173" applyFont="1" applyAlignment="1">
      <alignment horizontal="center"/>
    </xf>
    <xf numFmtId="3" fontId="40" fillId="0" borderId="10" xfId="173" applyNumberFormat="1" applyFont="1" applyBorder="1" applyAlignment="1">
      <alignment horizontal="center"/>
    </xf>
    <xf numFmtId="3" fontId="40" fillId="0" borderId="41" xfId="173" applyNumberFormat="1" applyFont="1" applyBorder="1" applyAlignment="1">
      <alignment horizontal="center" wrapText="1"/>
    </xf>
    <xf numFmtId="3" fontId="40" fillId="0" borderId="88" xfId="173" applyNumberFormat="1" applyFont="1" applyBorder="1" applyAlignment="1">
      <alignment horizontal="center" wrapText="1"/>
    </xf>
    <xf numFmtId="3" fontId="40" fillId="0" borderId="14" xfId="173" applyNumberFormat="1" applyFont="1" applyBorder="1" applyAlignment="1">
      <alignment horizontal="center" wrapText="1"/>
    </xf>
    <xf numFmtId="3" fontId="40" fillId="0" borderId="10" xfId="173" applyNumberFormat="1" applyFont="1" applyBorder="1" applyAlignment="1">
      <alignment horizontal="center" wrapText="1"/>
    </xf>
    <xf numFmtId="0" fontId="40" fillId="0" borderId="96" xfId="182" applyFont="1" applyBorder="1" applyAlignment="1">
      <alignment horizontal="center" wrapText="1"/>
    </xf>
    <xf numFmtId="0" fontId="40" fillId="0" borderId="46" xfId="182" applyFont="1" applyBorder="1" applyAlignment="1">
      <alignment horizontal="center" wrapText="1"/>
    </xf>
    <xf numFmtId="0" fontId="40" fillId="0" borderId="96" xfId="173" applyFont="1" applyBorder="1" applyAlignment="1">
      <alignment horizontal="center" wrapText="1"/>
    </xf>
    <xf numFmtId="0" fontId="40" fillId="0" borderId="46" xfId="173" applyFont="1" applyBorder="1" applyAlignment="1">
      <alignment horizontal="center" wrapText="1"/>
    </xf>
    <xf numFmtId="3" fontId="40" fillId="0" borderId="41" xfId="173" applyNumberFormat="1" applyFont="1" applyBorder="1" applyAlignment="1">
      <alignment horizontal="center"/>
    </xf>
    <xf numFmtId="3" fontId="40" fillId="0" borderId="88" xfId="173" applyNumberFormat="1" applyFont="1" applyBorder="1" applyAlignment="1">
      <alignment horizontal="center"/>
    </xf>
    <xf numFmtId="3" fontId="40" fillId="0" borderId="14" xfId="173" applyNumberFormat="1" applyFont="1" applyBorder="1" applyAlignment="1">
      <alignment horizontal="center"/>
    </xf>
    <xf numFmtId="0" fontId="7" fillId="0" borderId="39" xfId="207" applyFont="1" applyBorder="1" applyAlignment="1">
      <alignment horizontal="center" vertical="center"/>
    </xf>
    <xf numFmtId="0" fontId="7" fillId="0" borderId="39" xfId="207" applyFont="1" applyFill="1" applyBorder="1" applyAlignment="1">
      <alignment horizontal="center" vertical="center"/>
    </xf>
    <xf numFmtId="3" fontId="52" fillId="0" borderId="97" xfId="188" applyNumberFormat="1" applyFont="1" applyBorder="1" applyAlignment="1">
      <alignment horizontal="center" vertical="center" wrapText="1"/>
    </xf>
    <xf numFmtId="3" fontId="52" fillId="0" borderId="105" xfId="188" applyNumberFormat="1" applyFont="1" applyBorder="1" applyAlignment="1">
      <alignment horizontal="center" vertical="center" wrapText="1"/>
    </xf>
    <xf numFmtId="3" fontId="66" fillId="0" borderId="66" xfId="188" applyNumberFormat="1" applyFont="1" applyBorder="1" applyAlignment="1">
      <alignment horizontal="center"/>
    </xf>
    <xf numFmtId="3" fontId="66" fillId="0" borderId="67" xfId="188" applyNumberFormat="1" applyFont="1" applyBorder="1" applyAlignment="1">
      <alignment horizontal="center"/>
    </xf>
    <xf numFmtId="3" fontId="52" fillId="0" borderId="110" xfId="188" applyNumberFormat="1" applyFont="1" applyBorder="1" applyAlignment="1">
      <alignment horizontal="center" vertical="center" wrapText="1"/>
    </xf>
    <xf numFmtId="3" fontId="52" fillId="0" borderId="47" xfId="188" applyNumberFormat="1" applyFont="1" applyBorder="1" applyAlignment="1">
      <alignment horizontal="center" vertical="center" wrapText="1"/>
    </xf>
    <xf numFmtId="3" fontId="55" fillId="0" borderId="41" xfId="188" applyNumberFormat="1" applyFont="1" applyBorder="1" applyAlignment="1">
      <alignment horizontal="center"/>
    </xf>
    <xf numFmtId="3" fontId="55" fillId="0" borderId="14" xfId="188" applyNumberFormat="1" applyFont="1" applyBorder="1" applyAlignment="1">
      <alignment horizontal="center"/>
    </xf>
    <xf numFmtId="0" fontId="7" fillId="0" borderId="0" xfId="207" applyFont="1" applyAlignment="1">
      <alignment horizontal="center"/>
    </xf>
    <xf numFmtId="2" fontId="31" fillId="0" borderId="41" xfId="172" applyNumberFormat="1" applyFont="1" applyBorder="1" applyAlignment="1">
      <alignment horizontal="center" wrapText="1"/>
    </xf>
    <xf numFmtId="0" fontId="2" fillId="0" borderId="88" xfId="269" applyBorder="1" applyAlignment="1">
      <alignment horizontal="center" wrapText="1"/>
    </xf>
    <xf numFmtId="0" fontId="2" fillId="0" borderId="14" xfId="269" applyBorder="1" applyAlignment="1">
      <alignment horizontal="center" wrapText="1"/>
    </xf>
    <xf numFmtId="0" fontId="2" fillId="0" borderId="41" xfId="269" applyBorder="1" applyAlignment="1">
      <alignment horizontal="center" wrapText="1"/>
    </xf>
    <xf numFmtId="3" fontId="7" fillId="0" borderId="0" xfId="0" applyNumberFormat="1" applyFont="1" applyAlignment="1">
      <alignment horizontal="center"/>
    </xf>
    <xf numFmtId="0" fontId="63" fillId="0" borderId="0" xfId="157" applyFont="1" applyAlignment="1">
      <alignment horizontal="center" wrapText="1"/>
    </xf>
    <xf numFmtId="0" fontId="31" fillId="0" borderId="0" xfId="207" applyFont="1" applyAlignment="1">
      <alignment horizontal="center" wrapText="1"/>
    </xf>
    <xf numFmtId="0" fontId="51" fillId="0" borderId="0" xfId="178" applyFont="1" applyFill="1" applyAlignment="1">
      <alignment horizontal="center" wrapText="1"/>
    </xf>
    <xf numFmtId="0" fontId="61" fillId="0" borderId="0" xfId="212" applyFont="1" applyAlignment="1">
      <alignment horizontal="center" wrapText="1"/>
    </xf>
    <xf numFmtId="0" fontId="31" fillId="0" borderId="0" xfId="207" applyFont="1" applyAlignment="1">
      <alignment horizontal="center" vertical="center" wrapText="1"/>
    </xf>
    <xf numFmtId="0" fontId="31" fillId="0" borderId="92" xfId="208" applyFont="1" applyBorder="1" applyAlignment="1">
      <alignment horizontal="center" wrapText="1"/>
    </xf>
    <xf numFmtId="0" fontId="31" fillId="0" borderId="112" xfId="208" applyFont="1" applyBorder="1" applyAlignment="1">
      <alignment horizontal="center" wrapText="1"/>
    </xf>
    <xf numFmtId="0" fontId="31" fillId="0" borderId="102" xfId="208" applyFont="1" applyBorder="1" applyAlignment="1">
      <alignment horizontal="center" wrapText="1"/>
    </xf>
    <xf numFmtId="0" fontId="31" fillId="0" borderId="94" xfId="207" applyFont="1" applyBorder="1" applyAlignment="1">
      <alignment horizontal="center" wrapText="1"/>
    </xf>
    <xf numFmtId="0" fontId="31" fillId="0" borderId="20" xfId="207" applyFont="1" applyBorder="1" applyAlignment="1">
      <alignment horizontal="center" wrapText="1"/>
    </xf>
    <xf numFmtId="0" fontId="31" fillId="0" borderId="39" xfId="207" applyFont="1" applyBorder="1" applyAlignment="1">
      <alignment horizontal="center" wrapText="1"/>
    </xf>
    <xf numFmtId="3" fontId="40" fillId="0" borderId="94" xfId="171" applyNumberFormat="1" applyFont="1" applyBorder="1" applyAlignment="1">
      <alignment horizontal="left" wrapText="1"/>
    </xf>
    <xf numFmtId="3" fontId="40" fillId="0" borderId="40" xfId="171" applyNumberFormat="1" applyFont="1" applyBorder="1" applyAlignment="1">
      <alignment horizontal="left" wrapText="1"/>
    </xf>
    <xf numFmtId="3" fontId="40" fillId="0" borderId="94" xfId="171" applyNumberFormat="1" applyFont="1" applyBorder="1" applyAlignment="1">
      <alignment horizontal="left"/>
    </xf>
    <xf numFmtId="3" fontId="40" fillId="0" borderId="40" xfId="171" applyNumberFormat="1" applyFont="1" applyBorder="1" applyAlignment="1">
      <alignment horizontal="left"/>
    </xf>
    <xf numFmtId="12" fontId="40" fillId="0" borderId="113" xfId="171" applyNumberFormat="1" applyFont="1" applyBorder="1" applyAlignment="1">
      <alignment horizontal="left" wrapText="1"/>
    </xf>
    <xf numFmtId="12" fontId="40" fillId="0" borderId="114" xfId="171" applyNumberFormat="1" applyFont="1" applyBorder="1" applyAlignment="1">
      <alignment horizontal="left" wrapText="1"/>
    </xf>
    <xf numFmtId="0" fontId="51" fillId="0" borderId="0" xfId="171" applyFont="1" applyAlignment="1">
      <alignment horizontal="center" wrapText="1"/>
    </xf>
    <xf numFmtId="3" fontId="7" fillId="26" borderId="10" xfId="179" applyNumberFormat="1" applyFont="1" applyFill="1" applyBorder="1" applyAlignment="1">
      <alignment horizontal="center" wrapText="1"/>
    </xf>
    <xf numFmtId="3" fontId="42" fillId="26" borderId="10" xfId="179" applyNumberFormat="1" applyFont="1" applyFill="1" applyBorder="1" applyAlignment="1">
      <alignment horizontal="center" wrapText="1"/>
    </xf>
    <xf numFmtId="3" fontId="7" fillId="0" borderId="0" xfId="179" applyNumberFormat="1" applyFont="1" applyAlignment="1">
      <alignment horizontal="center" wrapText="1"/>
    </xf>
    <xf numFmtId="0" fontId="42" fillId="0" borderId="96" xfId="179" applyFont="1" applyBorder="1" applyAlignment="1">
      <alignment horizontal="center" wrapText="1"/>
    </xf>
    <xf numFmtId="0" fontId="42" fillId="0" borderId="91" xfId="179" applyFont="1" applyBorder="1" applyAlignment="1">
      <alignment horizontal="center" wrapText="1"/>
    </xf>
    <xf numFmtId="0" fontId="42" fillId="0" borderId="46" xfId="179" applyFont="1" applyBorder="1" applyAlignment="1">
      <alignment horizontal="center" wrapText="1"/>
    </xf>
    <xf numFmtId="0" fontId="43" fillId="0" borderId="96" xfId="179" applyFont="1" applyBorder="1" applyAlignment="1">
      <alignment horizontal="center" wrapText="1"/>
    </xf>
    <xf numFmtId="0" fontId="43" fillId="0" borderId="91" xfId="179" applyFont="1" applyBorder="1" applyAlignment="1">
      <alignment horizontal="center" wrapText="1"/>
    </xf>
    <xf numFmtId="0" fontId="43" fillId="0" borderId="46" xfId="179" applyFont="1" applyBorder="1" applyAlignment="1">
      <alignment horizontal="center" wrapText="1"/>
    </xf>
    <xf numFmtId="0" fontId="38" fillId="0" borderId="66" xfId="177" applyFont="1" applyFill="1" applyBorder="1" applyAlignment="1">
      <alignment horizontal="center"/>
    </xf>
    <xf numFmtId="0" fontId="38" fillId="0" borderId="74" xfId="177" applyFont="1" applyFill="1" applyBorder="1" applyAlignment="1">
      <alignment horizontal="center"/>
    </xf>
    <xf numFmtId="0" fontId="38" fillId="0" borderId="67" xfId="177" applyFont="1" applyFill="1" applyBorder="1" applyAlignment="1">
      <alignment horizontal="center"/>
    </xf>
    <xf numFmtId="0" fontId="38" fillId="0" borderId="97" xfId="177" applyFont="1" applyFill="1" applyBorder="1" applyAlignment="1">
      <alignment horizontal="center" vertical="center"/>
    </xf>
    <xf numFmtId="0" fontId="37" fillId="0" borderId="105" xfId="177" applyFont="1" applyFill="1" applyBorder="1" applyAlignment="1">
      <alignment vertical="center"/>
    </xf>
    <xf numFmtId="0" fontId="38" fillId="0" borderId="97" xfId="177" applyFont="1" applyFill="1" applyBorder="1" applyAlignment="1">
      <alignment horizontal="center" vertical="center" wrapText="1"/>
    </xf>
    <xf numFmtId="0" fontId="37" fillId="0" borderId="105" xfId="177" applyFont="1" applyFill="1" applyBorder="1" applyAlignment="1">
      <alignment vertical="center" wrapText="1"/>
    </xf>
    <xf numFmtId="0" fontId="38" fillId="0" borderId="105" xfId="177" applyFont="1" applyFill="1" applyBorder="1" applyAlignment="1">
      <alignment horizontal="center" vertical="center" wrapText="1"/>
    </xf>
    <xf numFmtId="0" fontId="37" fillId="0" borderId="0" xfId="177" applyFont="1" applyFill="1" applyAlignment="1">
      <alignment horizontal="left" wrapText="1"/>
    </xf>
    <xf numFmtId="3" fontId="31" fillId="0" borderId="0" xfId="172" applyNumberFormat="1" applyFont="1" applyBorder="1" applyAlignment="1">
      <alignment horizontal="center"/>
    </xf>
    <xf numFmtId="0" fontId="33" fillId="0" borderId="94" xfId="186" applyFont="1" applyBorder="1" applyAlignment="1">
      <alignment horizontal="left"/>
    </xf>
    <xf numFmtId="0" fontId="33" fillId="0" borderId="20" xfId="186" applyFont="1" applyBorder="1" applyAlignment="1">
      <alignment horizontal="left"/>
    </xf>
    <xf numFmtId="0" fontId="33" fillId="0" borderId="103" xfId="186" applyFont="1" applyBorder="1" applyAlignment="1">
      <alignment horizontal="left"/>
    </xf>
    <xf numFmtId="0" fontId="7" fillId="0" borderId="0" xfId="207" applyFont="1" applyAlignment="1">
      <alignment horizontal="center" vertical="top"/>
    </xf>
    <xf numFmtId="3" fontId="1" fillId="0" borderId="97" xfId="271" applyNumberFormat="1" applyBorder="1" applyAlignment="1">
      <alignment horizontal="right"/>
    </xf>
    <xf numFmtId="3" fontId="1" fillId="0" borderId="0" xfId="271" applyNumberFormat="1"/>
    <xf numFmtId="3" fontId="1" fillId="0" borderId="111" xfId="271" applyNumberFormat="1" applyBorder="1" applyAlignment="1">
      <alignment horizontal="right"/>
    </xf>
    <xf numFmtId="3" fontId="1" fillId="0" borderId="105" xfId="271" applyNumberFormat="1" applyBorder="1" applyAlignment="1">
      <alignment horizontal="right"/>
    </xf>
    <xf numFmtId="3" fontId="69" fillId="0" borderId="0" xfId="271" applyNumberFormat="1" applyFont="1"/>
    <xf numFmtId="3" fontId="69" fillId="0" borderId="19" xfId="271" applyNumberFormat="1" applyFont="1" applyBorder="1"/>
    <xf numFmtId="3" fontId="60" fillId="0" borderId="0" xfId="271" applyNumberFormat="1" applyFont="1"/>
    <xf numFmtId="3" fontId="1" fillId="0" borderId="0" xfId="271" applyNumberFormat="1" applyAlignment="1">
      <alignment horizontal="right"/>
    </xf>
    <xf numFmtId="0" fontId="32" fillId="0" borderId="62" xfId="157" applyFont="1" applyBorder="1" applyAlignment="1">
      <alignment wrapText="1"/>
    </xf>
    <xf numFmtId="0" fontId="0" fillId="0" borderId="34" xfId="0" applyBorder="1" applyAlignment="1">
      <alignment vertical="top" wrapText="1"/>
    </xf>
    <xf numFmtId="0" fontId="8" fillId="0" borderId="34" xfId="265" applyFont="1" applyBorder="1" applyAlignment="1">
      <alignment horizontal="left" vertical="top" wrapText="1"/>
    </xf>
    <xf numFmtId="0" fontId="0" fillId="0" borderId="34" xfId="265" applyFont="1" applyBorder="1" applyAlignment="1">
      <alignment vertical="top" wrapText="1"/>
    </xf>
    <xf numFmtId="0" fontId="0" fillId="0" borderId="71" xfId="265" applyFont="1" applyBorder="1" applyAlignment="1">
      <alignment wrapText="1"/>
    </xf>
    <xf numFmtId="3" fontId="28" fillId="0" borderId="0" xfId="157" applyNumberFormat="1"/>
    <xf numFmtId="3" fontId="0" fillId="0" borderId="0" xfId="208" applyNumberFormat="1" applyFont="1"/>
    <xf numFmtId="3" fontId="32" fillId="0" borderId="62" xfId="210" applyNumberFormat="1" applyFont="1" applyFill="1" applyBorder="1"/>
    <xf numFmtId="3" fontId="31" fillId="0" borderId="62" xfId="210" applyNumberFormat="1" applyFont="1" applyFill="1" applyBorder="1"/>
    <xf numFmtId="3" fontId="27" fillId="0" borderId="62" xfId="210" applyNumberFormat="1" applyFont="1" applyFill="1" applyBorder="1" applyAlignment="1"/>
    <xf numFmtId="3" fontId="31" fillId="0" borderId="81" xfId="210" applyNumberFormat="1" applyFont="1" applyFill="1" applyBorder="1"/>
    <xf numFmtId="3" fontId="74" fillId="0" borderId="0" xfId="184" applyNumberFormat="1" applyFont="1"/>
    <xf numFmtId="3" fontId="78" fillId="0" borderId="0" xfId="184" applyNumberFormat="1" applyFont="1" applyAlignment="1">
      <alignment horizontal="center"/>
    </xf>
    <xf numFmtId="0" fontId="78" fillId="0" borderId="0" xfId="184" applyFont="1" applyAlignment="1">
      <alignment horizontal="center"/>
    </xf>
    <xf numFmtId="165" fontId="32" fillId="0" borderId="0" xfId="268" applyNumberFormat="1" applyFont="1" applyFill="1"/>
    <xf numFmtId="3" fontId="32" fillId="27" borderId="0" xfId="184" applyNumberFormat="1" applyFont="1" applyFill="1"/>
    <xf numFmtId="3" fontId="79" fillId="0" borderId="0" xfId="186" applyNumberFormat="1" applyFont="1" applyAlignment="1">
      <alignment horizontal="right"/>
    </xf>
    <xf numFmtId="3" fontId="80" fillId="0" borderId="0" xfId="186" applyNumberFormat="1" applyFont="1" applyAlignment="1">
      <alignment horizontal="right"/>
    </xf>
    <xf numFmtId="3" fontId="29" fillId="0" borderId="0" xfId="186" applyNumberFormat="1" applyAlignment="1">
      <alignment horizontal="right"/>
    </xf>
    <xf numFmtId="0" fontId="33" fillId="0" borderId="0" xfId="186" applyFont="1" applyAlignment="1">
      <alignment horizontal="center" wrapText="1"/>
    </xf>
    <xf numFmtId="0" fontId="33" fillId="0" borderId="0" xfId="186" applyFont="1" applyAlignment="1">
      <alignment horizontal="center" wrapText="1"/>
    </xf>
  </cellXfs>
  <cellStyles count="272">
    <cellStyle name="20% - 1. jelölőszín" xfId="1" builtinId="30" customBuiltin="1"/>
    <cellStyle name="20% - 1. jelölőszín 2" xfId="2" xr:uid="{00000000-0005-0000-0000-000003000000}"/>
    <cellStyle name="20% - 1. jelölőszín 3" xfId="3" xr:uid="{00000000-0005-0000-0000-000004000000}"/>
    <cellStyle name="20% - 1. jelölőszín 4" xfId="214" xr:uid="{00000000-0005-0000-0000-000005000000}"/>
    <cellStyle name="20% - 2. jelölőszín" xfId="4" builtinId="34" customBuiltin="1"/>
    <cellStyle name="20% - 2. jelölőszín 2" xfId="5" xr:uid="{00000000-0005-0000-0000-000007000000}"/>
    <cellStyle name="20% - 2. jelölőszín 3" xfId="6" xr:uid="{00000000-0005-0000-0000-000008000000}"/>
    <cellStyle name="20% - 2. jelölőszín 4" xfId="215" xr:uid="{00000000-0005-0000-0000-000009000000}"/>
    <cellStyle name="20% - 3. jelölőszín" xfId="7" builtinId="38" customBuiltin="1"/>
    <cellStyle name="20% - 3. jelölőszín 2" xfId="8" xr:uid="{00000000-0005-0000-0000-00000B000000}"/>
    <cellStyle name="20% - 3. jelölőszín 3" xfId="9" xr:uid="{00000000-0005-0000-0000-00000C000000}"/>
    <cellStyle name="20% - 3. jelölőszín 4" xfId="216" xr:uid="{00000000-0005-0000-0000-00000D000000}"/>
    <cellStyle name="20% - 4. jelölőszín" xfId="10" builtinId="42" customBuiltin="1"/>
    <cellStyle name="20% - 4. jelölőszín 2" xfId="11" xr:uid="{00000000-0005-0000-0000-00000F000000}"/>
    <cellStyle name="20% - 4. jelölőszín 3" xfId="12" xr:uid="{00000000-0005-0000-0000-000010000000}"/>
    <cellStyle name="20% - 4. jelölőszín 4" xfId="217" xr:uid="{00000000-0005-0000-0000-000011000000}"/>
    <cellStyle name="20% - 5. jelölőszín" xfId="13" builtinId="46" customBuiltin="1"/>
    <cellStyle name="20% - 5. jelölőszín 2" xfId="14" xr:uid="{00000000-0005-0000-0000-000013000000}"/>
    <cellStyle name="20% - 5. jelölőszín 3" xfId="15" xr:uid="{00000000-0005-0000-0000-000014000000}"/>
    <cellStyle name="20% - 5. jelölőszín 4" xfId="218" xr:uid="{00000000-0005-0000-0000-000015000000}"/>
    <cellStyle name="20% - 6. jelölőszín" xfId="16" builtinId="50" customBuiltin="1"/>
    <cellStyle name="20% - 6. jelölőszín 2" xfId="17" xr:uid="{00000000-0005-0000-0000-000017000000}"/>
    <cellStyle name="20% - 6. jelölőszín 3" xfId="18" xr:uid="{00000000-0005-0000-0000-000018000000}"/>
    <cellStyle name="20% - 6. jelölőszín 4" xfId="219" xr:uid="{00000000-0005-0000-0000-000019000000}"/>
    <cellStyle name="20% - Accent1" xfId="19" xr:uid="{00000000-0005-0000-0000-00001A000000}"/>
    <cellStyle name="20% - Accent2" xfId="20" xr:uid="{00000000-0005-0000-0000-00001B000000}"/>
    <cellStyle name="20% - Accent3" xfId="21" xr:uid="{00000000-0005-0000-0000-00001C000000}"/>
    <cellStyle name="20% - Accent4" xfId="22" xr:uid="{00000000-0005-0000-0000-00001D000000}"/>
    <cellStyle name="20% - Accent5" xfId="23" xr:uid="{00000000-0005-0000-0000-00001E000000}"/>
    <cellStyle name="20% - Accent6" xfId="24" xr:uid="{00000000-0005-0000-0000-00001F000000}"/>
    <cellStyle name="40% - 1. jelölőszín" xfId="25" builtinId="31" customBuiltin="1"/>
    <cellStyle name="40% - 1. jelölőszín 2" xfId="26" xr:uid="{00000000-0005-0000-0000-000023000000}"/>
    <cellStyle name="40% - 1. jelölőszín 3" xfId="27" xr:uid="{00000000-0005-0000-0000-000024000000}"/>
    <cellStyle name="40% - 1. jelölőszín 4" xfId="220" xr:uid="{00000000-0005-0000-0000-000025000000}"/>
    <cellStyle name="40% - 2. jelölőszín" xfId="28" builtinId="35" customBuiltin="1"/>
    <cellStyle name="40% - 2. jelölőszín 2" xfId="29" xr:uid="{00000000-0005-0000-0000-000027000000}"/>
    <cellStyle name="40% - 2. jelölőszín 3" xfId="30" xr:uid="{00000000-0005-0000-0000-000028000000}"/>
    <cellStyle name="40% - 2. jelölőszín 4" xfId="221" xr:uid="{00000000-0005-0000-0000-000029000000}"/>
    <cellStyle name="40% - 3. jelölőszín" xfId="31" builtinId="39" customBuiltin="1"/>
    <cellStyle name="40% - 3. jelölőszín 2" xfId="32" xr:uid="{00000000-0005-0000-0000-00002B000000}"/>
    <cellStyle name="40% - 3. jelölőszín 3" xfId="33" xr:uid="{00000000-0005-0000-0000-00002C000000}"/>
    <cellStyle name="40% - 3. jelölőszín 4" xfId="222" xr:uid="{00000000-0005-0000-0000-00002D000000}"/>
    <cellStyle name="40% - 4. jelölőszín" xfId="34" builtinId="43" customBuiltin="1"/>
    <cellStyle name="40% - 4. jelölőszín 2" xfId="35" xr:uid="{00000000-0005-0000-0000-00002F000000}"/>
    <cellStyle name="40% - 4. jelölőszín 3" xfId="36" xr:uid="{00000000-0005-0000-0000-000030000000}"/>
    <cellStyle name="40% - 4. jelölőszín 4" xfId="223" xr:uid="{00000000-0005-0000-0000-000031000000}"/>
    <cellStyle name="40% - 5. jelölőszín" xfId="37" builtinId="47" customBuiltin="1"/>
    <cellStyle name="40% - 5. jelölőszín 2" xfId="38" xr:uid="{00000000-0005-0000-0000-000033000000}"/>
    <cellStyle name="40% - 5. jelölőszín 3" xfId="39" xr:uid="{00000000-0005-0000-0000-000034000000}"/>
    <cellStyle name="40% - 5. jelölőszín 4" xfId="224" xr:uid="{00000000-0005-0000-0000-000035000000}"/>
    <cellStyle name="40% - 6. jelölőszín" xfId="40" builtinId="51" customBuiltin="1"/>
    <cellStyle name="40% - 6. jelölőszín 2" xfId="41" xr:uid="{00000000-0005-0000-0000-000037000000}"/>
    <cellStyle name="40% - 6. jelölőszín 3" xfId="42" xr:uid="{00000000-0005-0000-0000-000038000000}"/>
    <cellStyle name="40% - 6. jelölőszín 4" xfId="225" xr:uid="{00000000-0005-0000-0000-000039000000}"/>
    <cellStyle name="40% - Accent1" xfId="43" xr:uid="{00000000-0005-0000-0000-00003A000000}"/>
    <cellStyle name="40% - Accent2" xfId="44" xr:uid="{00000000-0005-0000-0000-00003B000000}"/>
    <cellStyle name="40% - Accent3" xfId="45" xr:uid="{00000000-0005-0000-0000-00003C000000}"/>
    <cellStyle name="40% - Accent4" xfId="46" xr:uid="{00000000-0005-0000-0000-00003D000000}"/>
    <cellStyle name="40% - Accent5" xfId="47" xr:uid="{00000000-0005-0000-0000-00003E000000}"/>
    <cellStyle name="40% - Accent6" xfId="48" xr:uid="{00000000-0005-0000-0000-00003F000000}"/>
    <cellStyle name="60% - 1. jelölőszín" xfId="49" builtinId="32" customBuiltin="1"/>
    <cellStyle name="60% - 1. jelölőszín 2" xfId="50" xr:uid="{00000000-0005-0000-0000-000043000000}"/>
    <cellStyle name="60% - 1. jelölőszín 3" xfId="51" xr:uid="{00000000-0005-0000-0000-000044000000}"/>
    <cellStyle name="60% - 1. jelölőszín 4" xfId="226" xr:uid="{00000000-0005-0000-0000-000045000000}"/>
    <cellStyle name="60% - 2. jelölőszín" xfId="52" builtinId="36" customBuiltin="1"/>
    <cellStyle name="60% - 2. jelölőszín 2" xfId="53" xr:uid="{00000000-0005-0000-0000-000047000000}"/>
    <cellStyle name="60% - 2. jelölőszín 3" xfId="54" xr:uid="{00000000-0005-0000-0000-000048000000}"/>
    <cellStyle name="60% - 2. jelölőszín 4" xfId="227" xr:uid="{00000000-0005-0000-0000-000049000000}"/>
    <cellStyle name="60% - 3. jelölőszín" xfId="55" builtinId="40" customBuiltin="1"/>
    <cellStyle name="60% - 3. jelölőszín 2" xfId="56" xr:uid="{00000000-0005-0000-0000-00004B000000}"/>
    <cellStyle name="60% - 3. jelölőszín 3" xfId="57" xr:uid="{00000000-0005-0000-0000-00004C000000}"/>
    <cellStyle name="60% - 3. jelölőszín 4" xfId="228" xr:uid="{00000000-0005-0000-0000-00004D000000}"/>
    <cellStyle name="60% - 4. jelölőszín" xfId="58" builtinId="44" customBuiltin="1"/>
    <cellStyle name="60% - 4. jelölőszín 2" xfId="59" xr:uid="{00000000-0005-0000-0000-00004F000000}"/>
    <cellStyle name="60% - 4. jelölőszín 3" xfId="60" xr:uid="{00000000-0005-0000-0000-000050000000}"/>
    <cellStyle name="60% - 4. jelölőszín 4" xfId="229" xr:uid="{00000000-0005-0000-0000-000051000000}"/>
    <cellStyle name="60% - 5. jelölőszín" xfId="61" builtinId="48" customBuiltin="1"/>
    <cellStyle name="60% - 5. jelölőszín 2" xfId="62" xr:uid="{00000000-0005-0000-0000-000053000000}"/>
    <cellStyle name="60% - 5. jelölőszín 3" xfId="63" xr:uid="{00000000-0005-0000-0000-000054000000}"/>
    <cellStyle name="60% - 5. jelölőszín 4" xfId="230" xr:uid="{00000000-0005-0000-0000-000055000000}"/>
    <cellStyle name="60% - 6. jelölőszín" xfId="64" builtinId="52" customBuiltin="1"/>
    <cellStyle name="60% - 6. jelölőszín 2" xfId="65" xr:uid="{00000000-0005-0000-0000-000057000000}"/>
    <cellStyle name="60% - 6. jelölőszín 3" xfId="66" xr:uid="{00000000-0005-0000-0000-000058000000}"/>
    <cellStyle name="60% - 6. jelölőszín 4" xfId="231" xr:uid="{00000000-0005-0000-0000-000059000000}"/>
    <cellStyle name="60% - Accent1" xfId="67" xr:uid="{00000000-0005-0000-0000-00005A000000}"/>
    <cellStyle name="60% - Accent2" xfId="68" xr:uid="{00000000-0005-0000-0000-00005B000000}"/>
    <cellStyle name="60% - Accent3" xfId="69" xr:uid="{00000000-0005-0000-0000-00005C000000}"/>
    <cellStyle name="60% - Accent4" xfId="70" xr:uid="{00000000-0005-0000-0000-00005D000000}"/>
    <cellStyle name="60% - Accent5" xfId="71" xr:uid="{00000000-0005-0000-0000-00005E000000}"/>
    <cellStyle name="60% - Accent6" xfId="72" xr:uid="{00000000-0005-0000-0000-00005F000000}"/>
    <cellStyle name="Accent1" xfId="73" xr:uid="{00000000-0005-0000-0000-000060000000}"/>
    <cellStyle name="Accent2" xfId="74" xr:uid="{00000000-0005-0000-0000-000061000000}"/>
    <cellStyle name="Accent3" xfId="75" xr:uid="{00000000-0005-0000-0000-000062000000}"/>
    <cellStyle name="Accent4" xfId="76" xr:uid="{00000000-0005-0000-0000-000063000000}"/>
    <cellStyle name="Accent5" xfId="77" xr:uid="{00000000-0005-0000-0000-000064000000}"/>
    <cellStyle name="Accent6" xfId="78" xr:uid="{00000000-0005-0000-0000-000065000000}"/>
    <cellStyle name="Bad" xfId="79" xr:uid="{00000000-0005-0000-0000-000066000000}"/>
    <cellStyle name="Bevitel" xfId="80" builtinId="20" customBuiltin="1"/>
    <cellStyle name="Bevitel 2" xfId="81" xr:uid="{00000000-0005-0000-0000-000068000000}"/>
    <cellStyle name="Bevitel 3" xfId="82" xr:uid="{00000000-0005-0000-0000-000069000000}"/>
    <cellStyle name="Bevitel 4" xfId="232" xr:uid="{00000000-0005-0000-0000-00006A000000}"/>
    <cellStyle name="Calculation" xfId="83" xr:uid="{00000000-0005-0000-0000-00006B000000}"/>
    <cellStyle name="Check Cell" xfId="84" xr:uid="{00000000-0005-0000-0000-00006C000000}"/>
    <cellStyle name="Cím" xfId="85" builtinId="15" customBuiltin="1"/>
    <cellStyle name="Cím 2" xfId="86" xr:uid="{00000000-0005-0000-0000-00006E000000}"/>
    <cellStyle name="Cím 3" xfId="87" xr:uid="{00000000-0005-0000-0000-00006F000000}"/>
    <cellStyle name="Cím 4" xfId="233" xr:uid="{00000000-0005-0000-0000-000070000000}"/>
    <cellStyle name="Címsor 1" xfId="88" builtinId="16" customBuiltin="1"/>
    <cellStyle name="Címsor 1 2" xfId="89" xr:uid="{00000000-0005-0000-0000-000072000000}"/>
    <cellStyle name="Címsor 1 3" xfId="90" xr:uid="{00000000-0005-0000-0000-000073000000}"/>
    <cellStyle name="Címsor 1 4" xfId="234" xr:uid="{00000000-0005-0000-0000-000074000000}"/>
    <cellStyle name="Címsor 2" xfId="91" builtinId="17" customBuiltin="1"/>
    <cellStyle name="Címsor 2 2" xfId="92" xr:uid="{00000000-0005-0000-0000-000076000000}"/>
    <cellStyle name="Címsor 2 3" xfId="93" xr:uid="{00000000-0005-0000-0000-000077000000}"/>
    <cellStyle name="Címsor 2 4" xfId="235" xr:uid="{00000000-0005-0000-0000-000078000000}"/>
    <cellStyle name="Címsor 3" xfId="94" builtinId="18" customBuiltin="1"/>
    <cellStyle name="Címsor 3 2" xfId="95" xr:uid="{00000000-0005-0000-0000-00007A000000}"/>
    <cellStyle name="Címsor 3 3" xfId="96" xr:uid="{00000000-0005-0000-0000-00007B000000}"/>
    <cellStyle name="Címsor 3 4" xfId="236" xr:uid="{00000000-0005-0000-0000-00007C000000}"/>
    <cellStyle name="Címsor 4" xfId="97" builtinId="19" customBuiltin="1"/>
    <cellStyle name="Címsor 4 2" xfId="98" xr:uid="{00000000-0005-0000-0000-00007E000000}"/>
    <cellStyle name="Címsor 4 3" xfId="99" xr:uid="{00000000-0005-0000-0000-00007F000000}"/>
    <cellStyle name="Címsor 4 4" xfId="237" xr:uid="{00000000-0005-0000-0000-000080000000}"/>
    <cellStyle name="Ellenőrzőcella" xfId="100" builtinId="23" customBuiltin="1"/>
    <cellStyle name="Ellenőrzőcella 2" xfId="101" xr:uid="{00000000-0005-0000-0000-000082000000}"/>
    <cellStyle name="Ellenőrzőcella 3" xfId="102" xr:uid="{00000000-0005-0000-0000-000083000000}"/>
    <cellStyle name="Ellenőrzőcella 4" xfId="238" xr:uid="{00000000-0005-0000-0000-000084000000}"/>
    <cellStyle name="Explanatory Text" xfId="103" xr:uid="{00000000-0005-0000-0000-000085000000}"/>
    <cellStyle name="Ezres" xfId="268" builtinId="3"/>
    <cellStyle name="Ezres 2" xfId="104" xr:uid="{00000000-0005-0000-0000-000086000000}"/>
    <cellStyle name="Ezres 2 2" xfId="210" xr:uid="{00000000-0005-0000-0000-000087000000}"/>
    <cellStyle name="Ezres 3" xfId="105" xr:uid="{00000000-0005-0000-0000-000088000000}"/>
    <cellStyle name="Ezres 3 2" xfId="239" xr:uid="{00000000-0005-0000-0000-000089000000}"/>
    <cellStyle name="Figyelmeztetés" xfId="106" builtinId="11" customBuiltin="1"/>
    <cellStyle name="Figyelmeztetés 2" xfId="107" xr:uid="{00000000-0005-0000-0000-00008B000000}"/>
    <cellStyle name="Figyelmeztetés 3" xfId="108" xr:uid="{00000000-0005-0000-0000-00008C000000}"/>
    <cellStyle name="Figyelmeztetés 4" xfId="240" xr:uid="{00000000-0005-0000-0000-00008D000000}"/>
    <cellStyle name="Good" xfId="109" xr:uid="{00000000-0005-0000-0000-00008E000000}"/>
    <cellStyle name="Heading 1" xfId="110" xr:uid="{00000000-0005-0000-0000-00008F000000}"/>
    <cellStyle name="Heading 2" xfId="111" xr:uid="{00000000-0005-0000-0000-000090000000}"/>
    <cellStyle name="Heading 3" xfId="112" xr:uid="{00000000-0005-0000-0000-000091000000}"/>
    <cellStyle name="Heading 4" xfId="113" xr:uid="{00000000-0005-0000-0000-000092000000}"/>
    <cellStyle name="Hivatkozott cella" xfId="114" builtinId="24" customBuiltin="1"/>
    <cellStyle name="Hivatkozott cella 2" xfId="115" xr:uid="{00000000-0005-0000-0000-000094000000}"/>
    <cellStyle name="Hivatkozott cella 3" xfId="116" xr:uid="{00000000-0005-0000-0000-000095000000}"/>
    <cellStyle name="Hivatkozott cella 4" xfId="241" xr:uid="{00000000-0005-0000-0000-000096000000}"/>
    <cellStyle name="Input" xfId="117" xr:uid="{00000000-0005-0000-0000-000097000000}"/>
    <cellStyle name="Jegyzet" xfId="118" builtinId="10" customBuiltin="1"/>
    <cellStyle name="Jegyzet 2" xfId="119" xr:uid="{00000000-0005-0000-0000-000099000000}"/>
    <cellStyle name="Jegyzet 3" xfId="120" xr:uid="{00000000-0005-0000-0000-00009A000000}"/>
    <cellStyle name="Jegyzet 4" xfId="121" xr:uid="{00000000-0005-0000-0000-00009B000000}"/>
    <cellStyle name="Jegyzet 5" xfId="242" xr:uid="{00000000-0005-0000-0000-00009C000000}"/>
    <cellStyle name="Jelölőszín (1) 2" xfId="123" xr:uid="{00000000-0005-0000-0000-00009D000000}"/>
    <cellStyle name="Jelölőszín (1) 3" xfId="124" xr:uid="{00000000-0005-0000-0000-00009E000000}"/>
    <cellStyle name="Jelölőszín (1) 4" xfId="243" xr:uid="{00000000-0005-0000-0000-00009F000000}"/>
    <cellStyle name="Jelölőszín (2) 2" xfId="126" xr:uid="{00000000-0005-0000-0000-0000A0000000}"/>
    <cellStyle name="Jelölőszín (2) 3" xfId="127" xr:uid="{00000000-0005-0000-0000-0000A1000000}"/>
    <cellStyle name="Jelölőszín (2) 4" xfId="244" xr:uid="{00000000-0005-0000-0000-0000A2000000}"/>
    <cellStyle name="Jelölőszín (3) 2" xfId="129" xr:uid="{00000000-0005-0000-0000-0000A3000000}"/>
    <cellStyle name="Jelölőszín (3) 3" xfId="130" xr:uid="{00000000-0005-0000-0000-0000A4000000}"/>
    <cellStyle name="Jelölőszín (3) 4" xfId="245" xr:uid="{00000000-0005-0000-0000-0000A5000000}"/>
    <cellStyle name="Jelölőszín (4) 2" xfId="132" xr:uid="{00000000-0005-0000-0000-0000A6000000}"/>
    <cellStyle name="Jelölőszín (4) 3" xfId="133" xr:uid="{00000000-0005-0000-0000-0000A7000000}"/>
    <cellStyle name="Jelölőszín (4) 4" xfId="246" xr:uid="{00000000-0005-0000-0000-0000A8000000}"/>
    <cellStyle name="Jelölőszín (5) 2" xfId="135" xr:uid="{00000000-0005-0000-0000-0000A9000000}"/>
    <cellStyle name="Jelölőszín (5) 3" xfId="136" xr:uid="{00000000-0005-0000-0000-0000AA000000}"/>
    <cellStyle name="Jelölőszín (5) 4" xfId="247" xr:uid="{00000000-0005-0000-0000-0000AB000000}"/>
    <cellStyle name="Jelölőszín (6) 2" xfId="138" xr:uid="{00000000-0005-0000-0000-0000AC000000}"/>
    <cellStyle name="Jelölőszín (6) 3" xfId="139" xr:uid="{00000000-0005-0000-0000-0000AD000000}"/>
    <cellStyle name="Jelölőszín (6) 4" xfId="248" xr:uid="{00000000-0005-0000-0000-0000AE000000}"/>
    <cellStyle name="Jelölőszín 1" xfId="122" builtinId="29" customBuiltin="1"/>
    <cellStyle name="Jelölőszín 2" xfId="125" builtinId="33" customBuiltin="1"/>
    <cellStyle name="Jelölőszín 3" xfId="128" builtinId="37" customBuiltin="1"/>
    <cellStyle name="Jelölőszín 4" xfId="131" builtinId="41" customBuiltin="1"/>
    <cellStyle name="Jelölőszín 5" xfId="134" builtinId="45" customBuiltin="1"/>
    <cellStyle name="Jelölőszín 6" xfId="137" builtinId="49" customBuiltin="1"/>
    <cellStyle name="Jó" xfId="140" builtinId="26" customBuiltin="1"/>
    <cellStyle name="Jó 2" xfId="141" xr:uid="{00000000-0005-0000-0000-0000B0000000}"/>
    <cellStyle name="Jó 3" xfId="142" xr:uid="{00000000-0005-0000-0000-0000B1000000}"/>
    <cellStyle name="Jó 4" xfId="249" xr:uid="{00000000-0005-0000-0000-0000B2000000}"/>
    <cellStyle name="Kimenet" xfId="143" builtinId="21" customBuiltin="1"/>
    <cellStyle name="Kimenet 2" xfId="144" xr:uid="{00000000-0005-0000-0000-0000B4000000}"/>
    <cellStyle name="Kimenet 3" xfId="145" xr:uid="{00000000-0005-0000-0000-0000B5000000}"/>
    <cellStyle name="Kimenet 4" xfId="250" xr:uid="{00000000-0005-0000-0000-0000B6000000}"/>
    <cellStyle name="Linked Cell" xfId="146" xr:uid="{00000000-0005-0000-0000-0000B7000000}"/>
    <cellStyle name="Magyarázó szöveg" xfId="147" builtinId="53" customBuiltin="1"/>
    <cellStyle name="Magyarázó szöveg 2" xfId="148" xr:uid="{00000000-0005-0000-0000-0000B9000000}"/>
    <cellStyle name="Magyarázó szöveg 3" xfId="149" xr:uid="{00000000-0005-0000-0000-0000BA000000}"/>
    <cellStyle name="Magyarázó szöveg 4" xfId="251" xr:uid="{00000000-0005-0000-0000-0000BB000000}"/>
    <cellStyle name="Neutral" xfId="150" xr:uid="{00000000-0005-0000-0000-0000BC000000}"/>
    <cellStyle name="Normál" xfId="0" builtinId="0"/>
    <cellStyle name="Normál 10" xfId="151" xr:uid="{00000000-0005-0000-0000-0000BE000000}"/>
    <cellStyle name="Normál 11" xfId="209" xr:uid="{00000000-0005-0000-0000-0000BF000000}"/>
    <cellStyle name="Normál 11 2" xfId="252" xr:uid="{00000000-0005-0000-0000-0000C0000000}"/>
    <cellStyle name="Normál 11 3" xfId="253" xr:uid="{00000000-0005-0000-0000-0000C1000000}"/>
    <cellStyle name="Normál 11 3 2" xfId="266" xr:uid="{00000000-0005-0000-0000-0000C2000000}"/>
    <cellStyle name="Normál 11 4" xfId="254" xr:uid="{00000000-0005-0000-0000-0000C3000000}"/>
    <cellStyle name="Normál 11 4 2" xfId="264" xr:uid="{00000000-0005-0000-0000-0000C4000000}"/>
    <cellStyle name="Normál 11 5" xfId="269" xr:uid="{97B30AEA-5344-4C23-9EE2-4CA7A248E665}"/>
    <cellStyle name="Normál 11 5 2" xfId="271" xr:uid="{323B083A-4AAB-48A3-B8CA-25C7AB3EC4F6}"/>
    <cellStyle name="Normál 12" xfId="212" xr:uid="{00000000-0005-0000-0000-0000C5000000}"/>
    <cellStyle name="Normál 13" xfId="255" xr:uid="{00000000-0005-0000-0000-0000C6000000}"/>
    <cellStyle name="Normál 2" xfId="152" xr:uid="{00000000-0005-0000-0000-0000C7000000}"/>
    <cellStyle name="Normál 2 2" xfId="153" xr:uid="{00000000-0005-0000-0000-0000C8000000}"/>
    <cellStyle name="Normál 2 3" xfId="154" xr:uid="{00000000-0005-0000-0000-0000C9000000}"/>
    <cellStyle name="Normál 2 4" xfId="155" xr:uid="{00000000-0005-0000-0000-0000CA000000}"/>
    <cellStyle name="Normál 2 5" xfId="207" xr:uid="{00000000-0005-0000-0000-0000CB000000}"/>
    <cellStyle name="Normál 2_11.sz.melléklet_többéves" xfId="156" xr:uid="{00000000-0005-0000-0000-0000CC000000}"/>
    <cellStyle name="Normál 3" xfId="157" xr:uid="{00000000-0005-0000-0000-0000CD000000}"/>
    <cellStyle name="Normál 3 2" xfId="158" xr:uid="{00000000-0005-0000-0000-0000CE000000}"/>
    <cellStyle name="Normál 3 2 2" xfId="159" xr:uid="{00000000-0005-0000-0000-0000CF000000}"/>
    <cellStyle name="Normál 3 2 2 2" xfId="256" xr:uid="{00000000-0005-0000-0000-0000D0000000}"/>
    <cellStyle name="Normál 3 2 3" xfId="257" xr:uid="{00000000-0005-0000-0000-0000D1000000}"/>
    <cellStyle name="Normál 3 2 4" xfId="258" xr:uid="{00000000-0005-0000-0000-0000D2000000}"/>
    <cellStyle name="Normál 3 2 5" xfId="259" xr:uid="{00000000-0005-0000-0000-0000D3000000}"/>
    <cellStyle name="Normál 3 2 5 2" xfId="267" xr:uid="{00000000-0005-0000-0000-0000D4000000}"/>
    <cellStyle name="Normál 3 2 6" xfId="270" xr:uid="{FB9B3A20-26B1-45D8-A87D-E52BA3CC66CC}"/>
    <cellStyle name="Normál 4" xfId="160" xr:uid="{00000000-0005-0000-0000-0000D5000000}"/>
    <cellStyle name="Normál 5" xfId="161" xr:uid="{00000000-0005-0000-0000-0000D6000000}"/>
    <cellStyle name="Normál 5 2" xfId="162" xr:uid="{00000000-0005-0000-0000-0000D7000000}"/>
    <cellStyle name="Normál 5 2 2" xfId="163" xr:uid="{00000000-0005-0000-0000-0000D8000000}"/>
    <cellStyle name="Normál 5 3" xfId="164" xr:uid="{00000000-0005-0000-0000-0000D9000000}"/>
    <cellStyle name="Normál 5 4" xfId="211" xr:uid="{00000000-0005-0000-0000-0000DA000000}"/>
    <cellStyle name="Normál 5_11.sz.melléklet_többéves" xfId="165" xr:uid="{00000000-0005-0000-0000-0000DB000000}"/>
    <cellStyle name="Normál 6" xfId="166" xr:uid="{00000000-0005-0000-0000-0000DC000000}"/>
    <cellStyle name="Normál 6 2" xfId="167" xr:uid="{00000000-0005-0000-0000-0000DD000000}"/>
    <cellStyle name="Normál 7" xfId="168" xr:uid="{00000000-0005-0000-0000-0000DE000000}"/>
    <cellStyle name="Normál 8" xfId="169" xr:uid="{00000000-0005-0000-0000-0000DF000000}"/>
    <cellStyle name="Normál 9" xfId="170" xr:uid="{00000000-0005-0000-0000-0000E0000000}"/>
    <cellStyle name="Normál_2001-2002. címjegyzék nov.28-i módosítása (1)" xfId="171" xr:uid="{00000000-0005-0000-0000-0000E1000000}"/>
    <cellStyle name="Normál_2001bev jó" xfId="172" xr:uid="{00000000-0005-0000-0000-0000E2000000}"/>
    <cellStyle name="Normál_2003év kiadás" xfId="173" xr:uid="{00000000-0005-0000-0000-0000E3000000}"/>
    <cellStyle name="Normál_2003költségvet" xfId="174" xr:uid="{00000000-0005-0000-0000-0000E4000000}"/>
    <cellStyle name="Normál_2003ktvmod2fin" xfId="175" xr:uid="{00000000-0005-0000-0000-0000E5000000}"/>
    <cellStyle name="Normál_2003terv" xfId="176" xr:uid="{00000000-0005-0000-0000-0000E6000000}"/>
    <cellStyle name="Normál_2006 költségv 2" xfId="177" xr:uid="{00000000-0005-0000-0000-0000E7000000}"/>
    <cellStyle name="Normál_2006éviköltségvetés 2 2" xfId="178" xr:uid="{00000000-0005-0000-0000-0000E8000000}"/>
    <cellStyle name="Normál_2009éviköltségvetés-Móricz Károly 2" xfId="179" xr:uid="{00000000-0005-0000-0000-0000E9000000}"/>
    <cellStyle name="Normál_37-2010. évi III.rendmód 2 2" xfId="208" xr:uid="{00000000-0005-0000-0000-0000EA000000}"/>
    <cellStyle name="Normál_37-2010. évi III.rendmód_4. sz. melléklet 2" xfId="265" xr:uid="{00000000-0005-0000-0000-0000EB000000}"/>
    <cellStyle name="Normál_Áhttáblák 2" xfId="180" xr:uid="{00000000-0005-0000-0000-0000EC000000}"/>
    <cellStyle name="Normál_Áhttáblák_76-3-hiányzó mellékletek" xfId="181" xr:uid="{00000000-0005-0000-0000-0000ED000000}"/>
    <cellStyle name="Normál_bevétel_bevétel_1" xfId="182" xr:uid="{00000000-0005-0000-0000-0000EE000000}"/>
    <cellStyle name="Normál_bevétel_bevétel_1 2" xfId="183" xr:uid="{00000000-0005-0000-0000-0000EF000000}"/>
    <cellStyle name="Normál_bevétel_bevétel_1 2 2 2" xfId="213" xr:uid="{00000000-0005-0000-0000-0000F0000000}"/>
    <cellStyle name="Normál_finansz.2004" xfId="184" xr:uid="{00000000-0005-0000-0000-0000F2000000}"/>
    <cellStyle name="Normál_kiadás_1_2005aprilisrendmod" xfId="185" xr:uid="{00000000-0005-0000-0000-0000F3000000}"/>
    <cellStyle name="Normál_Környezetvédelmi Alap felosztása-01.21." xfId="186" xr:uid="{00000000-0005-0000-0000-0000F4000000}"/>
    <cellStyle name="Normál_kötelezettségváll 2009-ra" xfId="187" xr:uid="{00000000-0005-0000-0000-0000F5000000}"/>
    <cellStyle name="Normál_Munka2 (2)_1_2005aprilisrendmod" xfId="188" xr:uid="{00000000-0005-0000-0000-0000F6000000}"/>
    <cellStyle name="Normál_Turisztikai Alap felhasználása 2012" xfId="189" xr:uid="{00000000-0005-0000-0000-0000F7000000}"/>
    <cellStyle name="Note" xfId="190" xr:uid="{00000000-0005-0000-0000-0000F8000000}"/>
    <cellStyle name="Output" xfId="191" xr:uid="{00000000-0005-0000-0000-0000F9000000}"/>
    <cellStyle name="Összesen" xfId="192" builtinId="25" customBuiltin="1"/>
    <cellStyle name="Összesen 2" xfId="193" xr:uid="{00000000-0005-0000-0000-0000FB000000}"/>
    <cellStyle name="Összesen 3" xfId="194" xr:uid="{00000000-0005-0000-0000-0000FC000000}"/>
    <cellStyle name="Összesen 4" xfId="260" xr:uid="{00000000-0005-0000-0000-0000FD000000}"/>
    <cellStyle name="Rossz" xfId="195" builtinId="27" customBuiltin="1"/>
    <cellStyle name="Rossz 2" xfId="196" xr:uid="{00000000-0005-0000-0000-0000FF000000}"/>
    <cellStyle name="Rossz 3" xfId="197" xr:uid="{00000000-0005-0000-0000-000000010000}"/>
    <cellStyle name="Rossz 4" xfId="261" xr:uid="{00000000-0005-0000-0000-000001010000}"/>
    <cellStyle name="Semleges" xfId="198" builtinId="28" customBuiltin="1"/>
    <cellStyle name="Semleges 2" xfId="199" xr:uid="{00000000-0005-0000-0000-000003010000}"/>
    <cellStyle name="Semleges 3" xfId="200" xr:uid="{00000000-0005-0000-0000-000004010000}"/>
    <cellStyle name="Semleges 4" xfId="262" xr:uid="{00000000-0005-0000-0000-000005010000}"/>
    <cellStyle name="Számítás" xfId="201" builtinId="22" customBuiltin="1"/>
    <cellStyle name="Számítás 2" xfId="202" xr:uid="{00000000-0005-0000-0000-000007010000}"/>
    <cellStyle name="Számítás 3" xfId="203" xr:uid="{00000000-0005-0000-0000-000008010000}"/>
    <cellStyle name="Számítás 4" xfId="263" xr:uid="{00000000-0005-0000-0000-000009010000}"/>
    <cellStyle name="Title" xfId="204" xr:uid="{00000000-0005-0000-0000-00000A010000}"/>
    <cellStyle name="Total" xfId="205" xr:uid="{00000000-0005-0000-0000-00000B010000}"/>
    <cellStyle name="Warning Text" xfId="206" xr:uid="{00000000-0005-0000-0000-00000C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KISARINE\USER\KAISER\5MELLEK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SER\KISARINE\USER\KAISER\5MELLEK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K&#246;lts&#233;gvet&#233;s\2012\Rendeletm&#243;dos&#237;t&#225;s\Decemberi%20rendeletm&#243;dos&#237;t&#225;s\Test&#252;leti\USER\KISARINE\USER\KAISER\5MELLEK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KISARINE/USER/KAISER/5MELLEK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K&#246;lts&#233;gvet&#233;s/Private/2019/Rendeletm&#243;dos&#237;t&#225;s/Decemberi%20rendeletm&#243;dos&#237;t&#225;s/Kihirdetett/2019.%20III.%20rendeletm&#243;dos&#237;t&#225;s_28_2019.(XII.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1 (2)"/>
      <sheetName val="Munka3"/>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1 (2)"/>
      <sheetName val="Munka3"/>
    </sheetNames>
    <sheetDataSet>
      <sheetData sheetId="0" refreshError="1"/>
      <sheetData sheetId="1" refreshError="1"/>
      <sheetData sheetId="2" refreshError="1"/>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1 (2)"/>
      <sheetName val="Munka3"/>
    </sheetNames>
    <sheetDataSet>
      <sheetData sheetId="0" refreshError="1"/>
      <sheetData sheetId="1" refreshError="1"/>
      <sheetData sheetId="2" refreshError="1"/>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 val="Munka2"/>
      <sheetName val="Munka1 (2)"/>
      <sheetName val="Munka3"/>
    </sheetNames>
    <sheetDataSet>
      <sheetData sheetId="0" refreshError="1"/>
      <sheetData sheetId="1" refreshError="1"/>
      <sheetData sheetId="2" refreshError="1"/>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bevétel (kötelező,önként)"/>
      <sheetName val="2 kiadás (kötelező, önként)"/>
      <sheetName val="3 bevétel(szűkített)"/>
      <sheetName val="4 kiadás(szűkített)"/>
      <sheetName val="5 egyenleg"/>
      <sheetName val="7int.bevétel"/>
      <sheetName val="8int.kiadás"/>
      <sheetName val="10 ök kiadás"/>
      <sheetName val="11melléklet"/>
      <sheetName val="12 Fejlesztés"/>
      <sheetName val=" 14 Int.felúj"/>
      <sheetName val="16működési és felhalm "/>
      <sheetName val="17előirányzat felhasz. "/>
      <sheetName val="18többéves"/>
      <sheetName val="23Környezetvéd.alap "/>
    </sheetNames>
    <sheetDataSet>
      <sheetData sheetId="0"/>
      <sheetData sheetId="1">
        <row r="22">
          <cell r="F22">
            <v>54389656</v>
          </cell>
          <cell r="J22">
            <v>179073</v>
          </cell>
          <cell r="R22">
            <v>15148537</v>
          </cell>
          <cell r="V22">
            <v>353657</v>
          </cell>
          <cell r="Z22">
            <v>15502194</v>
          </cell>
          <cell r="AD22">
            <v>69538193</v>
          </cell>
          <cell r="AH22">
            <v>532730</v>
          </cell>
          <cell r="AL22">
            <v>70070923</v>
          </cell>
        </row>
        <row r="26">
          <cell r="C26">
            <v>8801446</v>
          </cell>
          <cell r="D26">
            <v>4839193</v>
          </cell>
          <cell r="E26">
            <v>914279</v>
          </cell>
          <cell r="G26">
            <v>133760</v>
          </cell>
          <cell r="H26">
            <v>19101</v>
          </cell>
          <cell r="I26">
            <v>0</v>
          </cell>
        </row>
      </sheetData>
      <sheetData sheetId="2">
        <row r="50">
          <cell r="K50">
            <v>49363769</v>
          </cell>
        </row>
        <row r="56">
          <cell r="K56">
            <v>18242152</v>
          </cell>
        </row>
        <row r="57">
          <cell r="K57">
            <v>11867289</v>
          </cell>
        </row>
        <row r="58">
          <cell r="K58">
            <v>5305492</v>
          </cell>
        </row>
      </sheetData>
      <sheetData sheetId="3">
        <row r="22">
          <cell r="C22">
            <v>54389656</v>
          </cell>
          <cell r="D22">
            <v>179073</v>
          </cell>
          <cell r="E22">
            <v>54568729</v>
          </cell>
          <cell r="F22">
            <v>15148537</v>
          </cell>
          <cell r="G22">
            <v>353657</v>
          </cell>
          <cell r="H22">
            <v>15502194</v>
          </cell>
          <cell r="K22">
            <v>70070923</v>
          </cell>
        </row>
        <row r="23">
          <cell r="K23">
            <v>2710038</v>
          </cell>
        </row>
        <row r="24">
          <cell r="K24">
            <v>130452</v>
          </cell>
        </row>
        <row r="25">
          <cell r="K25">
            <v>11867289</v>
          </cell>
        </row>
        <row r="26">
          <cell r="C26">
            <v>14554918</v>
          </cell>
          <cell r="D26">
            <v>152861</v>
          </cell>
          <cell r="E26">
            <v>14707779</v>
          </cell>
          <cell r="F26">
            <v>0</v>
          </cell>
          <cell r="G26">
            <v>0</v>
          </cell>
          <cell r="H26">
            <v>0</v>
          </cell>
        </row>
      </sheetData>
      <sheetData sheetId="4" refreshError="1"/>
      <sheetData sheetId="5"/>
      <sheetData sheetId="6"/>
      <sheetData sheetId="7"/>
      <sheetData sheetId="8"/>
      <sheetData sheetId="9"/>
      <sheetData sheetId="10"/>
      <sheetData sheetId="11" refreshError="1"/>
      <sheetData sheetId="12"/>
      <sheetData sheetId="13" refreshError="1"/>
      <sheetData sheetId="14" refreshError="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6991F-1DD3-4A01-BCC3-D2CD2CEB432D}">
  <sheetPr>
    <tabColor theme="7" tint="0.39997558519241921"/>
  </sheetPr>
  <dimension ref="A1:AL90"/>
  <sheetViews>
    <sheetView zoomScale="70" zoomScaleNormal="70" workbookViewId="0">
      <pane xSplit="2" ySplit="8" topLeftCell="C9" activePane="bottomRight" state="frozen"/>
      <selection activeCell="A25" sqref="A25"/>
      <selection pane="topRight" activeCell="A25" sqref="A25"/>
      <selection pane="bottomLeft" activeCell="A25" sqref="A25"/>
      <selection pane="bottomRight" activeCell="A3" sqref="A3"/>
    </sheetView>
  </sheetViews>
  <sheetFormatPr defaultColWidth="9.25" defaultRowHeight="15.75" x14ac:dyDescent="0.25"/>
  <cols>
    <col min="1" max="1" width="37.5" style="348" customWidth="1"/>
    <col min="2" max="2" width="10.375" style="348" customWidth="1"/>
    <col min="3" max="3" width="12.625" style="349" customWidth="1"/>
    <col min="4" max="4" width="13.5" style="349" customWidth="1"/>
    <col min="5" max="5" width="14.5" style="349" customWidth="1"/>
    <col min="6" max="8" width="13.875" style="349" customWidth="1"/>
    <col min="9" max="9" width="15.25" style="349" customWidth="1"/>
    <col min="10" max="12" width="13.875" style="349" customWidth="1"/>
    <col min="13" max="13" width="15" style="349" customWidth="1"/>
    <col min="14" max="14" width="13.875" style="349" customWidth="1"/>
    <col min="15" max="15" width="12.875" style="349" customWidth="1"/>
    <col min="16" max="16" width="13.25" style="349" customWidth="1"/>
    <col min="17" max="17" width="16" style="349" customWidth="1"/>
    <col min="18" max="18" width="14.75" style="349" customWidth="1"/>
    <col min="19" max="20" width="12.625" style="349" customWidth="1"/>
    <col min="21" max="21" width="15.875" style="349" customWidth="1"/>
    <col min="22" max="22" width="14" style="349" customWidth="1"/>
    <col min="23" max="24" width="12.625" style="349" customWidth="1"/>
    <col min="25" max="25" width="15.625" style="349" customWidth="1"/>
    <col min="26" max="26" width="14.25" style="349" customWidth="1"/>
    <col min="27" max="27" width="13.125" style="349" customWidth="1"/>
    <col min="28" max="28" width="13.75" style="349" customWidth="1"/>
    <col min="29" max="29" width="15.25" style="349" customWidth="1"/>
    <col min="30" max="30" width="13.875" style="349" customWidth="1"/>
    <col min="31" max="31" width="13.125" style="349" customWidth="1"/>
    <col min="32" max="32" width="13.75" style="349" customWidth="1"/>
    <col min="33" max="33" width="15.25" style="349" customWidth="1"/>
    <col min="34" max="34" width="13.875" style="349" customWidth="1"/>
    <col min="35" max="35" width="13.125" style="349" customWidth="1"/>
    <col min="36" max="36" width="13.75" style="349" customWidth="1"/>
    <col min="37" max="37" width="15.25" style="349" customWidth="1"/>
    <col min="38" max="38" width="14.25" style="349" customWidth="1"/>
    <col min="39" max="16384" width="9.25" style="349"/>
  </cols>
  <sheetData>
    <row r="1" spans="1:38" x14ac:dyDescent="0.25">
      <c r="C1" s="1024" t="s">
        <v>995</v>
      </c>
      <c r="D1" s="1024"/>
      <c r="E1" s="1024"/>
      <c r="F1" s="1024"/>
      <c r="G1" s="1024"/>
      <c r="H1" s="1024"/>
      <c r="I1" s="1024"/>
      <c r="J1" s="1024"/>
      <c r="K1" s="1024"/>
      <c r="L1" s="1024"/>
      <c r="M1" s="1024"/>
      <c r="N1" s="1024"/>
      <c r="O1" s="1024" t="s">
        <v>995</v>
      </c>
      <c r="P1" s="1024"/>
      <c r="Q1" s="1024"/>
      <c r="R1" s="1024"/>
      <c r="S1" s="1024"/>
      <c r="T1" s="1024"/>
      <c r="U1" s="1024"/>
      <c r="V1" s="1024"/>
      <c r="W1" s="1024"/>
      <c r="X1" s="1024"/>
      <c r="Y1" s="1024"/>
      <c r="Z1" s="1024"/>
      <c r="AA1" s="1024" t="s">
        <v>995</v>
      </c>
      <c r="AB1" s="1024"/>
      <c r="AC1" s="1024"/>
      <c r="AD1" s="1024"/>
      <c r="AE1" s="1024"/>
      <c r="AF1" s="1024"/>
      <c r="AG1" s="1024"/>
      <c r="AH1" s="1024"/>
      <c r="AI1" s="1024"/>
      <c r="AJ1" s="1024"/>
      <c r="AK1" s="1024"/>
      <c r="AL1" s="1024"/>
    </row>
    <row r="2" spans="1:38" x14ac:dyDescent="0.25">
      <c r="C2" s="1024" t="s">
        <v>996</v>
      </c>
      <c r="D2" s="1024"/>
      <c r="E2" s="1024"/>
      <c r="F2" s="1024"/>
      <c r="G2" s="1024"/>
      <c r="H2" s="1024"/>
      <c r="I2" s="1024"/>
      <c r="J2" s="1024"/>
      <c r="K2" s="1024"/>
      <c r="L2" s="1024"/>
      <c r="M2" s="1024"/>
      <c r="N2" s="1024"/>
      <c r="O2" s="1024" t="s">
        <v>996</v>
      </c>
      <c r="P2" s="1024"/>
      <c r="Q2" s="1024"/>
      <c r="R2" s="1024"/>
      <c r="S2" s="1024"/>
      <c r="T2" s="1024"/>
      <c r="U2" s="1024"/>
      <c r="V2" s="1024"/>
      <c r="W2" s="1024"/>
      <c r="X2" s="1024"/>
      <c r="Y2" s="1024"/>
      <c r="Z2" s="1024"/>
      <c r="AA2" s="1024" t="s">
        <v>996</v>
      </c>
      <c r="AB2" s="1024"/>
      <c r="AC2" s="1024"/>
      <c r="AD2" s="1024"/>
      <c r="AE2" s="1024"/>
      <c r="AF2" s="1024"/>
      <c r="AG2" s="1024"/>
      <c r="AH2" s="1024"/>
      <c r="AI2" s="1024"/>
      <c r="AJ2" s="1024"/>
      <c r="AK2" s="1024"/>
      <c r="AL2" s="1024"/>
    </row>
    <row r="3" spans="1:38" x14ac:dyDescent="0.25">
      <c r="C3" s="1024" t="s">
        <v>1228</v>
      </c>
      <c r="D3" s="1024"/>
      <c r="E3" s="1024"/>
      <c r="F3" s="1024"/>
      <c r="G3" s="1024"/>
      <c r="H3" s="1024"/>
      <c r="I3" s="1024"/>
      <c r="J3" s="1024"/>
      <c r="K3" s="1024"/>
      <c r="L3" s="1024"/>
      <c r="M3" s="1024"/>
      <c r="N3" s="1024"/>
      <c r="O3" s="1024" t="s">
        <v>1228</v>
      </c>
      <c r="P3" s="1024"/>
      <c r="Q3" s="1024"/>
      <c r="R3" s="1024"/>
      <c r="S3" s="1024"/>
      <c r="T3" s="1024"/>
      <c r="U3" s="1024"/>
      <c r="V3" s="1024"/>
      <c r="W3" s="1024"/>
      <c r="X3" s="1024"/>
      <c r="Y3" s="1024"/>
      <c r="Z3" s="1024"/>
      <c r="AA3" s="1024" t="s">
        <v>1228</v>
      </c>
      <c r="AB3" s="1024"/>
      <c r="AC3" s="1024"/>
      <c r="AD3" s="1024"/>
      <c r="AE3" s="1024"/>
      <c r="AF3" s="1024"/>
      <c r="AG3" s="1024"/>
      <c r="AH3" s="1024"/>
      <c r="AI3" s="1024"/>
      <c r="AJ3" s="1024"/>
      <c r="AK3" s="1024"/>
      <c r="AL3" s="1024"/>
    </row>
    <row r="4" spans="1:38" ht="16.5" thickBot="1" x14ac:dyDescent="0.3"/>
    <row r="5" spans="1:38" ht="87" customHeight="1" thickTop="1" thickBot="1" x14ac:dyDescent="0.3">
      <c r="A5" s="350"/>
      <c r="B5" s="351" t="s">
        <v>1150</v>
      </c>
      <c r="C5" s="1025" t="s">
        <v>26</v>
      </c>
      <c r="D5" s="1026"/>
      <c r="E5" s="1026"/>
      <c r="F5" s="1026"/>
      <c r="G5" s="1026"/>
      <c r="H5" s="1026"/>
      <c r="I5" s="1026"/>
      <c r="J5" s="1026"/>
      <c r="K5" s="1026"/>
      <c r="L5" s="1026"/>
      <c r="M5" s="1026"/>
      <c r="N5" s="1027"/>
      <c r="O5" s="1025" t="s">
        <v>27</v>
      </c>
      <c r="P5" s="1026"/>
      <c r="Q5" s="1026"/>
      <c r="R5" s="1026"/>
      <c r="S5" s="1026"/>
      <c r="T5" s="1026"/>
      <c r="U5" s="1026"/>
      <c r="V5" s="1026"/>
      <c r="W5" s="1026"/>
      <c r="X5" s="1026"/>
      <c r="Y5" s="1026"/>
      <c r="Z5" s="1027"/>
      <c r="AA5" s="1028" t="s">
        <v>181</v>
      </c>
      <c r="AB5" s="1029"/>
      <c r="AC5" s="1029"/>
      <c r="AD5" s="1029"/>
      <c r="AE5" s="1029"/>
      <c r="AF5" s="1029"/>
      <c r="AG5" s="1029"/>
      <c r="AH5" s="1029"/>
      <c r="AI5" s="1029"/>
      <c r="AJ5" s="1029"/>
      <c r="AK5" s="1029"/>
      <c r="AL5" s="1030"/>
    </row>
    <row r="6" spans="1:38" ht="33" customHeight="1" thickTop="1" thickBot="1" x14ac:dyDescent="0.3">
      <c r="A6" s="350" t="s">
        <v>165</v>
      </c>
      <c r="B6" s="351" t="s">
        <v>230</v>
      </c>
      <c r="C6" s="1025" t="s">
        <v>998</v>
      </c>
      <c r="D6" s="1026"/>
      <c r="E6" s="1026"/>
      <c r="F6" s="1027"/>
      <c r="G6" s="1025" t="s">
        <v>997</v>
      </c>
      <c r="H6" s="1026"/>
      <c r="I6" s="1026"/>
      <c r="J6" s="1027"/>
      <c r="K6" s="1025" t="s">
        <v>1151</v>
      </c>
      <c r="L6" s="1026"/>
      <c r="M6" s="1026"/>
      <c r="N6" s="1027"/>
      <c r="O6" s="1025" t="s">
        <v>998</v>
      </c>
      <c r="P6" s="1026"/>
      <c r="Q6" s="1026"/>
      <c r="R6" s="1027"/>
      <c r="S6" s="1032" t="s">
        <v>997</v>
      </c>
      <c r="T6" s="1032"/>
      <c r="U6" s="1032"/>
      <c r="V6" s="1032"/>
      <c r="W6" s="1032" t="s">
        <v>1151</v>
      </c>
      <c r="X6" s="1032"/>
      <c r="Y6" s="1032"/>
      <c r="Z6" s="1032"/>
      <c r="AA6" s="1025" t="s">
        <v>998</v>
      </c>
      <c r="AB6" s="1026"/>
      <c r="AC6" s="1026"/>
      <c r="AD6" s="1027"/>
      <c r="AE6" s="1025" t="s">
        <v>997</v>
      </c>
      <c r="AF6" s="1026"/>
      <c r="AG6" s="1026"/>
      <c r="AH6" s="1027"/>
      <c r="AI6" s="1025" t="s">
        <v>1151</v>
      </c>
      <c r="AJ6" s="1026"/>
      <c r="AK6" s="1026"/>
      <c r="AL6" s="1027"/>
    </row>
    <row r="7" spans="1:38" ht="33" thickTop="1" thickBot="1" x14ac:dyDescent="0.3">
      <c r="A7" s="350"/>
      <c r="B7" s="351"/>
      <c r="C7" s="1012" t="s">
        <v>160</v>
      </c>
      <c r="D7" s="1014" t="s">
        <v>161</v>
      </c>
      <c r="E7" s="1014" t="s">
        <v>563</v>
      </c>
      <c r="F7" s="1014" t="s">
        <v>181</v>
      </c>
      <c r="G7" s="1012" t="s">
        <v>160</v>
      </c>
      <c r="H7" s="1012" t="s">
        <v>161</v>
      </c>
      <c r="I7" s="1012" t="s">
        <v>563</v>
      </c>
      <c r="J7" s="1012" t="s">
        <v>181</v>
      </c>
      <c r="K7" s="1012" t="s">
        <v>160</v>
      </c>
      <c r="L7" s="1012" t="s">
        <v>161</v>
      </c>
      <c r="M7" s="1012" t="s">
        <v>563</v>
      </c>
      <c r="N7" s="1014" t="s">
        <v>181</v>
      </c>
      <c r="O7" s="1012" t="s">
        <v>160</v>
      </c>
      <c r="P7" s="1014" t="s">
        <v>161</v>
      </c>
      <c r="Q7" s="1014" t="s">
        <v>563</v>
      </c>
      <c r="R7" s="1014" t="s">
        <v>181</v>
      </c>
      <c r="S7" s="1012" t="s">
        <v>160</v>
      </c>
      <c r="T7" s="1012" t="s">
        <v>161</v>
      </c>
      <c r="U7" s="1012" t="s">
        <v>563</v>
      </c>
      <c r="V7" s="1012" t="s">
        <v>181</v>
      </c>
      <c r="W7" s="1012" t="s">
        <v>160</v>
      </c>
      <c r="X7" s="1012" t="s">
        <v>161</v>
      </c>
      <c r="Y7" s="1012" t="s">
        <v>563</v>
      </c>
      <c r="Z7" s="1014" t="s">
        <v>181</v>
      </c>
      <c r="AA7" s="1012" t="s">
        <v>160</v>
      </c>
      <c r="AB7" s="1014" t="s">
        <v>161</v>
      </c>
      <c r="AC7" s="1014" t="s">
        <v>563</v>
      </c>
      <c r="AD7" s="1014" t="s">
        <v>181</v>
      </c>
      <c r="AE7" s="1012" t="s">
        <v>160</v>
      </c>
      <c r="AF7" s="1014" t="s">
        <v>161</v>
      </c>
      <c r="AG7" s="1014" t="s">
        <v>563</v>
      </c>
      <c r="AH7" s="1014" t="s">
        <v>181</v>
      </c>
      <c r="AI7" s="1012" t="s">
        <v>160</v>
      </c>
      <c r="AJ7" s="1014" t="s">
        <v>161</v>
      </c>
      <c r="AK7" s="1014" t="s">
        <v>563</v>
      </c>
      <c r="AL7" s="1014" t="s">
        <v>181</v>
      </c>
    </row>
    <row r="8" spans="1:38" ht="17.25" thickTop="1" thickBot="1" x14ac:dyDescent="0.3">
      <c r="A8" s="350" t="s">
        <v>168</v>
      </c>
      <c r="B8" s="351"/>
      <c r="C8" s="1025" t="s">
        <v>999</v>
      </c>
      <c r="D8" s="1026"/>
      <c r="E8" s="1026"/>
      <c r="F8" s="1027"/>
      <c r="G8" s="1032" t="s">
        <v>1000</v>
      </c>
      <c r="H8" s="1032"/>
      <c r="I8" s="1032"/>
      <c r="J8" s="1032"/>
      <c r="K8" s="1032" t="s">
        <v>1001</v>
      </c>
      <c r="L8" s="1032"/>
      <c r="M8" s="1032"/>
      <c r="N8" s="1032"/>
      <c r="O8" s="1028" t="s">
        <v>1002</v>
      </c>
      <c r="P8" s="1029"/>
      <c r="Q8" s="1029"/>
      <c r="R8" s="1030"/>
      <c r="S8" s="1031" t="s">
        <v>1003</v>
      </c>
      <c r="T8" s="1031"/>
      <c r="U8" s="1031"/>
      <c r="V8" s="1031"/>
      <c r="W8" s="1031" t="s">
        <v>1004</v>
      </c>
      <c r="X8" s="1031"/>
      <c r="Y8" s="1031"/>
      <c r="Z8" s="1031"/>
      <c r="AA8" s="1028" t="s">
        <v>1005</v>
      </c>
      <c r="AB8" s="1029"/>
      <c r="AC8" s="1029"/>
      <c r="AD8" s="1030"/>
      <c r="AE8" s="1028" t="s">
        <v>1006</v>
      </c>
      <c r="AF8" s="1029"/>
      <c r="AG8" s="1029"/>
      <c r="AH8" s="1030"/>
      <c r="AI8" s="1028" t="s">
        <v>1007</v>
      </c>
      <c r="AJ8" s="1029"/>
      <c r="AK8" s="1029"/>
      <c r="AL8" s="1030"/>
    </row>
    <row r="9" spans="1:38" ht="32.25" thickTop="1" x14ac:dyDescent="0.25">
      <c r="A9" s="352" t="s">
        <v>294</v>
      </c>
      <c r="B9" s="353" t="s">
        <v>297</v>
      </c>
      <c r="C9" s="354">
        <v>11410</v>
      </c>
      <c r="D9" s="355">
        <v>762</v>
      </c>
      <c r="E9" s="356"/>
      <c r="F9" s="357">
        <f t="shared" ref="F9:F16" si="0">SUM(C9:E9)</f>
        <v>12172</v>
      </c>
      <c r="G9" s="357">
        <f>1600+4449</f>
        <v>6049</v>
      </c>
      <c r="H9" s="357">
        <v>165</v>
      </c>
      <c r="I9" s="357"/>
      <c r="J9" s="357">
        <f>SUM(G9:I9)</f>
        <v>6214</v>
      </c>
      <c r="K9" s="357">
        <f>SUM(G9+C9)</f>
        <v>17459</v>
      </c>
      <c r="L9" s="357">
        <f t="shared" ref="L9:M16" si="1">SUM(H9+D9)</f>
        <v>927</v>
      </c>
      <c r="M9" s="357">
        <f t="shared" si="1"/>
        <v>0</v>
      </c>
      <c r="N9" s="357">
        <f>SUM(K9:M9)</f>
        <v>18386</v>
      </c>
      <c r="O9" s="356"/>
      <c r="P9" s="356"/>
      <c r="Q9" s="356"/>
      <c r="R9" s="356"/>
      <c r="S9" s="356"/>
      <c r="T9" s="356"/>
      <c r="U9" s="356"/>
      <c r="V9" s="356"/>
      <c r="W9" s="356"/>
      <c r="X9" s="356"/>
      <c r="Y9" s="356"/>
      <c r="Z9" s="356"/>
      <c r="AA9" s="358">
        <f t="shared" ref="AA9:AC11" si="2">SUM(O9+C9)</f>
        <v>11410</v>
      </c>
      <c r="AB9" s="358">
        <f t="shared" si="2"/>
        <v>762</v>
      </c>
      <c r="AC9" s="358">
        <f t="shared" si="2"/>
        <v>0</v>
      </c>
      <c r="AD9" s="358">
        <f>SUM(AA9:AC9)</f>
        <v>12172</v>
      </c>
      <c r="AE9" s="358">
        <f>SUM(S9+G9)</f>
        <v>6049</v>
      </c>
      <c r="AF9" s="358">
        <f t="shared" ref="AE9:AG11" si="3">SUM(T9+H9)</f>
        <v>165</v>
      </c>
      <c r="AG9" s="358">
        <f t="shared" si="3"/>
        <v>0</v>
      </c>
      <c r="AH9" s="358">
        <f t="shared" ref="AH9:AH11" si="4">SUM(AE9:AG9)</f>
        <v>6214</v>
      </c>
      <c r="AI9" s="358">
        <f>SUM(W9+K9)</f>
        <v>17459</v>
      </c>
      <c r="AJ9" s="358">
        <f t="shared" ref="AI9:AK11" si="5">SUM(X9+L9)</f>
        <v>927</v>
      </c>
      <c r="AK9" s="358">
        <f t="shared" si="5"/>
        <v>0</v>
      </c>
      <c r="AL9" s="358">
        <f t="shared" ref="AL9:AL11" si="6">SUM(AI9:AK9)</f>
        <v>18386</v>
      </c>
    </row>
    <row r="10" spans="1:38" ht="31.5" x14ac:dyDescent="0.25">
      <c r="A10" s="352" t="s">
        <v>511</v>
      </c>
      <c r="B10" s="352" t="s">
        <v>298</v>
      </c>
      <c r="C10" s="356">
        <v>1901172</v>
      </c>
      <c r="D10" s="355"/>
      <c r="E10" s="356"/>
      <c r="F10" s="357">
        <f t="shared" si="0"/>
        <v>1901172</v>
      </c>
      <c r="G10" s="357">
        <v>-1600</v>
      </c>
      <c r="H10" s="357"/>
      <c r="I10" s="357"/>
      <c r="J10" s="357">
        <f>SUM(G10:I10)</f>
        <v>-1600</v>
      </c>
      <c r="K10" s="357">
        <f t="shared" ref="K10:K16" si="7">SUM(G10+C10)</f>
        <v>1899572</v>
      </c>
      <c r="L10" s="357">
        <f t="shared" si="1"/>
        <v>0</v>
      </c>
      <c r="M10" s="357">
        <f t="shared" si="1"/>
        <v>0</v>
      </c>
      <c r="N10" s="357">
        <f t="shared" ref="N10:N16" si="8">SUM(K10:M10)</f>
        <v>1899572</v>
      </c>
      <c r="O10" s="356"/>
      <c r="P10" s="356"/>
      <c r="Q10" s="356"/>
      <c r="R10" s="356"/>
      <c r="S10" s="356"/>
      <c r="T10" s="356"/>
      <c r="U10" s="356"/>
      <c r="V10" s="356"/>
      <c r="W10" s="356"/>
      <c r="X10" s="356"/>
      <c r="Y10" s="356"/>
      <c r="Z10" s="356"/>
      <c r="AA10" s="358">
        <f t="shared" si="2"/>
        <v>1901172</v>
      </c>
      <c r="AB10" s="358">
        <f t="shared" si="2"/>
        <v>0</v>
      </c>
      <c r="AC10" s="358">
        <f t="shared" si="2"/>
        <v>0</v>
      </c>
      <c r="AD10" s="358">
        <f>SUM(AA10:AC10)</f>
        <v>1901172</v>
      </c>
      <c r="AE10" s="358">
        <f t="shared" si="3"/>
        <v>-1600</v>
      </c>
      <c r="AF10" s="358">
        <f t="shared" si="3"/>
        <v>0</v>
      </c>
      <c r="AG10" s="358">
        <f t="shared" si="3"/>
        <v>0</v>
      </c>
      <c r="AH10" s="358">
        <f t="shared" si="4"/>
        <v>-1600</v>
      </c>
      <c r="AI10" s="358">
        <f t="shared" si="5"/>
        <v>1899572</v>
      </c>
      <c r="AJ10" s="358">
        <f t="shared" si="5"/>
        <v>0</v>
      </c>
      <c r="AK10" s="358">
        <f t="shared" si="5"/>
        <v>0</v>
      </c>
      <c r="AL10" s="358">
        <f t="shared" si="6"/>
        <v>1899572</v>
      </c>
    </row>
    <row r="11" spans="1:38" ht="47.25" x14ac:dyDescent="0.25">
      <c r="A11" s="359" t="s">
        <v>494</v>
      </c>
      <c r="B11" s="352" t="s">
        <v>299</v>
      </c>
      <c r="C11" s="356">
        <v>1867077</v>
      </c>
      <c r="D11" s="355"/>
      <c r="E11" s="356"/>
      <c r="F11" s="357">
        <f t="shared" si="0"/>
        <v>1867077</v>
      </c>
      <c r="G11" s="357">
        <f>44200+1706</f>
        <v>45906</v>
      </c>
      <c r="H11" s="357"/>
      <c r="I11" s="357"/>
      <c r="J11" s="357">
        <f t="shared" ref="J11:J16" si="9">SUM(G11:I11)</f>
        <v>45906</v>
      </c>
      <c r="K11" s="356">
        <f t="shared" si="7"/>
        <v>1912983</v>
      </c>
      <c r="L11" s="357">
        <f t="shared" si="1"/>
        <v>0</v>
      </c>
      <c r="M11" s="357">
        <f t="shared" si="1"/>
        <v>0</v>
      </c>
      <c r="N11" s="357">
        <f t="shared" si="8"/>
        <v>1912983</v>
      </c>
      <c r="O11" s="356"/>
      <c r="P11" s="356"/>
      <c r="Q11" s="356"/>
      <c r="R11" s="356"/>
      <c r="S11" s="356"/>
      <c r="T11" s="356"/>
      <c r="U11" s="356"/>
      <c r="V11" s="356"/>
      <c r="W11" s="356"/>
      <c r="X11" s="356"/>
      <c r="Y11" s="356"/>
      <c r="Z11" s="356"/>
      <c r="AA11" s="358">
        <f t="shared" si="2"/>
        <v>1867077</v>
      </c>
      <c r="AB11" s="358">
        <f t="shared" si="2"/>
        <v>0</v>
      </c>
      <c r="AC11" s="358">
        <f t="shared" si="2"/>
        <v>0</v>
      </c>
      <c r="AD11" s="358">
        <f>SUM(AA11:AC11)</f>
        <v>1867077</v>
      </c>
      <c r="AE11" s="358">
        <f t="shared" si="3"/>
        <v>45906</v>
      </c>
      <c r="AF11" s="358">
        <f t="shared" si="3"/>
        <v>0</v>
      </c>
      <c r="AG11" s="358">
        <f t="shared" si="3"/>
        <v>0</v>
      </c>
      <c r="AH11" s="358">
        <f t="shared" si="4"/>
        <v>45906</v>
      </c>
      <c r="AI11" s="358">
        <f t="shared" si="5"/>
        <v>1912983</v>
      </c>
      <c r="AJ11" s="358">
        <f t="shared" si="5"/>
        <v>0</v>
      </c>
      <c r="AK11" s="358">
        <f t="shared" si="5"/>
        <v>0</v>
      </c>
      <c r="AL11" s="358">
        <f t="shared" si="6"/>
        <v>1912983</v>
      </c>
    </row>
    <row r="12" spans="1:38" ht="31.5" x14ac:dyDescent="0.25">
      <c r="A12" s="352" t="s">
        <v>295</v>
      </c>
      <c r="B12" s="352" t="s">
        <v>300</v>
      </c>
      <c r="C12" s="356">
        <v>559507</v>
      </c>
      <c r="D12" s="355">
        <v>328693</v>
      </c>
      <c r="E12" s="356"/>
      <c r="F12" s="357">
        <f t="shared" si="0"/>
        <v>888200</v>
      </c>
      <c r="G12" s="357">
        <v>14040</v>
      </c>
      <c r="H12" s="357">
        <v>10327</v>
      </c>
      <c r="I12" s="357"/>
      <c r="J12" s="357">
        <f t="shared" si="9"/>
        <v>24367</v>
      </c>
      <c r="K12" s="356">
        <f t="shared" si="7"/>
        <v>573547</v>
      </c>
      <c r="L12" s="357">
        <f t="shared" si="1"/>
        <v>339020</v>
      </c>
      <c r="M12" s="357">
        <f t="shared" si="1"/>
        <v>0</v>
      </c>
      <c r="N12" s="357">
        <f t="shared" si="8"/>
        <v>912567</v>
      </c>
      <c r="O12" s="356"/>
      <c r="P12" s="356"/>
      <c r="Q12" s="356"/>
      <c r="R12" s="356"/>
      <c r="S12" s="356"/>
      <c r="T12" s="356"/>
      <c r="U12" s="356"/>
      <c r="V12" s="356"/>
      <c r="W12" s="356"/>
      <c r="X12" s="356"/>
      <c r="Y12" s="356"/>
      <c r="Z12" s="356"/>
      <c r="AA12" s="358">
        <f t="shared" ref="AA12:AL16" si="10">SUM(C12+O12)</f>
        <v>559507</v>
      </c>
      <c r="AB12" s="358">
        <f t="shared" si="10"/>
        <v>328693</v>
      </c>
      <c r="AC12" s="358">
        <f t="shared" si="10"/>
        <v>0</v>
      </c>
      <c r="AD12" s="358">
        <f t="shared" si="10"/>
        <v>888200</v>
      </c>
      <c r="AE12" s="358">
        <f t="shared" si="10"/>
        <v>14040</v>
      </c>
      <c r="AF12" s="358">
        <f t="shared" si="10"/>
        <v>10327</v>
      </c>
      <c r="AG12" s="358">
        <f t="shared" si="10"/>
        <v>0</v>
      </c>
      <c r="AH12" s="358">
        <f t="shared" si="10"/>
        <v>24367</v>
      </c>
      <c r="AI12" s="358">
        <f t="shared" si="10"/>
        <v>573547</v>
      </c>
      <c r="AJ12" s="358">
        <f t="shared" si="10"/>
        <v>339020</v>
      </c>
      <c r="AK12" s="358">
        <f t="shared" si="10"/>
        <v>0</v>
      </c>
      <c r="AL12" s="358">
        <f t="shared" si="10"/>
        <v>912567</v>
      </c>
    </row>
    <row r="13" spans="1:38" ht="31.5" x14ac:dyDescent="0.25">
      <c r="A13" s="352" t="s">
        <v>28</v>
      </c>
      <c r="B13" s="352"/>
      <c r="C13" s="356">
        <v>231000</v>
      </c>
      <c r="D13" s="355"/>
      <c r="E13" s="356"/>
      <c r="F13" s="357">
        <f t="shared" si="0"/>
        <v>231000</v>
      </c>
      <c r="G13" s="357"/>
      <c r="H13" s="357"/>
      <c r="I13" s="357"/>
      <c r="J13" s="357">
        <f t="shared" si="9"/>
        <v>0</v>
      </c>
      <c r="K13" s="356">
        <f t="shared" si="7"/>
        <v>231000</v>
      </c>
      <c r="L13" s="357">
        <f t="shared" si="1"/>
        <v>0</v>
      </c>
      <c r="M13" s="357">
        <f t="shared" si="1"/>
        <v>0</v>
      </c>
      <c r="N13" s="357">
        <f t="shared" si="8"/>
        <v>231000</v>
      </c>
      <c r="O13" s="356"/>
      <c r="P13" s="356"/>
      <c r="Q13" s="356"/>
      <c r="R13" s="356"/>
      <c r="S13" s="356"/>
      <c r="T13" s="356"/>
      <c r="U13" s="356"/>
      <c r="V13" s="356"/>
      <c r="W13" s="356"/>
      <c r="X13" s="356"/>
      <c r="Y13" s="356"/>
      <c r="Z13" s="356"/>
      <c r="AA13" s="358">
        <f t="shared" si="10"/>
        <v>231000</v>
      </c>
      <c r="AB13" s="358">
        <f t="shared" si="10"/>
        <v>0</v>
      </c>
      <c r="AC13" s="358">
        <f t="shared" si="10"/>
        <v>0</v>
      </c>
      <c r="AD13" s="358">
        <f t="shared" si="10"/>
        <v>231000</v>
      </c>
      <c r="AE13" s="358">
        <f t="shared" si="10"/>
        <v>0</v>
      </c>
      <c r="AF13" s="358">
        <f t="shared" si="10"/>
        <v>0</v>
      </c>
      <c r="AG13" s="358">
        <f t="shared" si="10"/>
        <v>0</v>
      </c>
      <c r="AH13" s="358">
        <f t="shared" si="10"/>
        <v>0</v>
      </c>
      <c r="AI13" s="358">
        <f t="shared" si="10"/>
        <v>231000</v>
      </c>
      <c r="AJ13" s="358">
        <f t="shared" si="10"/>
        <v>0</v>
      </c>
      <c r="AK13" s="358">
        <f t="shared" si="10"/>
        <v>0</v>
      </c>
      <c r="AL13" s="358">
        <f t="shared" si="10"/>
        <v>231000</v>
      </c>
    </row>
    <row r="14" spans="1:38" ht="31.5" x14ac:dyDescent="0.25">
      <c r="A14" s="352" t="s">
        <v>1008</v>
      </c>
      <c r="B14" s="352"/>
      <c r="C14" s="356">
        <v>176100</v>
      </c>
      <c r="D14" s="355"/>
      <c r="E14" s="356"/>
      <c r="F14" s="357">
        <f t="shared" si="0"/>
        <v>176100</v>
      </c>
      <c r="G14" s="357"/>
      <c r="H14" s="357"/>
      <c r="I14" s="357"/>
      <c r="J14" s="357">
        <f t="shared" si="9"/>
        <v>0</v>
      </c>
      <c r="K14" s="356">
        <f t="shared" si="7"/>
        <v>176100</v>
      </c>
      <c r="L14" s="357">
        <f t="shared" si="1"/>
        <v>0</v>
      </c>
      <c r="M14" s="357">
        <f t="shared" si="1"/>
        <v>0</v>
      </c>
      <c r="N14" s="357">
        <f t="shared" si="8"/>
        <v>176100</v>
      </c>
      <c r="O14" s="356"/>
      <c r="P14" s="356"/>
      <c r="Q14" s="356"/>
      <c r="R14" s="356"/>
      <c r="S14" s="356"/>
      <c r="T14" s="356"/>
      <c r="U14" s="356"/>
      <c r="V14" s="356"/>
      <c r="W14" s="356"/>
      <c r="X14" s="356"/>
      <c r="Y14" s="356"/>
      <c r="Z14" s="356"/>
      <c r="AA14" s="358">
        <f t="shared" si="10"/>
        <v>176100</v>
      </c>
      <c r="AB14" s="358">
        <f t="shared" si="10"/>
        <v>0</v>
      </c>
      <c r="AC14" s="358">
        <f t="shared" si="10"/>
        <v>0</v>
      </c>
      <c r="AD14" s="358">
        <f t="shared" si="10"/>
        <v>176100</v>
      </c>
      <c r="AE14" s="358">
        <f t="shared" si="10"/>
        <v>0</v>
      </c>
      <c r="AF14" s="358">
        <f t="shared" si="10"/>
        <v>0</v>
      </c>
      <c r="AG14" s="358">
        <f t="shared" si="10"/>
        <v>0</v>
      </c>
      <c r="AH14" s="358">
        <f t="shared" si="10"/>
        <v>0</v>
      </c>
      <c r="AI14" s="358">
        <f t="shared" si="10"/>
        <v>176100</v>
      </c>
      <c r="AJ14" s="358">
        <f t="shared" si="10"/>
        <v>0</v>
      </c>
      <c r="AK14" s="358">
        <f t="shared" si="10"/>
        <v>0</v>
      </c>
      <c r="AL14" s="358">
        <f t="shared" si="10"/>
        <v>176100</v>
      </c>
    </row>
    <row r="15" spans="1:38" x14ac:dyDescent="0.25">
      <c r="A15" s="352" t="s">
        <v>29</v>
      </c>
      <c r="B15" s="352"/>
      <c r="C15" s="356"/>
      <c r="D15" s="355">
        <v>301800</v>
      </c>
      <c r="E15" s="356"/>
      <c r="F15" s="357">
        <f t="shared" si="0"/>
        <v>301800</v>
      </c>
      <c r="G15" s="357"/>
      <c r="H15" s="357"/>
      <c r="I15" s="357"/>
      <c r="J15" s="357">
        <f t="shared" si="9"/>
        <v>0</v>
      </c>
      <c r="K15" s="356">
        <f t="shared" si="7"/>
        <v>0</v>
      </c>
      <c r="L15" s="357">
        <f t="shared" si="1"/>
        <v>301800</v>
      </c>
      <c r="M15" s="357">
        <f t="shared" si="1"/>
        <v>0</v>
      </c>
      <c r="N15" s="357">
        <f t="shared" si="8"/>
        <v>301800</v>
      </c>
      <c r="O15" s="356"/>
      <c r="P15" s="356"/>
      <c r="Q15" s="356"/>
      <c r="R15" s="356"/>
      <c r="S15" s="356"/>
      <c r="T15" s="356"/>
      <c r="U15" s="356"/>
      <c r="V15" s="356"/>
      <c r="W15" s="356"/>
      <c r="X15" s="356"/>
      <c r="Y15" s="356"/>
      <c r="Z15" s="356"/>
      <c r="AA15" s="358">
        <f t="shared" si="10"/>
        <v>0</v>
      </c>
      <c r="AB15" s="358">
        <f t="shared" si="10"/>
        <v>301800</v>
      </c>
      <c r="AC15" s="358">
        <f t="shared" si="10"/>
        <v>0</v>
      </c>
      <c r="AD15" s="358">
        <f t="shared" si="10"/>
        <v>301800</v>
      </c>
      <c r="AE15" s="358">
        <f t="shared" si="10"/>
        <v>0</v>
      </c>
      <c r="AF15" s="358">
        <f t="shared" si="10"/>
        <v>0</v>
      </c>
      <c r="AG15" s="358">
        <f t="shared" si="10"/>
        <v>0</v>
      </c>
      <c r="AH15" s="358">
        <f t="shared" si="10"/>
        <v>0</v>
      </c>
      <c r="AI15" s="358">
        <f t="shared" si="10"/>
        <v>0</v>
      </c>
      <c r="AJ15" s="358">
        <f t="shared" si="10"/>
        <v>301800</v>
      </c>
      <c r="AK15" s="358">
        <f t="shared" si="10"/>
        <v>0</v>
      </c>
      <c r="AL15" s="358">
        <f t="shared" si="10"/>
        <v>301800</v>
      </c>
    </row>
    <row r="16" spans="1:38" ht="36.75" customHeight="1" x14ac:dyDescent="0.25">
      <c r="A16" s="352" t="s">
        <v>512</v>
      </c>
      <c r="B16" s="352" t="s">
        <v>301</v>
      </c>
      <c r="C16" s="356">
        <v>202654</v>
      </c>
      <c r="D16" s="355"/>
      <c r="E16" s="356"/>
      <c r="F16" s="357">
        <f t="shared" si="0"/>
        <v>202654</v>
      </c>
      <c r="G16" s="357">
        <v>55594</v>
      </c>
      <c r="H16" s="357"/>
      <c r="I16" s="357"/>
      <c r="J16" s="357">
        <f t="shared" si="9"/>
        <v>55594</v>
      </c>
      <c r="K16" s="356">
        <f t="shared" si="7"/>
        <v>258248</v>
      </c>
      <c r="L16" s="357">
        <f t="shared" si="1"/>
        <v>0</v>
      </c>
      <c r="M16" s="357">
        <f t="shared" si="1"/>
        <v>0</v>
      </c>
      <c r="N16" s="357">
        <f t="shared" si="8"/>
        <v>258248</v>
      </c>
      <c r="O16" s="356"/>
      <c r="P16" s="356"/>
      <c r="Q16" s="356"/>
      <c r="R16" s="356"/>
      <c r="S16" s="356"/>
      <c r="T16" s="356"/>
      <c r="U16" s="356"/>
      <c r="V16" s="356"/>
      <c r="W16" s="356"/>
      <c r="X16" s="356"/>
      <c r="Y16" s="356"/>
      <c r="Z16" s="356"/>
      <c r="AA16" s="358">
        <f t="shared" si="10"/>
        <v>202654</v>
      </c>
      <c r="AB16" s="358">
        <f t="shared" si="10"/>
        <v>0</v>
      </c>
      <c r="AC16" s="358">
        <f t="shared" si="10"/>
        <v>0</v>
      </c>
      <c r="AD16" s="358">
        <f t="shared" si="10"/>
        <v>202654</v>
      </c>
      <c r="AE16" s="358">
        <f t="shared" si="10"/>
        <v>55594</v>
      </c>
      <c r="AF16" s="358">
        <f t="shared" si="10"/>
        <v>0</v>
      </c>
      <c r="AG16" s="358">
        <f t="shared" si="10"/>
        <v>0</v>
      </c>
      <c r="AH16" s="358">
        <f t="shared" si="10"/>
        <v>55594</v>
      </c>
      <c r="AI16" s="358">
        <f t="shared" si="10"/>
        <v>258248</v>
      </c>
      <c r="AJ16" s="358">
        <f t="shared" si="10"/>
        <v>0</v>
      </c>
      <c r="AK16" s="358">
        <f t="shared" si="10"/>
        <v>0</v>
      </c>
      <c r="AL16" s="358">
        <f t="shared" si="10"/>
        <v>258248</v>
      </c>
    </row>
    <row r="17" spans="1:38" s="362" customFormat="1" ht="31.5" x14ac:dyDescent="0.25">
      <c r="A17" s="360" t="s">
        <v>296</v>
      </c>
      <c r="B17" s="360" t="s">
        <v>302</v>
      </c>
      <c r="C17" s="361">
        <f t="shared" ref="C17:AL17" si="11">SUM(C9:C11,C12,C16)</f>
        <v>4541820</v>
      </c>
      <c r="D17" s="361">
        <f t="shared" si="11"/>
        <v>329455</v>
      </c>
      <c r="E17" s="361">
        <f t="shared" si="11"/>
        <v>0</v>
      </c>
      <c r="F17" s="361">
        <f t="shared" si="11"/>
        <v>4871275</v>
      </c>
      <c r="G17" s="361">
        <f t="shared" si="11"/>
        <v>119989</v>
      </c>
      <c r="H17" s="361">
        <f t="shared" si="11"/>
        <v>10492</v>
      </c>
      <c r="I17" s="361">
        <f t="shared" si="11"/>
        <v>0</v>
      </c>
      <c r="J17" s="361">
        <f t="shared" si="11"/>
        <v>130481</v>
      </c>
      <c r="K17" s="361">
        <f t="shared" si="11"/>
        <v>4661809</v>
      </c>
      <c r="L17" s="361">
        <f t="shared" si="11"/>
        <v>339947</v>
      </c>
      <c r="M17" s="361">
        <f t="shared" si="11"/>
        <v>0</v>
      </c>
      <c r="N17" s="361">
        <f t="shared" si="11"/>
        <v>5001756</v>
      </c>
      <c r="O17" s="361">
        <f t="shared" si="11"/>
        <v>0</v>
      </c>
      <c r="P17" s="361">
        <f t="shared" si="11"/>
        <v>0</v>
      </c>
      <c r="Q17" s="361">
        <f t="shared" si="11"/>
        <v>0</v>
      </c>
      <c r="R17" s="361">
        <f t="shared" si="11"/>
        <v>0</v>
      </c>
      <c r="S17" s="361">
        <f t="shared" si="11"/>
        <v>0</v>
      </c>
      <c r="T17" s="361">
        <f t="shared" si="11"/>
        <v>0</v>
      </c>
      <c r="U17" s="361">
        <f t="shared" si="11"/>
        <v>0</v>
      </c>
      <c r="V17" s="361">
        <f t="shared" si="11"/>
        <v>0</v>
      </c>
      <c r="W17" s="361">
        <f t="shared" si="11"/>
        <v>0</v>
      </c>
      <c r="X17" s="361">
        <f t="shared" si="11"/>
        <v>0</v>
      </c>
      <c r="Y17" s="361">
        <f t="shared" si="11"/>
        <v>0</v>
      </c>
      <c r="Z17" s="361">
        <f t="shared" si="11"/>
        <v>0</v>
      </c>
      <c r="AA17" s="361">
        <f t="shared" si="11"/>
        <v>4541820</v>
      </c>
      <c r="AB17" s="361">
        <f t="shared" si="11"/>
        <v>329455</v>
      </c>
      <c r="AC17" s="361">
        <f t="shared" si="11"/>
        <v>0</v>
      </c>
      <c r="AD17" s="361">
        <f t="shared" si="11"/>
        <v>4871275</v>
      </c>
      <c r="AE17" s="361">
        <f t="shared" si="11"/>
        <v>119989</v>
      </c>
      <c r="AF17" s="361">
        <f t="shared" si="11"/>
        <v>10492</v>
      </c>
      <c r="AG17" s="361">
        <f t="shared" si="11"/>
        <v>0</v>
      </c>
      <c r="AH17" s="361">
        <f t="shared" si="11"/>
        <v>130481</v>
      </c>
      <c r="AI17" s="361">
        <f t="shared" si="11"/>
        <v>4661809</v>
      </c>
      <c r="AJ17" s="361">
        <f t="shared" si="11"/>
        <v>339947</v>
      </c>
      <c r="AK17" s="361">
        <f t="shared" si="11"/>
        <v>0</v>
      </c>
      <c r="AL17" s="361">
        <f t="shared" si="11"/>
        <v>5001756</v>
      </c>
    </row>
    <row r="18" spans="1:38" s="362" customFormat="1" ht="31.5" x14ac:dyDescent="0.25">
      <c r="A18" s="360" t="s">
        <v>353</v>
      </c>
      <c r="B18" s="360" t="s">
        <v>354</v>
      </c>
      <c r="C18" s="361">
        <v>36970</v>
      </c>
      <c r="D18" s="361">
        <v>32120</v>
      </c>
      <c r="E18" s="361"/>
      <c r="F18" s="361">
        <f>SUM(C18:E18)</f>
        <v>69090</v>
      </c>
      <c r="G18" s="361"/>
      <c r="H18" s="361"/>
      <c r="I18" s="361"/>
      <c r="J18" s="361">
        <f>SUM(G18:I18)</f>
        <v>0</v>
      </c>
      <c r="K18" s="361">
        <f t="shared" ref="K18" si="12">SUM(G18+C18)</f>
        <v>36970</v>
      </c>
      <c r="L18" s="361">
        <f t="shared" ref="L18:M18" si="13">SUM(H18+D18)</f>
        <v>32120</v>
      </c>
      <c r="M18" s="361">
        <f t="shared" si="13"/>
        <v>0</v>
      </c>
      <c r="N18" s="361">
        <f t="shared" ref="N18" si="14">SUM(K18:M18)</f>
        <v>69090</v>
      </c>
      <c r="O18" s="361">
        <v>764035</v>
      </c>
      <c r="P18" s="361">
        <v>367911</v>
      </c>
      <c r="Q18" s="361">
        <v>76031</v>
      </c>
      <c r="R18" s="361">
        <f>SUM(O18:Q18)</f>
        <v>1207977</v>
      </c>
      <c r="S18" s="361">
        <v>55310</v>
      </c>
      <c r="T18" s="361">
        <v>133109</v>
      </c>
      <c r="U18" s="361">
        <v>0</v>
      </c>
      <c r="V18" s="361">
        <f>SUM(S18:U18)</f>
        <v>188419</v>
      </c>
      <c r="W18" s="361">
        <f>SUM(S18+O18)</f>
        <v>819345</v>
      </c>
      <c r="X18" s="361">
        <f>SUM(T18+P18)</f>
        <v>501020</v>
      </c>
      <c r="Y18" s="361">
        <f>SUM(Q18+U18)</f>
        <v>76031</v>
      </c>
      <c r="Z18" s="361">
        <f>SUM(W18:Y18)</f>
        <v>1396396</v>
      </c>
      <c r="AA18" s="358">
        <f>SUM(C18+O18)</f>
        <v>801005</v>
      </c>
      <c r="AB18" s="358">
        <f>SUM(D18+P18)</f>
        <v>400031</v>
      </c>
      <c r="AC18" s="358">
        <f>SUM(E18+Q18)</f>
        <v>76031</v>
      </c>
      <c r="AD18" s="358">
        <f>SUM(F18+R18)</f>
        <v>1277067</v>
      </c>
      <c r="AE18" s="358">
        <f t="shared" ref="AE18:AL18" si="15">SUM(G18+S18)</f>
        <v>55310</v>
      </c>
      <c r="AF18" s="358">
        <f t="shared" si="15"/>
        <v>133109</v>
      </c>
      <c r="AG18" s="358">
        <f t="shared" si="15"/>
        <v>0</v>
      </c>
      <c r="AH18" s="358">
        <f t="shared" si="15"/>
        <v>188419</v>
      </c>
      <c r="AI18" s="358">
        <f t="shared" si="15"/>
        <v>856315</v>
      </c>
      <c r="AJ18" s="358">
        <f t="shared" si="15"/>
        <v>533140</v>
      </c>
      <c r="AK18" s="358">
        <f t="shared" si="15"/>
        <v>76031</v>
      </c>
      <c r="AL18" s="358">
        <f t="shared" si="15"/>
        <v>1465486</v>
      </c>
    </row>
    <row r="19" spans="1:38" ht="31.5" x14ac:dyDescent="0.25">
      <c r="A19" s="363" t="s">
        <v>355</v>
      </c>
      <c r="B19" s="363" t="s">
        <v>241</v>
      </c>
      <c r="C19" s="358">
        <f>SUM(C17+C18)</f>
        <v>4578790</v>
      </c>
      <c r="D19" s="358">
        <f t="shared" ref="D19:AL19" si="16">SUM(D17+D18)</f>
        <v>361575</v>
      </c>
      <c r="E19" s="358">
        <f t="shared" si="16"/>
        <v>0</v>
      </c>
      <c r="F19" s="358">
        <f t="shared" si="16"/>
        <v>4940365</v>
      </c>
      <c r="G19" s="358">
        <f t="shared" si="16"/>
        <v>119989</v>
      </c>
      <c r="H19" s="358">
        <f t="shared" si="16"/>
        <v>10492</v>
      </c>
      <c r="I19" s="358">
        <f t="shared" si="16"/>
        <v>0</v>
      </c>
      <c r="J19" s="358">
        <f t="shared" si="16"/>
        <v>130481</v>
      </c>
      <c r="K19" s="358">
        <f t="shared" si="16"/>
        <v>4698779</v>
      </c>
      <c r="L19" s="358">
        <f t="shared" si="16"/>
        <v>372067</v>
      </c>
      <c r="M19" s="358">
        <f t="shared" si="16"/>
        <v>0</v>
      </c>
      <c r="N19" s="358">
        <f t="shared" si="16"/>
        <v>5070846</v>
      </c>
      <c r="O19" s="358">
        <f t="shared" si="16"/>
        <v>764035</v>
      </c>
      <c r="P19" s="358">
        <f t="shared" si="16"/>
        <v>367911</v>
      </c>
      <c r="Q19" s="358">
        <f t="shared" si="16"/>
        <v>76031</v>
      </c>
      <c r="R19" s="358">
        <f t="shared" si="16"/>
        <v>1207977</v>
      </c>
      <c r="S19" s="358">
        <f t="shared" si="16"/>
        <v>55310</v>
      </c>
      <c r="T19" s="358">
        <f t="shared" si="16"/>
        <v>133109</v>
      </c>
      <c r="U19" s="358">
        <f t="shared" si="16"/>
        <v>0</v>
      </c>
      <c r="V19" s="358">
        <f t="shared" si="16"/>
        <v>188419</v>
      </c>
      <c r="W19" s="358">
        <f t="shared" si="16"/>
        <v>819345</v>
      </c>
      <c r="X19" s="358">
        <f t="shared" si="16"/>
        <v>501020</v>
      </c>
      <c r="Y19" s="358">
        <f t="shared" si="16"/>
        <v>76031</v>
      </c>
      <c r="Z19" s="358">
        <f t="shared" si="16"/>
        <v>1396396</v>
      </c>
      <c r="AA19" s="358">
        <f t="shared" si="16"/>
        <v>5342825</v>
      </c>
      <c r="AB19" s="358">
        <f t="shared" si="16"/>
        <v>729486</v>
      </c>
      <c r="AC19" s="358">
        <f t="shared" si="16"/>
        <v>76031</v>
      </c>
      <c r="AD19" s="358">
        <f t="shared" si="16"/>
        <v>6148342</v>
      </c>
      <c r="AE19" s="358">
        <f t="shared" si="16"/>
        <v>175299</v>
      </c>
      <c r="AF19" s="358">
        <f t="shared" si="16"/>
        <v>143601</v>
      </c>
      <c r="AG19" s="358">
        <f t="shared" si="16"/>
        <v>0</v>
      </c>
      <c r="AH19" s="358">
        <f t="shared" si="16"/>
        <v>318900</v>
      </c>
      <c r="AI19" s="358">
        <f t="shared" si="16"/>
        <v>5518124</v>
      </c>
      <c r="AJ19" s="358">
        <f t="shared" si="16"/>
        <v>873087</v>
      </c>
      <c r="AK19" s="358">
        <f t="shared" si="16"/>
        <v>76031</v>
      </c>
      <c r="AL19" s="358">
        <f t="shared" si="16"/>
        <v>6467242</v>
      </c>
    </row>
    <row r="20" spans="1:38" s="368" customFormat="1" ht="31.5" x14ac:dyDescent="0.25">
      <c r="A20" s="360" t="s">
        <v>356</v>
      </c>
      <c r="B20" s="364" t="s">
        <v>303</v>
      </c>
      <c r="C20" s="365"/>
      <c r="D20" s="366">
        <v>30000</v>
      </c>
      <c r="E20" s="365">
        <v>0</v>
      </c>
      <c r="F20" s="367">
        <f>SUM(C20:E20)</f>
        <v>30000</v>
      </c>
      <c r="G20" s="367"/>
      <c r="H20" s="367"/>
      <c r="I20" s="367"/>
      <c r="J20" s="367">
        <f>SUM(G20:I20)</f>
        <v>0</v>
      </c>
      <c r="K20" s="365">
        <f t="shared" ref="K20:M21" si="17">SUM(G20+C20)</f>
        <v>0</v>
      </c>
      <c r="L20" s="367">
        <f t="shared" si="17"/>
        <v>30000</v>
      </c>
      <c r="M20" s="367">
        <f t="shared" si="17"/>
        <v>0</v>
      </c>
      <c r="N20" s="367">
        <f t="shared" ref="N20:N21" si="18">SUM(K20:M20)</f>
        <v>30000</v>
      </c>
      <c r="O20" s="365"/>
      <c r="P20" s="365"/>
      <c r="Q20" s="365"/>
      <c r="R20" s="365">
        <f>SUM(O20:Q20)</f>
        <v>0</v>
      </c>
      <c r="S20" s="365"/>
      <c r="T20" s="365"/>
      <c r="U20" s="365"/>
      <c r="V20" s="365">
        <f>SUM(S20:U20)</f>
        <v>0</v>
      </c>
      <c r="W20" s="365">
        <f>SUM(S20+O20)</f>
        <v>0</v>
      </c>
      <c r="X20" s="365">
        <f>SUM(T20+P20)</f>
        <v>0</v>
      </c>
      <c r="Y20" s="365">
        <f>SUM(Q20+U20)</f>
        <v>0</v>
      </c>
      <c r="Z20" s="365">
        <f>SUM(W20:Y20)</f>
        <v>0</v>
      </c>
      <c r="AA20" s="358">
        <f t="shared" ref="AA20:AL21" si="19">SUM(C20+O20)</f>
        <v>0</v>
      </c>
      <c r="AB20" s="358">
        <f t="shared" si="19"/>
        <v>30000</v>
      </c>
      <c r="AC20" s="358">
        <f t="shared" si="19"/>
        <v>0</v>
      </c>
      <c r="AD20" s="358">
        <f t="shared" si="19"/>
        <v>30000</v>
      </c>
      <c r="AE20" s="358">
        <f t="shared" si="19"/>
        <v>0</v>
      </c>
      <c r="AF20" s="358">
        <f t="shared" si="19"/>
        <v>0</v>
      </c>
      <c r="AG20" s="358">
        <f t="shared" si="19"/>
        <v>0</v>
      </c>
      <c r="AH20" s="358">
        <f t="shared" si="19"/>
        <v>0</v>
      </c>
      <c r="AI20" s="358">
        <f t="shared" si="19"/>
        <v>0</v>
      </c>
      <c r="AJ20" s="358">
        <f t="shared" si="19"/>
        <v>30000</v>
      </c>
      <c r="AK20" s="358">
        <f t="shared" si="19"/>
        <v>0</v>
      </c>
      <c r="AL20" s="358">
        <f t="shared" si="19"/>
        <v>30000</v>
      </c>
    </row>
    <row r="21" spans="1:38" s="368" customFormat="1" ht="31.5" x14ac:dyDescent="0.25">
      <c r="A21" s="360" t="s">
        <v>358</v>
      </c>
      <c r="B21" s="364" t="s">
        <v>357</v>
      </c>
      <c r="C21" s="365">
        <v>2081350</v>
      </c>
      <c r="D21" s="366">
        <v>14423932</v>
      </c>
      <c r="E21" s="365">
        <v>0</v>
      </c>
      <c r="F21" s="367">
        <f>SUM(C21:E21)</f>
        <v>16505282</v>
      </c>
      <c r="G21" s="367">
        <f>100000+95250</f>
        <v>195250</v>
      </c>
      <c r="H21" s="367"/>
      <c r="I21" s="367"/>
      <c r="J21" s="367">
        <f>SUM(G21:I21)</f>
        <v>195250</v>
      </c>
      <c r="K21" s="365">
        <f t="shared" si="17"/>
        <v>2276600</v>
      </c>
      <c r="L21" s="367">
        <f t="shared" si="17"/>
        <v>14423932</v>
      </c>
      <c r="M21" s="367">
        <f t="shared" si="17"/>
        <v>0</v>
      </c>
      <c r="N21" s="367">
        <f t="shared" si="18"/>
        <v>16700532</v>
      </c>
      <c r="O21" s="365"/>
      <c r="P21" s="365"/>
      <c r="Q21" s="365"/>
      <c r="R21" s="365">
        <f>SUM(O21:Q21)</f>
        <v>0</v>
      </c>
      <c r="S21" s="365"/>
      <c r="T21" s="365"/>
      <c r="U21" s="365"/>
      <c r="V21" s="365">
        <f>SUM(S21:U21)</f>
        <v>0</v>
      </c>
      <c r="W21" s="365">
        <f>SUM(S21+O21)</f>
        <v>0</v>
      </c>
      <c r="X21" s="365">
        <f>SUM(T21+P21)</f>
        <v>0</v>
      </c>
      <c r="Y21" s="365">
        <f>SUM(Q21+U21)</f>
        <v>0</v>
      </c>
      <c r="Z21" s="365">
        <f>SUM(W21:Y21)</f>
        <v>0</v>
      </c>
      <c r="AA21" s="358">
        <f t="shared" si="19"/>
        <v>2081350</v>
      </c>
      <c r="AB21" s="358">
        <f t="shared" si="19"/>
        <v>14423932</v>
      </c>
      <c r="AC21" s="358">
        <f t="shared" si="19"/>
        <v>0</v>
      </c>
      <c r="AD21" s="358">
        <f t="shared" si="19"/>
        <v>16505282</v>
      </c>
      <c r="AE21" s="358">
        <f t="shared" si="19"/>
        <v>195250</v>
      </c>
      <c r="AF21" s="358">
        <f t="shared" si="19"/>
        <v>0</v>
      </c>
      <c r="AG21" s="358">
        <f t="shared" si="19"/>
        <v>0</v>
      </c>
      <c r="AH21" s="358">
        <f t="shared" si="19"/>
        <v>195250</v>
      </c>
      <c r="AI21" s="358">
        <f t="shared" si="19"/>
        <v>2276600</v>
      </c>
      <c r="AJ21" s="358">
        <f t="shared" si="19"/>
        <v>14423932</v>
      </c>
      <c r="AK21" s="358">
        <f t="shared" si="19"/>
        <v>0</v>
      </c>
      <c r="AL21" s="358">
        <f t="shared" si="19"/>
        <v>16700532</v>
      </c>
    </row>
    <row r="22" spans="1:38" s="371" customFormat="1" ht="31.5" x14ac:dyDescent="0.25">
      <c r="A22" s="363" t="s">
        <v>359</v>
      </c>
      <c r="B22" s="369" t="s">
        <v>242</v>
      </c>
      <c r="C22" s="370">
        <f>SUM(C20+C21)</f>
        <v>2081350</v>
      </c>
      <c r="D22" s="370">
        <f t="shared" ref="D22:AL22" si="20">SUM(D20+D21)</f>
        <v>14453932</v>
      </c>
      <c r="E22" s="370">
        <f t="shared" si="20"/>
        <v>0</v>
      </c>
      <c r="F22" s="370">
        <f t="shared" si="20"/>
        <v>16535282</v>
      </c>
      <c r="G22" s="370">
        <f t="shared" si="20"/>
        <v>195250</v>
      </c>
      <c r="H22" s="370">
        <f t="shared" si="20"/>
        <v>0</v>
      </c>
      <c r="I22" s="370">
        <f t="shared" si="20"/>
        <v>0</v>
      </c>
      <c r="J22" s="370">
        <f t="shared" si="20"/>
        <v>195250</v>
      </c>
      <c r="K22" s="370">
        <f t="shared" si="20"/>
        <v>2276600</v>
      </c>
      <c r="L22" s="370">
        <f t="shared" si="20"/>
        <v>14453932</v>
      </c>
      <c r="M22" s="370">
        <f t="shared" si="20"/>
        <v>0</v>
      </c>
      <c r="N22" s="370">
        <f t="shared" si="20"/>
        <v>16730532</v>
      </c>
      <c r="O22" s="370">
        <f t="shared" si="20"/>
        <v>0</v>
      </c>
      <c r="P22" s="370">
        <f t="shared" si="20"/>
        <v>0</v>
      </c>
      <c r="Q22" s="370">
        <f t="shared" si="20"/>
        <v>0</v>
      </c>
      <c r="R22" s="370">
        <f t="shared" si="20"/>
        <v>0</v>
      </c>
      <c r="S22" s="370">
        <f t="shared" si="20"/>
        <v>0</v>
      </c>
      <c r="T22" s="370">
        <f t="shared" si="20"/>
        <v>0</v>
      </c>
      <c r="U22" s="370">
        <f t="shared" si="20"/>
        <v>0</v>
      </c>
      <c r="V22" s="370">
        <f t="shared" si="20"/>
        <v>0</v>
      </c>
      <c r="W22" s="370">
        <f t="shared" si="20"/>
        <v>0</v>
      </c>
      <c r="X22" s="370">
        <f t="shared" si="20"/>
        <v>0</v>
      </c>
      <c r="Y22" s="370">
        <f t="shared" si="20"/>
        <v>0</v>
      </c>
      <c r="Z22" s="370">
        <f t="shared" si="20"/>
        <v>0</v>
      </c>
      <c r="AA22" s="370">
        <f t="shared" si="20"/>
        <v>2081350</v>
      </c>
      <c r="AB22" s="370">
        <f t="shared" si="20"/>
        <v>14453932</v>
      </c>
      <c r="AC22" s="370">
        <f t="shared" si="20"/>
        <v>0</v>
      </c>
      <c r="AD22" s="370">
        <f t="shared" si="20"/>
        <v>16535282</v>
      </c>
      <c r="AE22" s="370">
        <f t="shared" si="20"/>
        <v>195250</v>
      </c>
      <c r="AF22" s="370">
        <f t="shared" si="20"/>
        <v>0</v>
      </c>
      <c r="AG22" s="370">
        <f t="shared" si="20"/>
        <v>0</v>
      </c>
      <c r="AH22" s="370">
        <f t="shared" si="20"/>
        <v>195250</v>
      </c>
      <c r="AI22" s="370">
        <f t="shared" si="20"/>
        <v>2276600</v>
      </c>
      <c r="AJ22" s="370">
        <f t="shared" si="20"/>
        <v>14453932</v>
      </c>
      <c r="AK22" s="370">
        <f t="shared" si="20"/>
        <v>0</v>
      </c>
      <c r="AL22" s="370">
        <f t="shared" si="20"/>
        <v>16730532</v>
      </c>
    </row>
    <row r="23" spans="1:38" x14ac:dyDescent="0.25">
      <c r="A23" s="352" t="s">
        <v>773</v>
      </c>
      <c r="B23" s="352" t="s">
        <v>304</v>
      </c>
      <c r="C23" s="372">
        <v>2000000</v>
      </c>
      <c r="D23" s="373"/>
      <c r="E23" s="372"/>
      <c r="F23" s="357">
        <f>SUM(C23:E23)</f>
        <v>2000000</v>
      </c>
      <c r="G23" s="357"/>
      <c r="H23" s="357"/>
      <c r="I23" s="357"/>
      <c r="J23" s="357">
        <f>SUM(G23:I23)</f>
        <v>0</v>
      </c>
      <c r="K23" s="356">
        <f t="shared" ref="K23:M23" si="21">SUM(G23+C23)</f>
        <v>2000000</v>
      </c>
      <c r="L23" s="357">
        <f t="shared" si="21"/>
        <v>0</v>
      </c>
      <c r="M23" s="357">
        <f t="shared" si="21"/>
        <v>0</v>
      </c>
      <c r="N23" s="357">
        <f t="shared" ref="N23" si="22">SUM(K23:M23)</f>
        <v>2000000</v>
      </c>
      <c r="O23" s="372"/>
      <c r="P23" s="372"/>
      <c r="Q23" s="372"/>
      <c r="R23" s="372">
        <f>SUM(O23:Q23)</f>
        <v>0</v>
      </c>
      <c r="S23" s="372"/>
      <c r="T23" s="372"/>
      <c r="U23" s="372"/>
      <c r="V23" s="372">
        <f>SUM(S23:U23)</f>
        <v>0</v>
      </c>
      <c r="W23" s="372">
        <f>SUM(S23+O23)</f>
        <v>0</v>
      </c>
      <c r="X23" s="372">
        <f>SUM(T23+P23)</f>
        <v>0</v>
      </c>
      <c r="Y23" s="372">
        <f>SUM(Q23+U23)</f>
        <v>0</v>
      </c>
      <c r="Z23" s="372">
        <f>SUM(W23:Y23)</f>
        <v>0</v>
      </c>
      <c r="AA23" s="358">
        <f>SUM(O23+C23)</f>
        <v>2000000</v>
      </c>
      <c r="AB23" s="372">
        <f>SUM(P23+D23)</f>
        <v>0</v>
      </c>
      <c r="AC23" s="372">
        <f>SUM(Q23+E23)</f>
        <v>0</v>
      </c>
      <c r="AD23" s="372">
        <f>SUM(AA23:AC23)</f>
        <v>2000000</v>
      </c>
      <c r="AE23" s="358">
        <f t="shared" ref="AE23:AG23" si="23">SUM(S23+G23)</f>
        <v>0</v>
      </c>
      <c r="AF23" s="372">
        <f t="shared" si="23"/>
        <v>0</v>
      </c>
      <c r="AG23" s="372">
        <f t="shared" si="23"/>
        <v>0</v>
      </c>
      <c r="AH23" s="372">
        <f t="shared" ref="AH23" si="24">SUM(AE23:AG23)</f>
        <v>0</v>
      </c>
      <c r="AI23" s="358">
        <f t="shared" ref="AI23:AK23" si="25">SUM(W23+K23)</f>
        <v>2000000</v>
      </c>
      <c r="AJ23" s="372">
        <f t="shared" si="25"/>
        <v>0</v>
      </c>
      <c r="AK23" s="372">
        <f t="shared" si="25"/>
        <v>0</v>
      </c>
      <c r="AL23" s="372">
        <f t="shared" ref="AL23" si="26">SUM(AI23:AK23)</f>
        <v>2000000</v>
      </c>
    </row>
    <row r="24" spans="1:38" s="362" customFormat="1" x14ac:dyDescent="0.25">
      <c r="A24" s="360" t="s">
        <v>774</v>
      </c>
      <c r="B24" s="360" t="s">
        <v>304</v>
      </c>
      <c r="C24" s="361">
        <f t="shared" ref="C24:AL24" si="27">SUM(C23:C23)</f>
        <v>2000000</v>
      </c>
      <c r="D24" s="361">
        <f t="shared" si="27"/>
        <v>0</v>
      </c>
      <c r="E24" s="361">
        <f t="shared" si="27"/>
        <v>0</v>
      </c>
      <c r="F24" s="361">
        <f t="shared" si="27"/>
        <v>2000000</v>
      </c>
      <c r="G24" s="361">
        <f t="shared" si="27"/>
        <v>0</v>
      </c>
      <c r="H24" s="361">
        <f t="shared" si="27"/>
        <v>0</v>
      </c>
      <c r="I24" s="361">
        <f t="shared" si="27"/>
        <v>0</v>
      </c>
      <c r="J24" s="361">
        <f t="shared" si="27"/>
        <v>0</v>
      </c>
      <c r="K24" s="361">
        <f t="shared" si="27"/>
        <v>2000000</v>
      </c>
      <c r="L24" s="361">
        <f t="shared" si="27"/>
        <v>0</v>
      </c>
      <c r="M24" s="361">
        <f t="shared" si="27"/>
        <v>0</v>
      </c>
      <c r="N24" s="361">
        <f t="shared" si="27"/>
        <v>2000000</v>
      </c>
      <c r="O24" s="361">
        <f t="shared" si="27"/>
        <v>0</v>
      </c>
      <c r="P24" s="361">
        <f t="shared" si="27"/>
        <v>0</v>
      </c>
      <c r="Q24" s="361">
        <f t="shared" si="27"/>
        <v>0</v>
      </c>
      <c r="R24" s="361">
        <f t="shared" si="27"/>
        <v>0</v>
      </c>
      <c r="S24" s="361">
        <f t="shared" si="27"/>
        <v>0</v>
      </c>
      <c r="T24" s="361">
        <f t="shared" si="27"/>
        <v>0</v>
      </c>
      <c r="U24" s="361">
        <f t="shared" si="27"/>
        <v>0</v>
      </c>
      <c r="V24" s="361">
        <f t="shared" si="27"/>
        <v>0</v>
      </c>
      <c r="W24" s="361">
        <f t="shared" si="27"/>
        <v>0</v>
      </c>
      <c r="X24" s="361">
        <f t="shared" si="27"/>
        <v>0</v>
      </c>
      <c r="Y24" s="361">
        <f t="shared" si="27"/>
        <v>0</v>
      </c>
      <c r="Z24" s="361">
        <f t="shared" si="27"/>
        <v>0</v>
      </c>
      <c r="AA24" s="361">
        <f t="shared" si="27"/>
        <v>2000000</v>
      </c>
      <c r="AB24" s="361">
        <f t="shared" si="27"/>
        <v>0</v>
      </c>
      <c r="AC24" s="361">
        <f t="shared" si="27"/>
        <v>0</v>
      </c>
      <c r="AD24" s="361">
        <f t="shared" si="27"/>
        <v>2000000</v>
      </c>
      <c r="AE24" s="361">
        <f t="shared" si="27"/>
        <v>0</v>
      </c>
      <c r="AF24" s="361">
        <f t="shared" si="27"/>
        <v>0</v>
      </c>
      <c r="AG24" s="361">
        <f t="shared" si="27"/>
        <v>0</v>
      </c>
      <c r="AH24" s="361">
        <f t="shared" si="27"/>
        <v>0</v>
      </c>
      <c r="AI24" s="361">
        <f t="shared" si="27"/>
        <v>2000000</v>
      </c>
      <c r="AJ24" s="361">
        <f t="shared" si="27"/>
        <v>0</v>
      </c>
      <c r="AK24" s="361">
        <f t="shared" si="27"/>
        <v>0</v>
      </c>
      <c r="AL24" s="361">
        <f t="shared" si="27"/>
        <v>2000000</v>
      </c>
    </row>
    <row r="25" spans="1:38" x14ac:dyDescent="0.25">
      <c r="A25" s="352" t="s">
        <v>775</v>
      </c>
      <c r="B25" s="352" t="s">
        <v>305</v>
      </c>
      <c r="C25" s="372">
        <v>19000000</v>
      </c>
      <c r="D25" s="373"/>
      <c r="E25" s="372"/>
      <c r="F25" s="357">
        <f>SUM(C25:E25)</f>
        <v>19000000</v>
      </c>
      <c r="G25" s="357"/>
      <c r="H25" s="357"/>
      <c r="I25" s="357"/>
      <c r="J25" s="357">
        <f>SUM(G25:I25)</f>
        <v>0</v>
      </c>
      <c r="K25" s="356">
        <f t="shared" ref="K25:M25" si="28">SUM(G25+C25)</f>
        <v>19000000</v>
      </c>
      <c r="L25" s="357">
        <f t="shared" si="28"/>
        <v>0</v>
      </c>
      <c r="M25" s="357">
        <f t="shared" si="28"/>
        <v>0</v>
      </c>
      <c r="N25" s="357">
        <f t="shared" ref="N25" si="29">SUM(K25:M25)</f>
        <v>19000000</v>
      </c>
      <c r="O25" s="372"/>
      <c r="P25" s="372"/>
      <c r="Q25" s="372"/>
      <c r="R25" s="372">
        <f>SUM(O25:Q25)</f>
        <v>0</v>
      </c>
      <c r="S25" s="372"/>
      <c r="T25" s="372"/>
      <c r="U25" s="372"/>
      <c r="V25" s="372">
        <f>SUM(S25:U25)</f>
        <v>0</v>
      </c>
      <c r="W25" s="372">
        <f>SUM(S25+O25)</f>
        <v>0</v>
      </c>
      <c r="X25" s="372">
        <f>SUM(T25+P25)</f>
        <v>0</v>
      </c>
      <c r="Y25" s="372">
        <f>SUM(Q25+U25)</f>
        <v>0</v>
      </c>
      <c r="Z25" s="372">
        <f>SUM(W25:Y25)</f>
        <v>0</v>
      </c>
      <c r="AA25" s="358">
        <f>SUM(O25+C25)</f>
        <v>19000000</v>
      </c>
      <c r="AB25" s="372">
        <f>SUM(P25+D25)</f>
        <v>0</v>
      </c>
      <c r="AC25" s="372">
        <f>SUM(Q25+E25)</f>
        <v>0</v>
      </c>
      <c r="AD25" s="372">
        <f>SUM(AA25:AC25)</f>
        <v>19000000</v>
      </c>
      <c r="AE25" s="358">
        <f t="shared" ref="AE25:AG25" si="30">SUM(S25+G25)</f>
        <v>0</v>
      </c>
      <c r="AF25" s="372">
        <f t="shared" si="30"/>
        <v>0</v>
      </c>
      <c r="AG25" s="372">
        <f t="shared" si="30"/>
        <v>0</v>
      </c>
      <c r="AH25" s="372">
        <f t="shared" ref="AH25" si="31">SUM(AE25:AG25)</f>
        <v>0</v>
      </c>
      <c r="AI25" s="358">
        <f t="shared" ref="AI25:AK25" si="32">SUM(W25+K25)</f>
        <v>19000000</v>
      </c>
      <c r="AJ25" s="372">
        <f t="shared" si="32"/>
        <v>0</v>
      </c>
      <c r="AK25" s="372">
        <f t="shared" si="32"/>
        <v>0</v>
      </c>
      <c r="AL25" s="372">
        <f t="shared" ref="AL25" si="33">SUM(AI25:AK25)</f>
        <v>19000000</v>
      </c>
    </row>
    <row r="26" spans="1:38" s="368" customFormat="1" x14ac:dyDescent="0.25">
      <c r="A26" s="360" t="s">
        <v>776</v>
      </c>
      <c r="B26" s="360" t="s">
        <v>305</v>
      </c>
      <c r="C26" s="361">
        <f>SUM(C25)</f>
        <v>19000000</v>
      </c>
      <c r="D26" s="361">
        <f t="shared" ref="D26:AL26" si="34">SUM(D25)</f>
        <v>0</v>
      </c>
      <c r="E26" s="361">
        <f t="shared" si="34"/>
        <v>0</v>
      </c>
      <c r="F26" s="361">
        <f t="shared" si="34"/>
        <v>19000000</v>
      </c>
      <c r="G26" s="361">
        <f t="shared" si="34"/>
        <v>0</v>
      </c>
      <c r="H26" s="361">
        <f t="shared" si="34"/>
        <v>0</v>
      </c>
      <c r="I26" s="361">
        <f t="shared" si="34"/>
        <v>0</v>
      </c>
      <c r="J26" s="361">
        <f t="shared" si="34"/>
        <v>0</v>
      </c>
      <c r="K26" s="361">
        <f t="shared" si="34"/>
        <v>19000000</v>
      </c>
      <c r="L26" s="361">
        <f t="shared" si="34"/>
        <v>0</v>
      </c>
      <c r="M26" s="361">
        <f t="shared" si="34"/>
        <v>0</v>
      </c>
      <c r="N26" s="361">
        <f t="shared" si="34"/>
        <v>19000000</v>
      </c>
      <c r="O26" s="361">
        <f t="shared" si="34"/>
        <v>0</v>
      </c>
      <c r="P26" s="361">
        <f t="shared" si="34"/>
        <v>0</v>
      </c>
      <c r="Q26" s="361">
        <f t="shared" si="34"/>
        <v>0</v>
      </c>
      <c r="R26" s="361">
        <f t="shared" si="34"/>
        <v>0</v>
      </c>
      <c r="S26" s="361">
        <f t="shared" si="34"/>
        <v>0</v>
      </c>
      <c r="T26" s="361">
        <f t="shared" si="34"/>
        <v>0</v>
      </c>
      <c r="U26" s="361">
        <f t="shared" si="34"/>
        <v>0</v>
      </c>
      <c r="V26" s="361">
        <f t="shared" si="34"/>
        <v>0</v>
      </c>
      <c r="W26" s="361">
        <f t="shared" si="34"/>
        <v>0</v>
      </c>
      <c r="X26" s="361">
        <f t="shared" si="34"/>
        <v>0</v>
      </c>
      <c r="Y26" s="361">
        <f t="shared" si="34"/>
        <v>0</v>
      </c>
      <c r="Z26" s="361">
        <f t="shared" si="34"/>
        <v>0</v>
      </c>
      <c r="AA26" s="361">
        <f t="shared" si="34"/>
        <v>19000000</v>
      </c>
      <c r="AB26" s="361">
        <f t="shared" si="34"/>
        <v>0</v>
      </c>
      <c r="AC26" s="361">
        <f t="shared" si="34"/>
        <v>0</v>
      </c>
      <c r="AD26" s="361">
        <f t="shared" si="34"/>
        <v>19000000</v>
      </c>
      <c r="AE26" s="361">
        <f t="shared" si="34"/>
        <v>0</v>
      </c>
      <c r="AF26" s="361">
        <f t="shared" si="34"/>
        <v>0</v>
      </c>
      <c r="AG26" s="361">
        <f t="shared" si="34"/>
        <v>0</v>
      </c>
      <c r="AH26" s="361">
        <f t="shared" si="34"/>
        <v>0</v>
      </c>
      <c r="AI26" s="361">
        <f t="shared" si="34"/>
        <v>19000000</v>
      </c>
      <c r="AJ26" s="361">
        <f t="shared" si="34"/>
        <v>0</v>
      </c>
      <c r="AK26" s="361">
        <f t="shared" si="34"/>
        <v>0</v>
      </c>
      <c r="AL26" s="361">
        <f t="shared" si="34"/>
        <v>19000000</v>
      </c>
    </row>
    <row r="27" spans="1:38" s="368" customFormat="1" x14ac:dyDescent="0.25">
      <c r="A27" s="360" t="s">
        <v>777</v>
      </c>
      <c r="B27" s="360" t="s">
        <v>306</v>
      </c>
      <c r="C27" s="361">
        <v>420000</v>
      </c>
      <c r="D27" s="374"/>
      <c r="E27" s="361"/>
      <c r="F27" s="375">
        <f>SUM(C27:E27)</f>
        <v>420000</v>
      </c>
      <c r="G27" s="375"/>
      <c r="H27" s="375"/>
      <c r="I27" s="375"/>
      <c r="J27" s="375">
        <f>SUM(G27:I27)</f>
        <v>0</v>
      </c>
      <c r="K27" s="361">
        <f t="shared" ref="K27:M28" si="35">SUM(G27+C27)</f>
        <v>420000</v>
      </c>
      <c r="L27" s="375">
        <f t="shared" si="35"/>
        <v>0</v>
      </c>
      <c r="M27" s="375">
        <f t="shared" si="35"/>
        <v>0</v>
      </c>
      <c r="N27" s="375">
        <f t="shared" ref="N27:N28" si="36">SUM(K27:M27)</f>
        <v>420000</v>
      </c>
      <c r="O27" s="376"/>
      <c r="P27" s="376"/>
      <c r="Q27" s="376"/>
      <c r="R27" s="376"/>
      <c r="S27" s="376"/>
      <c r="T27" s="376"/>
      <c r="U27" s="376"/>
      <c r="V27" s="376">
        <f>SUM(S27:U27)</f>
        <v>0</v>
      </c>
      <c r="W27" s="376">
        <f t="shared" ref="W27:X28" si="37">SUM(S27+O27)</f>
        <v>0</v>
      </c>
      <c r="X27" s="376">
        <f t="shared" si="37"/>
        <v>0</v>
      </c>
      <c r="Y27" s="376">
        <f t="shared" ref="Y27:Y28" si="38">SUM(Q27+U27)</f>
        <v>0</v>
      </c>
      <c r="Z27" s="376">
        <f t="shared" ref="Z27:Z28" si="39">SUM(W27:Y27)</f>
        <v>0</v>
      </c>
      <c r="AA27" s="361">
        <f t="shared" ref="AA27:AC28" si="40">SUM(O27+C27)</f>
        <v>420000</v>
      </c>
      <c r="AB27" s="376">
        <f t="shared" si="40"/>
        <v>0</v>
      </c>
      <c r="AC27" s="376">
        <f t="shared" si="40"/>
        <v>0</v>
      </c>
      <c r="AD27" s="376">
        <f>SUM(AA27:AC27)</f>
        <v>420000</v>
      </c>
      <c r="AE27" s="361">
        <f t="shared" ref="AE27:AG28" si="41">SUM(S27+G27)</f>
        <v>0</v>
      </c>
      <c r="AF27" s="376">
        <f t="shared" si="41"/>
        <v>0</v>
      </c>
      <c r="AG27" s="376">
        <f t="shared" si="41"/>
        <v>0</v>
      </c>
      <c r="AH27" s="376">
        <f t="shared" ref="AH27:AH28" si="42">SUM(AE27:AG27)</f>
        <v>0</v>
      </c>
      <c r="AI27" s="361">
        <f t="shared" ref="AI27:AK28" si="43">SUM(W27+K27)</f>
        <v>420000</v>
      </c>
      <c r="AJ27" s="376">
        <f t="shared" si="43"/>
        <v>0</v>
      </c>
      <c r="AK27" s="376">
        <f t="shared" si="43"/>
        <v>0</v>
      </c>
      <c r="AL27" s="376">
        <f t="shared" ref="AL27:AL28" si="44">SUM(AI27:AK27)</f>
        <v>420000</v>
      </c>
    </row>
    <row r="28" spans="1:38" x14ac:dyDescent="0.25">
      <c r="A28" s="352" t="s">
        <v>778</v>
      </c>
      <c r="B28" s="352" t="s">
        <v>307</v>
      </c>
      <c r="C28" s="372">
        <v>60000</v>
      </c>
      <c r="D28" s="373"/>
      <c r="E28" s="372"/>
      <c r="F28" s="357">
        <f>SUM(C28:E28)</f>
        <v>60000</v>
      </c>
      <c r="G28" s="357"/>
      <c r="H28" s="357"/>
      <c r="I28" s="357"/>
      <c r="J28" s="357">
        <f>SUM(G28:I28)</f>
        <v>0</v>
      </c>
      <c r="K28" s="356">
        <f t="shared" si="35"/>
        <v>60000</v>
      </c>
      <c r="L28" s="357">
        <f t="shared" si="35"/>
        <v>0</v>
      </c>
      <c r="M28" s="357">
        <f t="shared" si="35"/>
        <v>0</v>
      </c>
      <c r="N28" s="357">
        <f t="shared" si="36"/>
        <v>60000</v>
      </c>
      <c r="O28" s="372"/>
      <c r="P28" s="372"/>
      <c r="Q28" s="372"/>
      <c r="R28" s="372">
        <f>SUM(O28:Q28)</f>
        <v>0</v>
      </c>
      <c r="S28" s="372"/>
      <c r="T28" s="372"/>
      <c r="U28" s="372"/>
      <c r="V28" s="372">
        <f>SUM(S28:U28)</f>
        <v>0</v>
      </c>
      <c r="W28" s="372">
        <f t="shared" si="37"/>
        <v>0</v>
      </c>
      <c r="X28" s="372">
        <f t="shared" si="37"/>
        <v>0</v>
      </c>
      <c r="Y28" s="372">
        <f t="shared" si="38"/>
        <v>0</v>
      </c>
      <c r="Z28" s="372">
        <f t="shared" si="39"/>
        <v>0</v>
      </c>
      <c r="AA28" s="358">
        <f t="shared" si="40"/>
        <v>60000</v>
      </c>
      <c r="AB28" s="372">
        <f t="shared" si="40"/>
        <v>0</v>
      </c>
      <c r="AC28" s="372">
        <f t="shared" si="40"/>
        <v>0</v>
      </c>
      <c r="AD28" s="372">
        <f>SUM(AA28:AC28)</f>
        <v>60000</v>
      </c>
      <c r="AE28" s="358">
        <f t="shared" si="41"/>
        <v>0</v>
      </c>
      <c r="AF28" s="372">
        <f t="shared" si="41"/>
        <v>0</v>
      </c>
      <c r="AG28" s="372">
        <f t="shared" si="41"/>
        <v>0</v>
      </c>
      <c r="AH28" s="372">
        <f t="shared" si="42"/>
        <v>0</v>
      </c>
      <c r="AI28" s="358">
        <f t="shared" si="43"/>
        <v>60000</v>
      </c>
      <c r="AJ28" s="372">
        <f t="shared" si="43"/>
        <v>0</v>
      </c>
      <c r="AK28" s="372">
        <f t="shared" si="43"/>
        <v>0</v>
      </c>
      <c r="AL28" s="372">
        <f t="shared" si="44"/>
        <v>60000</v>
      </c>
    </row>
    <row r="29" spans="1:38" s="368" customFormat="1" ht="32.25" thickBot="1" x14ac:dyDescent="0.3">
      <c r="A29" s="377" t="s">
        <v>779</v>
      </c>
      <c r="B29" s="377" t="s">
        <v>307</v>
      </c>
      <c r="C29" s="378">
        <f t="shared" ref="C29:AL29" si="45">SUM(C28:C28)</f>
        <v>60000</v>
      </c>
      <c r="D29" s="378">
        <f t="shared" si="45"/>
        <v>0</v>
      </c>
      <c r="E29" s="378">
        <f t="shared" si="45"/>
        <v>0</v>
      </c>
      <c r="F29" s="378">
        <f t="shared" si="45"/>
        <v>60000</v>
      </c>
      <c r="G29" s="378">
        <f t="shared" si="45"/>
        <v>0</v>
      </c>
      <c r="H29" s="378">
        <f t="shared" si="45"/>
        <v>0</v>
      </c>
      <c r="I29" s="378">
        <f t="shared" si="45"/>
        <v>0</v>
      </c>
      <c r="J29" s="378">
        <f t="shared" si="45"/>
        <v>0</v>
      </c>
      <c r="K29" s="378">
        <f t="shared" si="45"/>
        <v>60000</v>
      </c>
      <c r="L29" s="378">
        <f t="shared" si="45"/>
        <v>0</v>
      </c>
      <c r="M29" s="378">
        <f t="shared" si="45"/>
        <v>0</v>
      </c>
      <c r="N29" s="378">
        <f t="shared" si="45"/>
        <v>60000</v>
      </c>
      <c r="O29" s="378">
        <f t="shared" si="45"/>
        <v>0</v>
      </c>
      <c r="P29" s="378">
        <f t="shared" si="45"/>
        <v>0</v>
      </c>
      <c r="Q29" s="378">
        <f t="shared" si="45"/>
        <v>0</v>
      </c>
      <c r="R29" s="378">
        <f t="shared" si="45"/>
        <v>0</v>
      </c>
      <c r="S29" s="378">
        <f t="shared" si="45"/>
        <v>0</v>
      </c>
      <c r="T29" s="378">
        <f t="shared" si="45"/>
        <v>0</v>
      </c>
      <c r="U29" s="378">
        <f t="shared" si="45"/>
        <v>0</v>
      </c>
      <c r="V29" s="378">
        <f t="shared" si="45"/>
        <v>0</v>
      </c>
      <c r="W29" s="378">
        <f t="shared" si="45"/>
        <v>0</v>
      </c>
      <c r="X29" s="378">
        <f t="shared" si="45"/>
        <v>0</v>
      </c>
      <c r="Y29" s="378">
        <f t="shared" si="45"/>
        <v>0</v>
      </c>
      <c r="Z29" s="378">
        <f t="shared" si="45"/>
        <v>0</v>
      </c>
      <c r="AA29" s="378">
        <f t="shared" si="45"/>
        <v>60000</v>
      </c>
      <c r="AB29" s="378">
        <f t="shared" si="45"/>
        <v>0</v>
      </c>
      <c r="AC29" s="378">
        <f t="shared" si="45"/>
        <v>0</v>
      </c>
      <c r="AD29" s="378">
        <f t="shared" si="45"/>
        <v>60000</v>
      </c>
      <c r="AE29" s="378">
        <f t="shared" si="45"/>
        <v>0</v>
      </c>
      <c r="AF29" s="378">
        <f t="shared" si="45"/>
        <v>0</v>
      </c>
      <c r="AG29" s="378">
        <f t="shared" si="45"/>
        <v>0</v>
      </c>
      <c r="AH29" s="378">
        <f t="shared" si="45"/>
        <v>0</v>
      </c>
      <c r="AI29" s="378">
        <f t="shared" si="45"/>
        <v>60000</v>
      </c>
      <c r="AJ29" s="378">
        <f t="shared" si="45"/>
        <v>0</v>
      </c>
      <c r="AK29" s="378">
        <f t="shared" si="45"/>
        <v>0</v>
      </c>
      <c r="AL29" s="378">
        <f t="shared" si="45"/>
        <v>60000</v>
      </c>
    </row>
    <row r="30" spans="1:38" s="368" customFormat="1" ht="31.5" x14ac:dyDescent="0.25">
      <c r="A30" s="379" t="s">
        <v>780</v>
      </c>
      <c r="B30" s="379" t="s">
        <v>308</v>
      </c>
      <c r="C30" s="380">
        <f t="shared" ref="C30:F30" si="46">SUM(C29+C27+C26)</f>
        <v>19480000</v>
      </c>
      <c r="D30" s="380">
        <f t="shared" si="46"/>
        <v>0</v>
      </c>
      <c r="E30" s="380">
        <f t="shared" si="46"/>
        <v>0</v>
      </c>
      <c r="F30" s="380">
        <f t="shared" si="46"/>
        <v>19480000</v>
      </c>
      <c r="G30" s="380">
        <f t="shared" ref="G30:AL30" si="47">SUM(G29+G27+G26)</f>
        <v>0</v>
      </c>
      <c r="H30" s="380">
        <f t="shared" si="47"/>
        <v>0</v>
      </c>
      <c r="I30" s="380">
        <f t="shared" si="47"/>
        <v>0</v>
      </c>
      <c r="J30" s="380">
        <f t="shared" si="47"/>
        <v>0</v>
      </c>
      <c r="K30" s="380">
        <f t="shared" si="47"/>
        <v>19480000</v>
      </c>
      <c r="L30" s="380">
        <f t="shared" si="47"/>
        <v>0</v>
      </c>
      <c r="M30" s="380">
        <f t="shared" si="47"/>
        <v>0</v>
      </c>
      <c r="N30" s="380">
        <f t="shared" si="47"/>
        <v>19480000</v>
      </c>
      <c r="O30" s="380">
        <f t="shared" si="47"/>
        <v>0</v>
      </c>
      <c r="P30" s="380">
        <f t="shared" si="47"/>
        <v>0</v>
      </c>
      <c r="Q30" s="380">
        <f t="shared" si="47"/>
        <v>0</v>
      </c>
      <c r="R30" s="380">
        <f t="shared" si="47"/>
        <v>0</v>
      </c>
      <c r="S30" s="380">
        <f t="shared" si="47"/>
        <v>0</v>
      </c>
      <c r="T30" s="380">
        <f t="shared" si="47"/>
        <v>0</v>
      </c>
      <c r="U30" s="380">
        <f t="shared" si="47"/>
        <v>0</v>
      </c>
      <c r="V30" s="380">
        <f t="shared" si="47"/>
        <v>0</v>
      </c>
      <c r="W30" s="380">
        <f t="shared" si="47"/>
        <v>0</v>
      </c>
      <c r="X30" s="380">
        <f t="shared" si="47"/>
        <v>0</v>
      </c>
      <c r="Y30" s="380">
        <f t="shared" si="47"/>
        <v>0</v>
      </c>
      <c r="Z30" s="380">
        <f t="shared" si="47"/>
        <v>0</v>
      </c>
      <c r="AA30" s="380">
        <f t="shared" si="47"/>
        <v>19480000</v>
      </c>
      <c r="AB30" s="380">
        <f t="shared" si="47"/>
        <v>0</v>
      </c>
      <c r="AC30" s="380">
        <f t="shared" si="47"/>
        <v>0</v>
      </c>
      <c r="AD30" s="380">
        <f t="shared" si="47"/>
        <v>19480000</v>
      </c>
      <c r="AE30" s="380">
        <f t="shared" si="47"/>
        <v>0</v>
      </c>
      <c r="AF30" s="380">
        <f t="shared" si="47"/>
        <v>0</v>
      </c>
      <c r="AG30" s="380">
        <f t="shared" si="47"/>
        <v>0</v>
      </c>
      <c r="AH30" s="380">
        <f t="shared" si="47"/>
        <v>0</v>
      </c>
      <c r="AI30" s="380">
        <f t="shared" si="47"/>
        <v>19480000</v>
      </c>
      <c r="AJ30" s="380">
        <f t="shared" si="47"/>
        <v>0</v>
      </c>
      <c r="AK30" s="380">
        <f t="shared" si="47"/>
        <v>0</v>
      </c>
      <c r="AL30" s="380">
        <f t="shared" si="47"/>
        <v>19480000</v>
      </c>
    </row>
    <row r="31" spans="1:38" x14ac:dyDescent="0.25">
      <c r="A31" s="352" t="s">
        <v>781</v>
      </c>
      <c r="B31" s="352" t="s">
        <v>309</v>
      </c>
      <c r="C31" s="372">
        <v>10000</v>
      </c>
      <c r="D31" s="373"/>
      <c r="E31" s="372"/>
      <c r="F31" s="381">
        <f t="shared" ref="F31:F34" si="48">SUM(C31:E31)</f>
        <v>10000</v>
      </c>
      <c r="G31" s="357"/>
      <c r="H31" s="357"/>
      <c r="I31" s="357"/>
      <c r="J31" s="357">
        <f>SUM(G31:I31)</f>
        <v>0</v>
      </c>
      <c r="K31" s="356">
        <f t="shared" ref="K31:K34" si="49">SUM(G31+C31)</f>
        <v>10000</v>
      </c>
      <c r="L31" s="357">
        <f t="shared" ref="L31:M34" si="50">SUM(H31+D31)</f>
        <v>0</v>
      </c>
      <c r="M31" s="357">
        <f t="shared" si="50"/>
        <v>0</v>
      </c>
      <c r="N31" s="357">
        <f t="shared" ref="N31:N34" si="51">SUM(K31:M31)</f>
        <v>10000</v>
      </c>
      <c r="O31" s="372"/>
      <c r="P31" s="372"/>
      <c r="Q31" s="372"/>
      <c r="R31" s="356">
        <f>SUM(O31:Q31)</f>
        <v>0</v>
      </c>
      <c r="S31" s="356"/>
      <c r="T31" s="356"/>
      <c r="U31" s="356"/>
      <c r="V31" s="356">
        <f>SUM(S31:U31)</f>
        <v>0</v>
      </c>
      <c r="W31" s="356">
        <f t="shared" ref="W31:X34" si="52">SUM(S31+O31)</f>
        <v>0</v>
      </c>
      <c r="X31" s="356">
        <f t="shared" si="52"/>
        <v>0</v>
      </c>
      <c r="Y31" s="356">
        <f t="shared" ref="Y31:Y34" si="53">SUM(Q31+U31)</f>
        <v>0</v>
      </c>
      <c r="Z31" s="356">
        <f t="shared" ref="Z31:Z34" si="54">SUM(W31:Y31)</f>
        <v>0</v>
      </c>
      <c r="AA31" s="372">
        <f t="shared" ref="AA31:AC34" si="55">SUM(O31+C31)</f>
        <v>10000</v>
      </c>
      <c r="AB31" s="356">
        <f t="shared" si="55"/>
        <v>0</v>
      </c>
      <c r="AC31" s="356">
        <f t="shared" si="55"/>
        <v>0</v>
      </c>
      <c r="AD31" s="356">
        <f t="shared" ref="AD31:AD34" si="56">SUM(AA31:AC31)</f>
        <v>10000</v>
      </c>
      <c r="AE31" s="372">
        <f t="shared" ref="AE31:AG34" si="57">SUM(S31+G31)</f>
        <v>0</v>
      </c>
      <c r="AF31" s="356">
        <f t="shared" si="57"/>
        <v>0</v>
      </c>
      <c r="AG31" s="356">
        <f t="shared" si="57"/>
        <v>0</v>
      </c>
      <c r="AH31" s="356">
        <f t="shared" ref="AH31:AH34" si="58">SUM(AE31:AG31)</f>
        <v>0</v>
      </c>
      <c r="AI31" s="372">
        <f t="shared" ref="AI31:AK34" si="59">SUM(W31+K31)</f>
        <v>10000</v>
      </c>
      <c r="AJ31" s="356">
        <f t="shared" si="59"/>
        <v>0</v>
      </c>
      <c r="AK31" s="356">
        <f t="shared" si="59"/>
        <v>0</v>
      </c>
      <c r="AL31" s="356">
        <f t="shared" ref="AL31:AL34" si="60">SUM(AI31:AK31)</f>
        <v>10000</v>
      </c>
    </row>
    <row r="32" spans="1:38" x14ac:dyDescent="0.25">
      <c r="A32" s="352" t="s">
        <v>782</v>
      </c>
      <c r="B32" s="352" t="s">
        <v>309</v>
      </c>
      <c r="C32" s="382">
        <v>50000</v>
      </c>
      <c r="D32" s="383"/>
      <c r="E32" s="382"/>
      <c r="F32" s="384">
        <f t="shared" si="48"/>
        <v>50000</v>
      </c>
      <c r="G32" s="384"/>
      <c r="H32" s="384"/>
      <c r="I32" s="384"/>
      <c r="J32" s="381">
        <f t="shared" ref="J32:J34" si="61">SUM(G32:I32)</f>
        <v>0</v>
      </c>
      <c r="K32" s="382">
        <f t="shared" si="49"/>
        <v>50000</v>
      </c>
      <c r="L32" s="384">
        <f t="shared" si="50"/>
        <v>0</v>
      </c>
      <c r="M32" s="384">
        <f t="shared" si="50"/>
        <v>0</v>
      </c>
      <c r="N32" s="384">
        <f t="shared" si="51"/>
        <v>50000</v>
      </c>
      <c r="O32" s="372"/>
      <c r="P32" s="372"/>
      <c r="Q32" s="372"/>
      <c r="R32" s="356">
        <f t="shared" ref="R32:R34" si="62">SUM(O32:Q32)</f>
        <v>0</v>
      </c>
      <c r="S32" s="372"/>
      <c r="T32" s="372"/>
      <c r="U32" s="372"/>
      <c r="V32" s="356">
        <f t="shared" ref="V32:V34" si="63">SUM(S32:U32)</f>
        <v>0</v>
      </c>
      <c r="W32" s="372">
        <f t="shared" si="52"/>
        <v>0</v>
      </c>
      <c r="X32" s="372">
        <f t="shared" si="52"/>
        <v>0</v>
      </c>
      <c r="Y32" s="372">
        <f t="shared" si="53"/>
        <v>0</v>
      </c>
      <c r="Z32" s="372">
        <f t="shared" si="54"/>
        <v>0</v>
      </c>
      <c r="AA32" s="372">
        <f t="shared" si="55"/>
        <v>50000</v>
      </c>
      <c r="AB32" s="372">
        <f t="shared" si="55"/>
        <v>0</v>
      </c>
      <c r="AC32" s="372">
        <f t="shared" si="55"/>
        <v>0</v>
      </c>
      <c r="AD32" s="372">
        <f t="shared" si="56"/>
        <v>50000</v>
      </c>
      <c r="AE32" s="372">
        <f t="shared" si="57"/>
        <v>0</v>
      </c>
      <c r="AF32" s="372">
        <f t="shared" si="57"/>
        <v>0</v>
      </c>
      <c r="AG32" s="372">
        <f t="shared" si="57"/>
        <v>0</v>
      </c>
      <c r="AH32" s="372">
        <f t="shared" si="58"/>
        <v>0</v>
      </c>
      <c r="AI32" s="372">
        <f t="shared" si="59"/>
        <v>50000</v>
      </c>
      <c r="AJ32" s="372">
        <f t="shared" si="59"/>
        <v>0</v>
      </c>
      <c r="AK32" s="372">
        <f t="shared" si="59"/>
        <v>0</v>
      </c>
      <c r="AL32" s="372">
        <f t="shared" si="60"/>
        <v>50000</v>
      </c>
    </row>
    <row r="33" spans="1:38" ht="31.5" x14ac:dyDescent="0.25">
      <c r="A33" s="352" t="s">
        <v>783</v>
      </c>
      <c r="B33" s="352" t="s">
        <v>309</v>
      </c>
      <c r="C33" s="382">
        <v>17500</v>
      </c>
      <c r="D33" s="383"/>
      <c r="E33" s="382"/>
      <c r="F33" s="384">
        <f t="shared" si="48"/>
        <v>17500</v>
      </c>
      <c r="G33" s="384"/>
      <c r="H33" s="384"/>
      <c r="I33" s="384"/>
      <c r="J33" s="381">
        <f t="shared" si="61"/>
        <v>0</v>
      </c>
      <c r="K33" s="382">
        <f t="shared" si="49"/>
        <v>17500</v>
      </c>
      <c r="L33" s="384">
        <f t="shared" si="50"/>
        <v>0</v>
      </c>
      <c r="M33" s="384">
        <f t="shared" si="50"/>
        <v>0</v>
      </c>
      <c r="N33" s="384">
        <f t="shared" si="51"/>
        <v>17500</v>
      </c>
      <c r="O33" s="372"/>
      <c r="P33" s="372"/>
      <c r="Q33" s="372"/>
      <c r="R33" s="356">
        <f t="shared" si="62"/>
        <v>0</v>
      </c>
      <c r="S33" s="372"/>
      <c r="T33" s="372"/>
      <c r="U33" s="372"/>
      <c r="V33" s="356">
        <f t="shared" si="63"/>
        <v>0</v>
      </c>
      <c r="W33" s="372">
        <f t="shared" si="52"/>
        <v>0</v>
      </c>
      <c r="X33" s="372">
        <f t="shared" si="52"/>
        <v>0</v>
      </c>
      <c r="Y33" s="372">
        <f t="shared" si="53"/>
        <v>0</v>
      </c>
      <c r="Z33" s="372">
        <f t="shared" si="54"/>
        <v>0</v>
      </c>
      <c r="AA33" s="372">
        <f t="shared" si="55"/>
        <v>17500</v>
      </c>
      <c r="AB33" s="372">
        <f t="shared" si="55"/>
        <v>0</v>
      </c>
      <c r="AC33" s="372">
        <f t="shared" si="55"/>
        <v>0</v>
      </c>
      <c r="AD33" s="372">
        <f t="shared" si="56"/>
        <v>17500</v>
      </c>
      <c r="AE33" s="372">
        <f t="shared" si="57"/>
        <v>0</v>
      </c>
      <c r="AF33" s="372">
        <f t="shared" si="57"/>
        <v>0</v>
      </c>
      <c r="AG33" s="372">
        <f t="shared" si="57"/>
        <v>0</v>
      </c>
      <c r="AH33" s="372">
        <f t="shared" si="58"/>
        <v>0</v>
      </c>
      <c r="AI33" s="372">
        <f t="shared" si="59"/>
        <v>17500</v>
      </c>
      <c r="AJ33" s="372">
        <f t="shared" si="59"/>
        <v>0</v>
      </c>
      <c r="AK33" s="372">
        <f t="shared" si="59"/>
        <v>0</v>
      </c>
      <c r="AL33" s="372">
        <f t="shared" si="60"/>
        <v>17500</v>
      </c>
    </row>
    <row r="34" spans="1:38" x14ac:dyDescent="0.25">
      <c r="A34" s="352" t="s">
        <v>784</v>
      </c>
      <c r="B34" s="352" t="s">
        <v>309</v>
      </c>
      <c r="C34" s="382">
        <v>5000</v>
      </c>
      <c r="D34" s="383"/>
      <c r="E34" s="382"/>
      <c r="F34" s="384">
        <f t="shared" si="48"/>
        <v>5000</v>
      </c>
      <c r="G34" s="384">
        <f>920+4983</f>
        <v>5903</v>
      </c>
      <c r="H34" s="384"/>
      <c r="I34" s="384"/>
      <c r="J34" s="381">
        <f t="shared" si="61"/>
        <v>5903</v>
      </c>
      <c r="K34" s="382">
        <f t="shared" si="49"/>
        <v>10903</v>
      </c>
      <c r="L34" s="384">
        <f t="shared" si="50"/>
        <v>0</v>
      </c>
      <c r="M34" s="384">
        <f t="shared" si="50"/>
        <v>0</v>
      </c>
      <c r="N34" s="384">
        <f t="shared" si="51"/>
        <v>10903</v>
      </c>
      <c r="O34" s="372"/>
      <c r="P34" s="372"/>
      <c r="Q34" s="372">
        <v>300</v>
      </c>
      <c r="R34" s="356">
        <f t="shared" si="62"/>
        <v>300</v>
      </c>
      <c r="S34" s="372"/>
      <c r="T34" s="372"/>
      <c r="U34" s="372"/>
      <c r="V34" s="356">
        <f t="shared" si="63"/>
        <v>0</v>
      </c>
      <c r="W34" s="372">
        <f t="shared" si="52"/>
        <v>0</v>
      </c>
      <c r="X34" s="372">
        <f t="shared" si="52"/>
        <v>0</v>
      </c>
      <c r="Y34" s="372">
        <f t="shared" si="53"/>
        <v>300</v>
      </c>
      <c r="Z34" s="372">
        <f t="shared" si="54"/>
        <v>300</v>
      </c>
      <c r="AA34" s="372">
        <f t="shared" si="55"/>
        <v>5000</v>
      </c>
      <c r="AB34" s="372">
        <f t="shared" si="55"/>
        <v>0</v>
      </c>
      <c r="AC34" s="372">
        <f t="shared" si="55"/>
        <v>300</v>
      </c>
      <c r="AD34" s="372">
        <f t="shared" si="56"/>
        <v>5300</v>
      </c>
      <c r="AE34" s="372">
        <f t="shared" si="57"/>
        <v>5903</v>
      </c>
      <c r="AF34" s="372">
        <f t="shared" si="57"/>
        <v>0</v>
      </c>
      <c r="AG34" s="372">
        <f t="shared" si="57"/>
        <v>0</v>
      </c>
      <c r="AH34" s="372">
        <f t="shared" si="58"/>
        <v>5903</v>
      </c>
      <c r="AI34" s="372">
        <f t="shared" si="59"/>
        <v>10903</v>
      </c>
      <c r="AJ34" s="372">
        <f t="shared" si="59"/>
        <v>0</v>
      </c>
      <c r="AK34" s="372">
        <f t="shared" si="59"/>
        <v>300</v>
      </c>
      <c r="AL34" s="372">
        <f t="shared" si="60"/>
        <v>11203</v>
      </c>
    </row>
    <row r="35" spans="1:38" s="368" customFormat="1" ht="31.5" x14ac:dyDescent="0.25">
      <c r="A35" s="360" t="s">
        <v>785</v>
      </c>
      <c r="B35" s="360" t="s">
        <v>309</v>
      </c>
      <c r="C35" s="361">
        <f t="shared" ref="C35:AL35" si="64">SUM(C31:C34)</f>
        <v>82500</v>
      </c>
      <c r="D35" s="361">
        <f t="shared" si="64"/>
        <v>0</v>
      </c>
      <c r="E35" s="361">
        <f t="shared" si="64"/>
        <v>0</v>
      </c>
      <c r="F35" s="361">
        <f t="shared" si="64"/>
        <v>82500</v>
      </c>
      <c r="G35" s="361">
        <f t="shared" si="64"/>
        <v>5903</v>
      </c>
      <c r="H35" s="361">
        <f t="shared" si="64"/>
        <v>0</v>
      </c>
      <c r="I35" s="361">
        <f t="shared" si="64"/>
        <v>0</v>
      </c>
      <c r="J35" s="361">
        <f t="shared" si="64"/>
        <v>5903</v>
      </c>
      <c r="K35" s="361">
        <f t="shared" si="64"/>
        <v>88403</v>
      </c>
      <c r="L35" s="361">
        <f t="shared" si="64"/>
        <v>0</v>
      </c>
      <c r="M35" s="361">
        <f t="shared" si="64"/>
        <v>0</v>
      </c>
      <c r="N35" s="361">
        <f t="shared" si="64"/>
        <v>88403</v>
      </c>
      <c r="O35" s="361">
        <f t="shared" si="64"/>
        <v>0</v>
      </c>
      <c r="P35" s="361">
        <f t="shared" si="64"/>
        <v>0</v>
      </c>
      <c r="Q35" s="361">
        <f t="shared" si="64"/>
        <v>300</v>
      </c>
      <c r="R35" s="361">
        <f t="shared" si="64"/>
        <v>300</v>
      </c>
      <c r="S35" s="361">
        <f t="shared" si="64"/>
        <v>0</v>
      </c>
      <c r="T35" s="361">
        <f t="shared" si="64"/>
        <v>0</v>
      </c>
      <c r="U35" s="361">
        <f t="shared" si="64"/>
        <v>0</v>
      </c>
      <c r="V35" s="361">
        <f t="shared" si="64"/>
        <v>0</v>
      </c>
      <c r="W35" s="361">
        <f t="shared" si="64"/>
        <v>0</v>
      </c>
      <c r="X35" s="361">
        <f t="shared" si="64"/>
        <v>0</v>
      </c>
      <c r="Y35" s="361">
        <f t="shared" si="64"/>
        <v>300</v>
      </c>
      <c r="Z35" s="361">
        <f t="shared" si="64"/>
        <v>300</v>
      </c>
      <c r="AA35" s="361">
        <f t="shared" si="64"/>
        <v>82500</v>
      </c>
      <c r="AB35" s="361">
        <f t="shared" si="64"/>
        <v>0</v>
      </c>
      <c r="AC35" s="361">
        <f t="shared" si="64"/>
        <v>300</v>
      </c>
      <c r="AD35" s="361">
        <f t="shared" si="64"/>
        <v>82800</v>
      </c>
      <c r="AE35" s="361">
        <f t="shared" si="64"/>
        <v>5903</v>
      </c>
      <c r="AF35" s="361">
        <f t="shared" si="64"/>
        <v>0</v>
      </c>
      <c r="AG35" s="361">
        <f t="shared" si="64"/>
        <v>0</v>
      </c>
      <c r="AH35" s="361">
        <f t="shared" si="64"/>
        <v>5903</v>
      </c>
      <c r="AI35" s="361">
        <f t="shared" si="64"/>
        <v>88403</v>
      </c>
      <c r="AJ35" s="361">
        <f t="shared" si="64"/>
        <v>0</v>
      </c>
      <c r="AK35" s="361">
        <f t="shared" si="64"/>
        <v>300</v>
      </c>
      <c r="AL35" s="361">
        <f t="shared" si="64"/>
        <v>88703</v>
      </c>
    </row>
    <row r="36" spans="1:38" ht="31.5" x14ac:dyDescent="0.25">
      <c r="A36" s="363" t="s">
        <v>786</v>
      </c>
      <c r="B36" s="363" t="s">
        <v>243</v>
      </c>
      <c r="C36" s="385">
        <f>SUM(C24+C30+C35)</f>
        <v>21562500</v>
      </c>
      <c r="D36" s="385">
        <f t="shared" ref="D36:AL36" si="65">SUM(D24+D30+D35)</f>
        <v>0</v>
      </c>
      <c r="E36" s="385">
        <f t="shared" si="65"/>
        <v>0</v>
      </c>
      <c r="F36" s="385">
        <f t="shared" si="65"/>
        <v>21562500</v>
      </c>
      <c r="G36" s="385">
        <f t="shared" si="65"/>
        <v>5903</v>
      </c>
      <c r="H36" s="385">
        <f t="shared" si="65"/>
        <v>0</v>
      </c>
      <c r="I36" s="385">
        <f t="shared" si="65"/>
        <v>0</v>
      </c>
      <c r="J36" s="385">
        <f t="shared" si="65"/>
        <v>5903</v>
      </c>
      <c r="K36" s="385">
        <f t="shared" si="65"/>
        <v>21568403</v>
      </c>
      <c r="L36" s="385">
        <f t="shared" si="65"/>
        <v>0</v>
      </c>
      <c r="M36" s="385">
        <f t="shared" si="65"/>
        <v>0</v>
      </c>
      <c r="N36" s="385">
        <f t="shared" si="65"/>
        <v>21568403</v>
      </c>
      <c r="O36" s="385">
        <f t="shared" si="65"/>
        <v>0</v>
      </c>
      <c r="P36" s="385">
        <f t="shared" si="65"/>
        <v>0</v>
      </c>
      <c r="Q36" s="385">
        <f t="shared" si="65"/>
        <v>300</v>
      </c>
      <c r="R36" s="385">
        <f t="shared" si="65"/>
        <v>300</v>
      </c>
      <c r="S36" s="385">
        <f t="shared" si="65"/>
        <v>0</v>
      </c>
      <c r="T36" s="385">
        <f t="shared" si="65"/>
        <v>0</v>
      </c>
      <c r="U36" s="385">
        <f t="shared" si="65"/>
        <v>0</v>
      </c>
      <c r="V36" s="385">
        <f t="shared" si="65"/>
        <v>0</v>
      </c>
      <c r="W36" s="385">
        <f t="shared" si="65"/>
        <v>0</v>
      </c>
      <c r="X36" s="385">
        <f t="shared" si="65"/>
        <v>0</v>
      </c>
      <c r="Y36" s="385">
        <f t="shared" si="65"/>
        <v>300</v>
      </c>
      <c r="Z36" s="385">
        <f t="shared" si="65"/>
        <v>300</v>
      </c>
      <c r="AA36" s="385">
        <f t="shared" si="65"/>
        <v>21562500</v>
      </c>
      <c r="AB36" s="385">
        <f t="shared" si="65"/>
        <v>0</v>
      </c>
      <c r="AC36" s="385">
        <f t="shared" si="65"/>
        <v>300</v>
      </c>
      <c r="AD36" s="385">
        <f t="shared" si="65"/>
        <v>21562800</v>
      </c>
      <c r="AE36" s="385">
        <f t="shared" si="65"/>
        <v>5903</v>
      </c>
      <c r="AF36" s="385">
        <f t="shared" si="65"/>
        <v>0</v>
      </c>
      <c r="AG36" s="385">
        <f t="shared" si="65"/>
        <v>0</v>
      </c>
      <c r="AH36" s="385">
        <f t="shared" si="65"/>
        <v>5903</v>
      </c>
      <c r="AI36" s="385">
        <f t="shared" si="65"/>
        <v>21568403</v>
      </c>
      <c r="AJ36" s="385">
        <f t="shared" si="65"/>
        <v>0</v>
      </c>
      <c r="AK36" s="385">
        <f t="shared" si="65"/>
        <v>300</v>
      </c>
      <c r="AL36" s="385">
        <f t="shared" si="65"/>
        <v>21568703</v>
      </c>
    </row>
    <row r="37" spans="1:38" x14ac:dyDescent="0.25">
      <c r="A37" s="363" t="s">
        <v>787</v>
      </c>
      <c r="B37" s="363" t="s">
        <v>244</v>
      </c>
      <c r="C37" s="385">
        <v>1070947</v>
      </c>
      <c r="D37" s="385">
        <v>1099635</v>
      </c>
      <c r="E37" s="385"/>
      <c r="F37" s="385">
        <f>SUM(C37:E37)</f>
        <v>2170582</v>
      </c>
      <c r="G37" s="385">
        <f>297+3</f>
        <v>300</v>
      </c>
      <c r="H37" s="385">
        <v>0</v>
      </c>
      <c r="I37" s="385"/>
      <c r="J37" s="385">
        <f>SUM(G37:I37)</f>
        <v>300</v>
      </c>
      <c r="K37" s="385">
        <f t="shared" ref="K37:K41" si="66">SUM(G37+C37)</f>
        <v>1071247</v>
      </c>
      <c r="L37" s="385">
        <f t="shared" ref="L37:M41" si="67">SUM(H37+D37)</f>
        <v>1099635</v>
      </c>
      <c r="M37" s="385">
        <f t="shared" si="67"/>
        <v>0</v>
      </c>
      <c r="N37" s="385">
        <f t="shared" ref="N37:N41" si="68">SUM(K37:M37)</f>
        <v>2170882</v>
      </c>
      <c r="O37" s="385">
        <v>1104400</v>
      </c>
      <c r="P37" s="385">
        <v>354556</v>
      </c>
      <c r="Q37" s="385">
        <v>0</v>
      </c>
      <c r="R37" s="385">
        <f>SUM(O37:Q37)</f>
        <v>1458956</v>
      </c>
      <c r="S37" s="385">
        <v>11789</v>
      </c>
      <c r="T37" s="385"/>
      <c r="U37" s="385">
        <v>0</v>
      </c>
      <c r="V37" s="385">
        <f>SUM(S37:U37)</f>
        <v>11789</v>
      </c>
      <c r="W37" s="385">
        <f t="shared" ref="W37:X41" si="69">SUM(S37+O37)</f>
        <v>1116189</v>
      </c>
      <c r="X37" s="385">
        <f t="shared" si="69"/>
        <v>354556</v>
      </c>
      <c r="Y37" s="385">
        <f t="shared" ref="Y37:Y41" si="70">SUM(Q37+U37)</f>
        <v>0</v>
      </c>
      <c r="Z37" s="385">
        <f t="shared" ref="Z37:Z41" si="71">SUM(W37:Y37)</f>
        <v>1470745</v>
      </c>
      <c r="AA37" s="358">
        <f t="shared" ref="AA37:AC40" si="72">SUM(O37+C37)</f>
        <v>2175347</v>
      </c>
      <c r="AB37" s="358">
        <f t="shared" si="72"/>
        <v>1454191</v>
      </c>
      <c r="AC37" s="358">
        <f t="shared" si="72"/>
        <v>0</v>
      </c>
      <c r="AD37" s="358">
        <f>SUM(AA37:AC37)</f>
        <v>3629538</v>
      </c>
      <c r="AE37" s="358">
        <f t="shared" ref="AE37:AG40" si="73">SUM(S37+G37)</f>
        <v>12089</v>
      </c>
      <c r="AF37" s="358">
        <f t="shared" si="73"/>
        <v>0</v>
      </c>
      <c r="AG37" s="358">
        <f t="shared" si="73"/>
        <v>0</v>
      </c>
      <c r="AH37" s="358">
        <f t="shared" ref="AH37:AH40" si="74">SUM(AE37:AG37)</f>
        <v>12089</v>
      </c>
      <c r="AI37" s="358">
        <f t="shared" ref="AI37:AK40" si="75">SUM(W37+K37)</f>
        <v>2187436</v>
      </c>
      <c r="AJ37" s="358">
        <f t="shared" si="75"/>
        <v>1454191</v>
      </c>
      <c r="AK37" s="358">
        <f t="shared" si="75"/>
        <v>0</v>
      </c>
      <c r="AL37" s="358">
        <f t="shared" ref="AL37:AL40" si="76">SUM(AI37:AK37)</f>
        <v>3641627</v>
      </c>
    </row>
    <row r="38" spans="1:38" x14ac:dyDescent="0.25">
      <c r="A38" s="352" t="s">
        <v>318</v>
      </c>
      <c r="B38" s="352" t="s">
        <v>310</v>
      </c>
      <c r="C38" s="356">
        <v>391732</v>
      </c>
      <c r="D38" s="355">
        <v>23622</v>
      </c>
      <c r="E38" s="386"/>
      <c r="F38" s="355">
        <f>SUM(C38:E38)</f>
        <v>415354</v>
      </c>
      <c r="G38" s="356"/>
      <c r="H38" s="356"/>
      <c r="I38" s="356"/>
      <c r="J38" s="356">
        <f>SUM(G38:I38)</f>
        <v>0</v>
      </c>
      <c r="K38" s="356">
        <f t="shared" si="66"/>
        <v>391732</v>
      </c>
      <c r="L38" s="356">
        <f t="shared" si="67"/>
        <v>23622</v>
      </c>
      <c r="M38" s="356">
        <f t="shared" si="67"/>
        <v>0</v>
      </c>
      <c r="N38" s="357">
        <f t="shared" si="68"/>
        <v>415354</v>
      </c>
      <c r="O38" s="356"/>
      <c r="P38" s="356"/>
      <c r="Q38" s="356"/>
      <c r="R38" s="356">
        <f>SUM(O38:Q38)</f>
        <v>0</v>
      </c>
      <c r="S38" s="356"/>
      <c r="T38" s="356"/>
      <c r="U38" s="356"/>
      <c r="V38" s="356">
        <f>SUM(S38:U38)</f>
        <v>0</v>
      </c>
      <c r="W38" s="356">
        <f t="shared" si="69"/>
        <v>0</v>
      </c>
      <c r="X38" s="356">
        <f t="shared" si="69"/>
        <v>0</v>
      </c>
      <c r="Y38" s="356">
        <f t="shared" si="70"/>
        <v>0</v>
      </c>
      <c r="Z38" s="356">
        <f t="shared" si="71"/>
        <v>0</v>
      </c>
      <c r="AA38" s="372">
        <f t="shared" si="72"/>
        <v>391732</v>
      </c>
      <c r="AB38" s="372">
        <f t="shared" si="72"/>
        <v>23622</v>
      </c>
      <c r="AC38" s="372">
        <f t="shared" si="72"/>
        <v>0</v>
      </c>
      <c r="AD38" s="372">
        <f>SUM(AA38:AC38)</f>
        <v>415354</v>
      </c>
      <c r="AE38" s="372">
        <f t="shared" si="73"/>
        <v>0</v>
      </c>
      <c r="AF38" s="372">
        <f t="shared" si="73"/>
        <v>0</v>
      </c>
      <c r="AG38" s="372">
        <f t="shared" si="73"/>
        <v>0</v>
      </c>
      <c r="AH38" s="372">
        <f t="shared" si="74"/>
        <v>0</v>
      </c>
      <c r="AI38" s="372">
        <f t="shared" si="75"/>
        <v>391732</v>
      </c>
      <c r="AJ38" s="372">
        <f t="shared" si="75"/>
        <v>23622</v>
      </c>
      <c r="AK38" s="372">
        <f t="shared" si="75"/>
        <v>0</v>
      </c>
      <c r="AL38" s="372">
        <f t="shared" si="76"/>
        <v>415354</v>
      </c>
    </row>
    <row r="39" spans="1:38" ht="31.5" x14ac:dyDescent="0.25">
      <c r="A39" s="387" t="s">
        <v>319</v>
      </c>
      <c r="B39" s="352" t="s">
        <v>320</v>
      </c>
      <c r="C39" s="356">
        <v>166824</v>
      </c>
      <c r="D39" s="355">
        <v>810877</v>
      </c>
      <c r="E39" s="386"/>
      <c r="F39" s="355">
        <f>SUM(C39:E39)</f>
        <v>977701</v>
      </c>
      <c r="G39" s="356"/>
      <c r="H39" s="356"/>
      <c r="I39" s="356"/>
      <c r="J39" s="356">
        <f t="shared" ref="J39:J41" si="77">SUM(G39:I39)</f>
        <v>0</v>
      </c>
      <c r="K39" s="356">
        <f t="shared" si="66"/>
        <v>166824</v>
      </c>
      <c r="L39" s="356">
        <f t="shared" si="67"/>
        <v>810877</v>
      </c>
      <c r="M39" s="356">
        <f t="shared" si="67"/>
        <v>0</v>
      </c>
      <c r="N39" s="357">
        <f t="shared" si="68"/>
        <v>977701</v>
      </c>
      <c r="O39" s="356">
        <v>311569</v>
      </c>
      <c r="P39" s="356">
        <v>111745</v>
      </c>
      <c r="Q39" s="356"/>
      <c r="R39" s="356">
        <f>SUM(O39:Q39)</f>
        <v>423314</v>
      </c>
      <c r="S39" s="356">
        <v>1358</v>
      </c>
      <c r="T39" s="356"/>
      <c r="U39" s="356">
        <v>0</v>
      </c>
      <c r="V39" s="356">
        <f t="shared" ref="V39:V41" si="78">SUM(S39:U39)</f>
        <v>1358</v>
      </c>
      <c r="W39" s="356">
        <f t="shared" si="69"/>
        <v>312927</v>
      </c>
      <c r="X39" s="356">
        <f t="shared" si="69"/>
        <v>111745</v>
      </c>
      <c r="Y39" s="356">
        <f t="shared" si="70"/>
        <v>0</v>
      </c>
      <c r="Z39" s="356">
        <f t="shared" si="71"/>
        <v>424672</v>
      </c>
      <c r="AA39" s="372">
        <f t="shared" si="72"/>
        <v>478393</v>
      </c>
      <c r="AB39" s="372">
        <f t="shared" si="72"/>
        <v>922622</v>
      </c>
      <c r="AC39" s="372">
        <f t="shared" si="72"/>
        <v>0</v>
      </c>
      <c r="AD39" s="372">
        <f>SUM(AA39:AC39)</f>
        <v>1401015</v>
      </c>
      <c r="AE39" s="372">
        <f t="shared" si="73"/>
        <v>1358</v>
      </c>
      <c r="AF39" s="372">
        <f t="shared" si="73"/>
        <v>0</v>
      </c>
      <c r="AG39" s="372">
        <f t="shared" si="73"/>
        <v>0</v>
      </c>
      <c r="AH39" s="372">
        <f t="shared" si="74"/>
        <v>1358</v>
      </c>
      <c r="AI39" s="372">
        <f t="shared" si="75"/>
        <v>479751</v>
      </c>
      <c r="AJ39" s="372">
        <f t="shared" si="75"/>
        <v>922622</v>
      </c>
      <c r="AK39" s="372">
        <f t="shared" si="75"/>
        <v>0</v>
      </c>
      <c r="AL39" s="372">
        <f t="shared" si="76"/>
        <v>1402373</v>
      </c>
    </row>
    <row r="40" spans="1:38" x14ac:dyDescent="0.25">
      <c r="A40" s="387" t="s">
        <v>321</v>
      </c>
      <c r="B40" s="352" t="s">
        <v>311</v>
      </c>
      <c r="C40" s="356">
        <v>102637</v>
      </c>
      <c r="D40" s="355"/>
      <c r="E40" s="386"/>
      <c r="F40" s="355">
        <f>SUM(C40:E40)</f>
        <v>102637</v>
      </c>
      <c r="G40" s="356">
        <v>3</v>
      </c>
      <c r="H40" s="356"/>
      <c r="I40" s="356"/>
      <c r="J40" s="356">
        <f t="shared" si="77"/>
        <v>3</v>
      </c>
      <c r="K40" s="356">
        <f t="shared" si="66"/>
        <v>102640</v>
      </c>
      <c r="L40" s="356">
        <f t="shared" si="67"/>
        <v>0</v>
      </c>
      <c r="M40" s="356">
        <f t="shared" si="67"/>
        <v>0</v>
      </c>
      <c r="N40" s="357">
        <f t="shared" si="68"/>
        <v>102640</v>
      </c>
      <c r="O40" s="356"/>
      <c r="P40" s="356"/>
      <c r="Q40" s="356"/>
      <c r="R40" s="356">
        <f>SUM(O40:Q40)</f>
        <v>0</v>
      </c>
      <c r="S40" s="356"/>
      <c r="T40" s="356"/>
      <c r="U40" s="356"/>
      <c r="V40" s="356">
        <f t="shared" si="78"/>
        <v>0</v>
      </c>
      <c r="W40" s="356">
        <f t="shared" si="69"/>
        <v>0</v>
      </c>
      <c r="X40" s="356">
        <f t="shared" si="69"/>
        <v>0</v>
      </c>
      <c r="Y40" s="356">
        <f t="shared" si="70"/>
        <v>0</v>
      </c>
      <c r="Z40" s="356">
        <f t="shared" si="71"/>
        <v>0</v>
      </c>
      <c r="AA40" s="372">
        <f t="shared" si="72"/>
        <v>102637</v>
      </c>
      <c r="AB40" s="372">
        <f t="shared" si="72"/>
        <v>0</v>
      </c>
      <c r="AC40" s="372">
        <f t="shared" si="72"/>
        <v>0</v>
      </c>
      <c r="AD40" s="372">
        <f>SUM(AA40:AC40)</f>
        <v>102637</v>
      </c>
      <c r="AE40" s="372">
        <f t="shared" si="73"/>
        <v>3</v>
      </c>
      <c r="AF40" s="372">
        <f t="shared" si="73"/>
        <v>0</v>
      </c>
      <c r="AG40" s="372">
        <f t="shared" si="73"/>
        <v>0</v>
      </c>
      <c r="AH40" s="372">
        <f t="shared" si="74"/>
        <v>3</v>
      </c>
      <c r="AI40" s="372">
        <f t="shared" si="75"/>
        <v>102640</v>
      </c>
      <c r="AJ40" s="372">
        <f t="shared" si="75"/>
        <v>0</v>
      </c>
      <c r="AK40" s="372">
        <f t="shared" si="75"/>
        <v>0</v>
      </c>
      <c r="AL40" s="372">
        <f t="shared" si="76"/>
        <v>102640</v>
      </c>
    </row>
    <row r="41" spans="1:38" ht="30.75" customHeight="1" x14ac:dyDescent="0.25">
      <c r="A41" s="388" t="s">
        <v>788</v>
      </c>
      <c r="B41" s="388" t="s">
        <v>312</v>
      </c>
      <c r="C41" s="389">
        <v>205000</v>
      </c>
      <c r="D41" s="390"/>
      <c r="E41" s="389"/>
      <c r="F41" s="391">
        <f>SUM(C41:E41)</f>
        <v>205000</v>
      </c>
      <c r="G41" s="391"/>
      <c r="H41" s="391"/>
      <c r="I41" s="389"/>
      <c r="J41" s="356">
        <f t="shared" si="77"/>
        <v>0</v>
      </c>
      <c r="K41" s="389">
        <f t="shared" si="66"/>
        <v>205000</v>
      </c>
      <c r="L41" s="391">
        <f t="shared" si="67"/>
        <v>0</v>
      </c>
      <c r="M41" s="391">
        <f t="shared" si="67"/>
        <v>0</v>
      </c>
      <c r="N41" s="391">
        <f t="shared" si="68"/>
        <v>205000</v>
      </c>
      <c r="O41" s="389"/>
      <c r="P41" s="389"/>
      <c r="Q41" s="389"/>
      <c r="R41" s="356">
        <f>SUM(O41:Q41)</f>
        <v>0</v>
      </c>
      <c r="S41" s="356"/>
      <c r="T41" s="356"/>
      <c r="U41" s="356"/>
      <c r="V41" s="356">
        <f t="shared" si="78"/>
        <v>0</v>
      </c>
      <c r="W41" s="356">
        <f t="shared" si="69"/>
        <v>0</v>
      </c>
      <c r="X41" s="356">
        <f t="shared" si="69"/>
        <v>0</v>
      </c>
      <c r="Y41" s="356">
        <f t="shared" si="70"/>
        <v>0</v>
      </c>
      <c r="Z41" s="356">
        <f t="shared" si="71"/>
        <v>0</v>
      </c>
      <c r="AA41" s="358">
        <f>SUM(C41+O41)</f>
        <v>205000</v>
      </c>
      <c r="AB41" s="358">
        <f>SUM(D41+P41)</f>
        <v>0</v>
      </c>
      <c r="AC41" s="358">
        <f>SUM(E41+Q41)</f>
        <v>0</v>
      </c>
      <c r="AD41" s="358">
        <f>SUM(F41+R41)</f>
        <v>205000</v>
      </c>
      <c r="AE41" s="358">
        <f t="shared" ref="AE41:AL41" si="79">SUM(G41+S41)</f>
        <v>0</v>
      </c>
      <c r="AF41" s="358">
        <f t="shared" si="79"/>
        <v>0</v>
      </c>
      <c r="AG41" s="358">
        <f t="shared" si="79"/>
        <v>0</v>
      </c>
      <c r="AH41" s="358">
        <f t="shared" si="79"/>
        <v>0</v>
      </c>
      <c r="AI41" s="358">
        <f t="shared" si="79"/>
        <v>205000</v>
      </c>
      <c r="AJ41" s="358">
        <f t="shared" si="79"/>
        <v>0</v>
      </c>
      <c r="AK41" s="358">
        <f t="shared" si="79"/>
        <v>0</v>
      </c>
      <c r="AL41" s="358">
        <f t="shared" si="79"/>
        <v>205000</v>
      </c>
    </row>
    <row r="42" spans="1:38" x14ac:dyDescent="0.25">
      <c r="A42" s="392" t="s">
        <v>789</v>
      </c>
      <c r="B42" s="392" t="s">
        <v>245</v>
      </c>
      <c r="C42" s="358">
        <f t="shared" ref="C42:F42" si="80">SUM(C41:C41)</f>
        <v>205000</v>
      </c>
      <c r="D42" s="358">
        <f t="shared" si="80"/>
        <v>0</v>
      </c>
      <c r="E42" s="358">
        <f t="shared" si="80"/>
        <v>0</v>
      </c>
      <c r="F42" s="358">
        <f t="shared" si="80"/>
        <v>205000</v>
      </c>
      <c r="G42" s="358">
        <f t="shared" ref="G42:AL42" si="81">SUM(G41:G41)</f>
        <v>0</v>
      </c>
      <c r="H42" s="358">
        <f t="shared" si="81"/>
        <v>0</v>
      </c>
      <c r="I42" s="358">
        <f t="shared" si="81"/>
        <v>0</v>
      </c>
      <c r="J42" s="358">
        <f t="shared" si="81"/>
        <v>0</v>
      </c>
      <c r="K42" s="358">
        <f t="shared" si="81"/>
        <v>205000</v>
      </c>
      <c r="L42" s="358">
        <f t="shared" si="81"/>
        <v>0</v>
      </c>
      <c r="M42" s="358">
        <f t="shared" si="81"/>
        <v>0</v>
      </c>
      <c r="N42" s="358">
        <f t="shared" si="81"/>
        <v>205000</v>
      </c>
      <c r="O42" s="358">
        <f t="shared" si="81"/>
        <v>0</v>
      </c>
      <c r="P42" s="358">
        <f t="shared" si="81"/>
        <v>0</v>
      </c>
      <c r="Q42" s="358">
        <f t="shared" si="81"/>
        <v>0</v>
      </c>
      <c r="R42" s="358">
        <f t="shared" si="81"/>
        <v>0</v>
      </c>
      <c r="S42" s="358">
        <f t="shared" si="81"/>
        <v>0</v>
      </c>
      <c r="T42" s="358">
        <f t="shared" si="81"/>
        <v>0</v>
      </c>
      <c r="U42" s="358">
        <f t="shared" si="81"/>
        <v>0</v>
      </c>
      <c r="V42" s="358">
        <f t="shared" si="81"/>
        <v>0</v>
      </c>
      <c r="W42" s="358">
        <f t="shared" si="81"/>
        <v>0</v>
      </c>
      <c r="X42" s="358">
        <f t="shared" si="81"/>
        <v>0</v>
      </c>
      <c r="Y42" s="358">
        <f t="shared" si="81"/>
        <v>0</v>
      </c>
      <c r="Z42" s="358">
        <f t="shared" si="81"/>
        <v>0</v>
      </c>
      <c r="AA42" s="358">
        <f t="shared" si="81"/>
        <v>205000</v>
      </c>
      <c r="AB42" s="358">
        <f t="shared" si="81"/>
        <v>0</v>
      </c>
      <c r="AC42" s="358">
        <f t="shared" si="81"/>
        <v>0</v>
      </c>
      <c r="AD42" s="358">
        <f t="shared" si="81"/>
        <v>205000</v>
      </c>
      <c r="AE42" s="358">
        <f t="shared" si="81"/>
        <v>0</v>
      </c>
      <c r="AF42" s="358">
        <f t="shared" si="81"/>
        <v>0</v>
      </c>
      <c r="AG42" s="358">
        <f t="shared" si="81"/>
        <v>0</v>
      </c>
      <c r="AH42" s="358">
        <f t="shared" si="81"/>
        <v>0</v>
      </c>
      <c r="AI42" s="358">
        <f t="shared" si="81"/>
        <v>205000</v>
      </c>
      <c r="AJ42" s="358">
        <f t="shared" si="81"/>
        <v>0</v>
      </c>
      <c r="AK42" s="358">
        <f t="shared" si="81"/>
        <v>0</v>
      </c>
      <c r="AL42" s="358">
        <f t="shared" si="81"/>
        <v>205000</v>
      </c>
    </row>
    <row r="43" spans="1:38" x14ac:dyDescent="0.25">
      <c r="A43" s="393" t="s">
        <v>790</v>
      </c>
      <c r="B43" s="393" t="s">
        <v>246</v>
      </c>
      <c r="C43" s="394"/>
      <c r="D43" s="395">
        <v>403702</v>
      </c>
      <c r="E43" s="394"/>
      <c r="F43" s="396">
        <f>SUM(C43:E43)</f>
        <v>403702</v>
      </c>
      <c r="G43" s="396"/>
      <c r="H43" s="396"/>
      <c r="I43" s="396"/>
      <c r="J43" s="396">
        <f>SUM(G43:I43)</f>
        <v>0</v>
      </c>
      <c r="K43" s="394">
        <f t="shared" ref="K43:M44" si="82">SUM(G43+C43)</f>
        <v>0</v>
      </c>
      <c r="L43" s="396">
        <f t="shared" si="82"/>
        <v>403702</v>
      </c>
      <c r="M43" s="396">
        <f t="shared" si="82"/>
        <v>0</v>
      </c>
      <c r="N43" s="396">
        <f t="shared" ref="N43:N44" si="83">SUM(K43:M43)</f>
        <v>403702</v>
      </c>
      <c r="O43" s="394">
        <v>300</v>
      </c>
      <c r="P43" s="394">
        <v>892</v>
      </c>
      <c r="Q43" s="394">
        <v>0</v>
      </c>
      <c r="R43" s="394">
        <f>SUM(O43:Q43)</f>
        <v>1192</v>
      </c>
      <c r="S43" s="394"/>
      <c r="T43" s="394">
        <v>588</v>
      </c>
      <c r="U43" s="394"/>
      <c r="V43" s="394">
        <f>SUM(S43:U43)</f>
        <v>588</v>
      </c>
      <c r="W43" s="394">
        <f t="shared" ref="W43:X44" si="84">SUM(S43+O43)</f>
        <v>300</v>
      </c>
      <c r="X43" s="394">
        <f t="shared" si="84"/>
        <v>1480</v>
      </c>
      <c r="Y43" s="394">
        <f t="shared" ref="Y43:Y44" si="85">SUM(Q43+U43)</f>
        <v>0</v>
      </c>
      <c r="Z43" s="394">
        <f t="shared" ref="Z43:Z44" si="86">SUM(W43:Y43)</f>
        <v>1780</v>
      </c>
      <c r="AA43" s="358">
        <f t="shared" ref="AA43:AL44" si="87">SUM(C43+O43)</f>
        <v>300</v>
      </c>
      <c r="AB43" s="358">
        <f t="shared" si="87"/>
        <v>404594</v>
      </c>
      <c r="AC43" s="358">
        <f t="shared" si="87"/>
        <v>0</v>
      </c>
      <c r="AD43" s="358">
        <f t="shared" si="87"/>
        <v>404894</v>
      </c>
      <c r="AE43" s="358">
        <f t="shared" si="87"/>
        <v>0</v>
      </c>
      <c r="AF43" s="358">
        <f t="shared" si="87"/>
        <v>588</v>
      </c>
      <c r="AG43" s="358">
        <f t="shared" si="87"/>
        <v>0</v>
      </c>
      <c r="AH43" s="358">
        <f t="shared" si="87"/>
        <v>588</v>
      </c>
      <c r="AI43" s="358">
        <f t="shared" si="87"/>
        <v>300</v>
      </c>
      <c r="AJ43" s="358">
        <f t="shared" si="87"/>
        <v>405182</v>
      </c>
      <c r="AK43" s="358">
        <f t="shared" si="87"/>
        <v>0</v>
      </c>
      <c r="AL43" s="358">
        <f t="shared" si="87"/>
        <v>405482</v>
      </c>
    </row>
    <row r="44" spans="1:38" ht="16.5" thickBot="1" x14ac:dyDescent="0.3">
      <c r="A44" s="369" t="s">
        <v>791</v>
      </c>
      <c r="B44" s="369" t="s">
        <v>247</v>
      </c>
      <c r="C44" s="397">
        <v>16000</v>
      </c>
      <c r="D44" s="398">
        <v>329183</v>
      </c>
      <c r="E44" s="397"/>
      <c r="F44" s="399">
        <f>SUM(C44:E44)</f>
        <v>345183</v>
      </c>
      <c r="G44" s="399"/>
      <c r="H44" s="399"/>
      <c r="I44" s="399"/>
      <c r="J44" s="399">
        <f>SUM(G44:I44)</f>
        <v>0</v>
      </c>
      <c r="K44" s="397">
        <f t="shared" si="82"/>
        <v>16000</v>
      </c>
      <c r="L44" s="399">
        <f t="shared" si="82"/>
        <v>329183</v>
      </c>
      <c r="M44" s="399">
        <f t="shared" si="82"/>
        <v>0</v>
      </c>
      <c r="N44" s="399">
        <f t="shared" si="83"/>
        <v>345183</v>
      </c>
      <c r="O44" s="397">
        <v>0</v>
      </c>
      <c r="P44" s="397">
        <v>0</v>
      </c>
      <c r="Q44" s="397">
        <v>0</v>
      </c>
      <c r="R44" s="394">
        <f>SUM(O44:Q44)</f>
        <v>0</v>
      </c>
      <c r="S44" s="400"/>
      <c r="T44" s="400"/>
      <c r="U44" s="400"/>
      <c r="V44" s="400">
        <f>SUM(S44:U44)</f>
        <v>0</v>
      </c>
      <c r="W44" s="400">
        <f t="shared" si="84"/>
        <v>0</v>
      </c>
      <c r="X44" s="400">
        <f t="shared" si="84"/>
        <v>0</v>
      </c>
      <c r="Y44" s="400">
        <f t="shared" si="85"/>
        <v>0</v>
      </c>
      <c r="Z44" s="400">
        <f t="shared" si="86"/>
        <v>0</v>
      </c>
      <c r="AA44" s="370">
        <f t="shared" si="87"/>
        <v>16000</v>
      </c>
      <c r="AB44" s="370">
        <f t="shared" si="87"/>
        <v>329183</v>
      </c>
      <c r="AC44" s="370">
        <f t="shared" si="87"/>
        <v>0</v>
      </c>
      <c r="AD44" s="370">
        <f t="shared" si="87"/>
        <v>345183</v>
      </c>
      <c r="AE44" s="370">
        <f t="shared" si="87"/>
        <v>0</v>
      </c>
      <c r="AF44" s="370">
        <f t="shared" si="87"/>
        <v>0</v>
      </c>
      <c r="AG44" s="370">
        <f t="shared" si="87"/>
        <v>0</v>
      </c>
      <c r="AH44" s="370">
        <f t="shared" si="87"/>
        <v>0</v>
      </c>
      <c r="AI44" s="370">
        <f t="shared" si="87"/>
        <v>16000</v>
      </c>
      <c r="AJ44" s="370">
        <f t="shared" si="87"/>
        <v>329183</v>
      </c>
      <c r="AK44" s="370">
        <f t="shared" si="87"/>
        <v>0</v>
      </c>
      <c r="AL44" s="370">
        <f t="shared" si="87"/>
        <v>345183</v>
      </c>
    </row>
    <row r="45" spans="1:38" ht="33" thickTop="1" thickBot="1" x14ac:dyDescent="0.3">
      <c r="A45" s="401" t="s">
        <v>793</v>
      </c>
      <c r="B45" s="401"/>
      <c r="C45" s="402">
        <f t="shared" ref="C45:F45" si="88">SUM(C43+C37+C36+C19)</f>
        <v>27212237</v>
      </c>
      <c r="D45" s="402">
        <f t="shared" si="88"/>
        <v>1864912</v>
      </c>
      <c r="E45" s="402">
        <f t="shared" si="88"/>
        <v>0</v>
      </c>
      <c r="F45" s="402">
        <f t="shared" si="88"/>
        <v>29077149</v>
      </c>
      <c r="G45" s="402">
        <f t="shared" ref="G45:AL45" si="89">SUM(G43+G37+G36+G19)</f>
        <v>126192</v>
      </c>
      <c r="H45" s="402">
        <f t="shared" si="89"/>
        <v>10492</v>
      </c>
      <c r="I45" s="402">
        <f t="shared" si="89"/>
        <v>0</v>
      </c>
      <c r="J45" s="402">
        <f t="shared" si="89"/>
        <v>136684</v>
      </c>
      <c r="K45" s="402">
        <f t="shared" si="89"/>
        <v>27338429</v>
      </c>
      <c r="L45" s="402">
        <f t="shared" si="89"/>
        <v>1875404</v>
      </c>
      <c r="M45" s="402">
        <f t="shared" si="89"/>
        <v>0</v>
      </c>
      <c r="N45" s="402">
        <f t="shared" si="89"/>
        <v>29213833</v>
      </c>
      <c r="O45" s="402">
        <f t="shared" si="89"/>
        <v>1868735</v>
      </c>
      <c r="P45" s="402">
        <f t="shared" si="89"/>
        <v>723359</v>
      </c>
      <c r="Q45" s="402">
        <f t="shared" si="89"/>
        <v>76331</v>
      </c>
      <c r="R45" s="402">
        <f t="shared" si="89"/>
        <v>2668425</v>
      </c>
      <c r="S45" s="402">
        <f t="shared" si="89"/>
        <v>67099</v>
      </c>
      <c r="T45" s="402">
        <f t="shared" si="89"/>
        <v>133697</v>
      </c>
      <c r="U45" s="402">
        <f t="shared" si="89"/>
        <v>0</v>
      </c>
      <c r="V45" s="402">
        <f t="shared" si="89"/>
        <v>200796</v>
      </c>
      <c r="W45" s="402">
        <f t="shared" si="89"/>
        <v>1935834</v>
      </c>
      <c r="X45" s="402">
        <f t="shared" si="89"/>
        <v>857056</v>
      </c>
      <c r="Y45" s="402">
        <f t="shared" si="89"/>
        <v>76331</v>
      </c>
      <c r="Z45" s="402">
        <f t="shared" si="89"/>
        <v>2869221</v>
      </c>
      <c r="AA45" s="402">
        <f t="shared" si="89"/>
        <v>29080972</v>
      </c>
      <c r="AB45" s="402">
        <f t="shared" si="89"/>
        <v>2588271</v>
      </c>
      <c r="AC45" s="402">
        <f t="shared" si="89"/>
        <v>76331</v>
      </c>
      <c r="AD45" s="402">
        <f t="shared" si="89"/>
        <v>31745574</v>
      </c>
      <c r="AE45" s="402">
        <f t="shared" si="89"/>
        <v>193291</v>
      </c>
      <c r="AF45" s="402">
        <f t="shared" si="89"/>
        <v>144189</v>
      </c>
      <c r="AG45" s="402">
        <f t="shared" si="89"/>
        <v>0</v>
      </c>
      <c r="AH45" s="402">
        <f t="shared" si="89"/>
        <v>337480</v>
      </c>
      <c r="AI45" s="402">
        <f t="shared" si="89"/>
        <v>29274263</v>
      </c>
      <c r="AJ45" s="402">
        <f t="shared" si="89"/>
        <v>2732460</v>
      </c>
      <c r="AK45" s="402">
        <f t="shared" si="89"/>
        <v>76331</v>
      </c>
      <c r="AL45" s="402">
        <f t="shared" si="89"/>
        <v>32083054</v>
      </c>
    </row>
    <row r="46" spans="1:38" ht="33" thickTop="1" thickBot="1" x14ac:dyDescent="0.3">
      <c r="A46" s="401" t="s">
        <v>794</v>
      </c>
      <c r="B46" s="401"/>
      <c r="C46" s="402">
        <f t="shared" ref="C46:F46" si="90">SUM(C22+C42+C44)</f>
        <v>2302350</v>
      </c>
      <c r="D46" s="402">
        <f t="shared" si="90"/>
        <v>14783115</v>
      </c>
      <c r="E46" s="402">
        <f t="shared" si="90"/>
        <v>0</v>
      </c>
      <c r="F46" s="402">
        <f t="shared" si="90"/>
        <v>17085465</v>
      </c>
      <c r="G46" s="402">
        <f t="shared" ref="G46:AL46" si="91">SUM(G22+G42+G44)</f>
        <v>195250</v>
      </c>
      <c r="H46" s="402">
        <f t="shared" si="91"/>
        <v>0</v>
      </c>
      <c r="I46" s="402">
        <f t="shared" si="91"/>
        <v>0</v>
      </c>
      <c r="J46" s="402">
        <f t="shared" si="91"/>
        <v>195250</v>
      </c>
      <c r="K46" s="402">
        <f t="shared" si="91"/>
        <v>2497600</v>
      </c>
      <c r="L46" s="402">
        <f t="shared" si="91"/>
        <v>14783115</v>
      </c>
      <c r="M46" s="402">
        <f t="shared" si="91"/>
        <v>0</v>
      </c>
      <c r="N46" s="402">
        <f t="shared" si="91"/>
        <v>17280715</v>
      </c>
      <c r="O46" s="402">
        <f t="shared" si="91"/>
        <v>0</v>
      </c>
      <c r="P46" s="402">
        <f t="shared" si="91"/>
        <v>0</v>
      </c>
      <c r="Q46" s="402">
        <f t="shared" si="91"/>
        <v>0</v>
      </c>
      <c r="R46" s="402">
        <f t="shared" si="91"/>
        <v>0</v>
      </c>
      <c r="S46" s="402">
        <f t="shared" si="91"/>
        <v>0</v>
      </c>
      <c r="T46" s="402">
        <f t="shared" si="91"/>
        <v>0</v>
      </c>
      <c r="U46" s="402">
        <f t="shared" si="91"/>
        <v>0</v>
      </c>
      <c r="V46" s="402">
        <f t="shared" si="91"/>
        <v>0</v>
      </c>
      <c r="W46" s="402">
        <f t="shared" si="91"/>
        <v>0</v>
      </c>
      <c r="X46" s="402">
        <f t="shared" si="91"/>
        <v>0</v>
      </c>
      <c r="Y46" s="402">
        <f t="shared" si="91"/>
        <v>0</v>
      </c>
      <c r="Z46" s="402">
        <f t="shared" si="91"/>
        <v>0</v>
      </c>
      <c r="AA46" s="402">
        <f t="shared" si="91"/>
        <v>2302350</v>
      </c>
      <c r="AB46" s="402">
        <f t="shared" si="91"/>
        <v>14783115</v>
      </c>
      <c r="AC46" s="402">
        <f t="shared" si="91"/>
        <v>0</v>
      </c>
      <c r="AD46" s="402">
        <f t="shared" si="91"/>
        <v>17085465</v>
      </c>
      <c r="AE46" s="402">
        <f t="shared" si="91"/>
        <v>195250</v>
      </c>
      <c r="AF46" s="402">
        <f t="shared" si="91"/>
        <v>0</v>
      </c>
      <c r="AG46" s="402">
        <f t="shared" si="91"/>
        <v>0</v>
      </c>
      <c r="AH46" s="402">
        <f t="shared" si="91"/>
        <v>195250</v>
      </c>
      <c r="AI46" s="402">
        <f t="shared" si="91"/>
        <v>2497600</v>
      </c>
      <c r="AJ46" s="402">
        <f t="shared" si="91"/>
        <v>14783115</v>
      </c>
      <c r="AK46" s="402">
        <f t="shared" si="91"/>
        <v>0</v>
      </c>
      <c r="AL46" s="402">
        <f t="shared" si="91"/>
        <v>17280715</v>
      </c>
    </row>
    <row r="47" spans="1:38" ht="33" thickTop="1" thickBot="1" x14ac:dyDescent="0.3">
      <c r="A47" s="401" t="s">
        <v>792</v>
      </c>
      <c r="B47" s="401" t="s">
        <v>444</v>
      </c>
      <c r="C47" s="403">
        <f>SUM(C45+C46)</f>
        <v>29514587</v>
      </c>
      <c r="D47" s="403">
        <f t="shared" ref="D47:AL47" si="92">SUM(D45+D46)</f>
        <v>16648027</v>
      </c>
      <c r="E47" s="403">
        <f t="shared" si="92"/>
        <v>0</v>
      </c>
      <c r="F47" s="403">
        <f t="shared" si="92"/>
        <v>46162614</v>
      </c>
      <c r="G47" s="403">
        <f t="shared" si="92"/>
        <v>321442</v>
      </c>
      <c r="H47" s="403">
        <f t="shared" si="92"/>
        <v>10492</v>
      </c>
      <c r="I47" s="403">
        <f t="shared" si="92"/>
        <v>0</v>
      </c>
      <c r="J47" s="403">
        <f t="shared" si="92"/>
        <v>331934</v>
      </c>
      <c r="K47" s="403">
        <f t="shared" si="92"/>
        <v>29836029</v>
      </c>
      <c r="L47" s="403">
        <f t="shared" si="92"/>
        <v>16658519</v>
      </c>
      <c r="M47" s="403">
        <f t="shared" si="92"/>
        <v>0</v>
      </c>
      <c r="N47" s="403">
        <f t="shared" si="92"/>
        <v>46494548</v>
      </c>
      <c r="O47" s="403">
        <f t="shared" si="92"/>
        <v>1868735</v>
      </c>
      <c r="P47" s="403">
        <f t="shared" si="92"/>
        <v>723359</v>
      </c>
      <c r="Q47" s="403">
        <f t="shared" si="92"/>
        <v>76331</v>
      </c>
      <c r="R47" s="403">
        <f t="shared" si="92"/>
        <v>2668425</v>
      </c>
      <c r="S47" s="403">
        <f t="shared" si="92"/>
        <v>67099</v>
      </c>
      <c r="T47" s="403">
        <f t="shared" si="92"/>
        <v>133697</v>
      </c>
      <c r="U47" s="403">
        <f t="shared" si="92"/>
        <v>0</v>
      </c>
      <c r="V47" s="403">
        <f t="shared" si="92"/>
        <v>200796</v>
      </c>
      <c r="W47" s="403">
        <f t="shared" si="92"/>
        <v>1935834</v>
      </c>
      <c r="X47" s="403">
        <f t="shared" si="92"/>
        <v>857056</v>
      </c>
      <c r="Y47" s="403">
        <f t="shared" si="92"/>
        <v>76331</v>
      </c>
      <c r="Z47" s="403">
        <f t="shared" si="92"/>
        <v>2869221</v>
      </c>
      <c r="AA47" s="403">
        <f t="shared" si="92"/>
        <v>31383322</v>
      </c>
      <c r="AB47" s="403">
        <f t="shared" si="92"/>
        <v>17371386</v>
      </c>
      <c r="AC47" s="403">
        <f t="shared" si="92"/>
        <v>76331</v>
      </c>
      <c r="AD47" s="403">
        <f t="shared" si="92"/>
        <v>48831039</v>
      </c>
      <c r="AE47" s="403">
        <f t="shared" si="92"/>
        <v>388541</v>
      </c>
      <c r="AF47" s="403">
        <f t="shared" si="92"/>
        <v>144189</v>
      </c>
      <c r="AG47" s="403">
        <f t="shared" si="92"/>
        <v>0</v>
      </c>
      <c r="AH47" s="403">
        <f t="shared" si="92"/>
        <v>532730</v>
      </c>
      <c r="AI47" s="403">
        <f t="shared" si="92"/>
        <v>31771863</v>
      </c>
      <c r="AJ47" s="403">
        <f t="shared" si="92"/>
        <v>17515575</v>
      </c>
      <c r="AK47" s="403">
        <f t="shared" si="92"/>
        <v>76331</v>
      </c>
      <c r="AL47" s="403">
        <f t="shared" si="92"/>
        <v>49363769</v>
      </c>
    </row>
    <row r="48" spans="1:38" ht="17.25" thickTop="1" thickBot="1" x14ac:dyDescent="0.3">
      <c r="A48" s="401"/>
      <c r="B48" s="404"/>
      <c r="C48" s="405"/>
      <c r="D48" s="406"/>
      <c r="E48" s="405"/>
      <c r="F48" s="407"/>
      <c r="G48" s="407"/>
      <c r="H48" s="407"/>
      <c r="I48" s="407"/>
      <c r="J48" s="407"/>
      <c r="K48" s="407"/>
      <c r="L48" s="407"/>
      <c r="M48" s="407"/>
      <c r="N48" s="407"/>
      <c r="O48" s="402"/>
      <c r="P48" s="402"/>
      <c r="Q48" s="402"/>
      <c r="R48" s="402"/>
      <c r="S48" s="402"/>
      <c r="T48" s="402"/>
      <c r="U48" s="402"/>
      <c r="V48" s="402"/>
      <c r="W48" s="402"/>
      <c r="X48" s="402"/>
      <c r="Y48" s="402"/>
      <c r="Z48" s="402"/>
      <c r="AA48" s="408"/>
      <c r="AB48" s="402"/>
      <c r="AC48" s="402"/>
      <c r="AD48" s="402"/>
      <c r="AE48" s="408"/>
      <c r="AF48" s="402"/>
      <c r="AG48" s="402"/>
      <c r="AH48" s="402"/>
      <c r="AI48" s="408"/>
      <c r="AJ48" s="402"/>
      <c r="AK48" s="402"/>
      <c r="AL48" s="402"/>
    </row>
    <row r="49" spans="1:38" ht="32.25" thickTop="1" x14ac:dyDescent="0.25">
      <c r="A49" s="409" t="s">
        <v>491</v>
      </c>
      <c r="B49" s="409"/>
      <c r="C49" s="410"/>
      <c r="D49" s="411"/>
      <c r="E49" s="412"/>
      <c r="F49" s="413">
        <f>F50-F51</f>
        <v>-8227042</v>
      </c>
      <c r="G49" s="414"/>
      <c r="H49" s="411"/>
      <c r="I49" s="411"/>
      <c r="J49" s="414">
        <f>J50-J51</f>
        <v>152861</v>
      </c>
      <c r="K49" s="410"/>
      <c r="L49" s="411"/>
      <c r="M49" s="411"/>
      <c r="N49" s="413">
        <f>N50-N51</f>
        <v>-8074181</v>
      </c>
      <c r="O49" s="414"/>
      <c r="P49" s="411"/>
      <c r="Q49" s="411"/>
      <c r="R49" s="413">
        <f>R50-R51</f>
        <v>-12480112</v>
      </c>
      <c r="S49" s="415"/>
      <c r="T49" s="411"/>
      <c r="U49" s="411"/>
      <c r="V49" s="413">
        <f>V50-V51</f>
        <v>-152861</v>
      </c>
      <c r="W49" s="416"/>
      <c r="X49" s="411"/>
      <c r="Y49" s="411"/>
      <c r="Z49" s="417">
        <f>Z50-Z51</f>
        <v>-12632973</v>
      </c>
      <c r="AA49" s="410"/>
      <c r="AB49" s="411"/>
      <c r="AC49" s="411"/>
      <c r="AD49" s="413">
        <f>AD50-AD51</f>
        <v>-20707154</v>
      </c>
      <c r="AE49" s="410"/>
      <c r="AF49" s="411"/>
      <c r="AG49" s="411"/>
      <c r="AH49" s="413">
        <f t="shared" ref="AH49" si="93">AH50-AH51</f>
        <v>0</v>
      </c>
      <c r="AI49" s="410"/>
      <c r="AJ49" s="411"/>
      <c r="AK49" s="411"/>
      <c r="AL49" s="413">
        <f t="shared" ref="AL49" si="94">AL50-AL51</f>
        <v>-20707154</v>
      </c>
    </row>
    <row r="50" spans="1:38" x14ac:dyDescent="0.25">
      <c r="A50" s="418" t="s">
        <v>342</v>
      </c>
      <c r="B50" s="418" t="s">
        <v>444</v>
      </c>
      <c r="C50" s="419"/>
      <c r="D50" s="420"/>
      <c r="E50" s="421"/>
      <c r="F50" s="422">
        <f>SUM(F47)</f>
        <v>46162614</v>
      </c>
      <c r="G50" s="423"/>
      <c r="H50" s="420"/>
      <c r="I50" s="420"/>
      <c r="J50" s="423">
        <f>SUM(J47)</f>
        <v>331934</v>
      </c>
      <c r="K50" s="419"/>
      <c r="L50" s="420"/>
      <c r="M50" s="420"/>
      <c r="N50" s="422">
        <f>SUM(N47)</f>
        <v>46494548</v>
      </c>
      <c r="O50" s="423"/>
      <c r="P50" s="420"/>
      <c r="Q50" s="420"/>
      <c r="R50" s="422">
        <f>SUM(R47)</f>
        <v>2668425</v>
      </c>
      <c r="S50" s="424"/>
      <c r="T50" s="420"/>
      <c r="U50" s="420"/>
      <c r="V50" s="422">
        <f>SUM(V47)</f>
        <v>200796</v>
      </c>
      <c r="W50" s="425"/>
      <c r="X50" s="420"/>
      <c r="Y50" s="420"/>
      <c r="Z50" s="426">
        <f>SUM(Z47)</f>
        <v>2869221</v>
      </c>
      <c r="AA50" s="419"/>
      <c r="AB50" s="420"/>
      <c r="AC50" s="420"/>
      <c r="AD50" s="422">
        <f>SUM(AD47)</f>
        <v>48831039</v>
      </c>
      <c r="AE50" s="419"/>
      <c r="AF50" s="420"/>
      <c r="AG50" s="420"/>
      <c r="AH50" s="422">
        <f t="shared" ref="AH50" si="95">SUM(AH47)</f>
        <v>532730</v>
      </c>
      <c r="AI50" s="419"/>
      <c r="AJ50" s="420"/>
      <c r="AK50" s="420"/>
      <c r="AL50" s="422">
        <f t="shared" ref="AL50" si="96">SUM(AL47)</f>
        <v>49363769</v>
      </c>
    </row>
    <row r="51" spans="1:38" x14ac:dyDescent="0.25">
      <c r="A51" s="418" t="s">
        <v>343</v>
      </c>
      <c r="B51" s="418" t="s">
        <v>440</v>
      </c>
      <c r="C51" s="419"/>
      <c r="D51" s="420"/>
      <c r="E51" s="421"/>
      <c r="F51" s="422">
        <f>'[5]2 kiadás (kötelező, önként)'!F22</f>
        <v>54389656</v>
      </c>
      <c r="G51" s="423"/>
      <c r="H51" s="420"/>
      <c r="I51" s="420"/>
      <c r="J51" s="423">
        <f>'[5]2 kiadás (kötelező, önként)'!J22</f>
        <v>179073</v>
      </c>
      <c r="K51" s="419"/>
      <c r="L51" s="420"/>
      <c r="M51" s="420"/>
      <c r="N51" s="422">
        <f>SUM(J51+F51)</f>
        <v>54568729</v>
      </c>
      <c r="O51" s="423"/>
      <c r="P51" s="420"/>
      <c r="Q51" s="420"/>
      <c r="R51" s="422">
        <f>'[5]2 kiadás (kötelező, önként)'!R22</f>
        <v>15148537</v>
      </c>
      <c r="S51" s="424"/>
      <c r="T51" s="420"/>
      <c r="U51" s="420"/>
      <c r="V51" s="422">
        <f>'[5]2 kiadás (kötelező, önként)'!V22</f>
        <v>353657</v>
      </c>
      <c r="W51" s="425"/>
      <c r="X51" s="420"/>
      <c r="Y51" s="420"/>
      <c r="Z51" s="426">
        <f>'[5]2 kiadás (kötelező, önként)'!Z22</f>
        <v>15502194</v>
      </c>
      <c r="AA51" s="419"/>
      <c r="AB51" s="420"/>
      <c r="AC51" s="420"/>
      <c r="AD51" s="427">
        <f>'[5]2 kiadás (kötelező, önként)'!AD22</f>
        <v>69538193</v>
      </c>
      <c r="AE51" s="419"/>
      <c r="AF51" s="420"/>
      <c r="AG51" s="420"/>
      <c r="AH51" s="427">
        <f>'[5]2 kiadás (kötelező, önként)'!AH22</f>
        <v>532730</v>
      </c>
      <c r="AI51" s="419"/>
      <c r="AJ51" s="420"/>
      <c r="AK51" s="420"/>
      <c r="AL51" s="427">
        <f>'[5]2 kiadás (kötelező, önként)'!AL22</f>
        <v>70070923</v>
      </c>
    </row>
    <row r="52" spans="1:38" x14ac:dyDescent="0.25">
      <c r="A52" s="418"/>
      <c r="B52" s="418"/>
      <c r="C52" s="428"/>
      <c r="D52" s="429"/>
      <c r="E52" s="420"/>
      <c r="F52" s="430"/>
      <c r="G52" s="423"/>
      <c r="H52" s="420"/>
      <c r="I52" s="420"/>
      <c r="J52" s="423"/>
      <c r="K52" s="419"/>
      <c r="L52" s="420"/>
      <c r="M52" s="420"/>
      <c r="N52" s="422"/>
      <c r="O52" s="431"/>
      <c r="P52" s="429"/>
      <c r="Q52" s="429"/>
      <c r="R52" s="422"/>
      <c r="S52" s="424"/>
      <c r="T52" s="420"/>
      <c r="U52" s="420"/>
      <c r="V52" s="422"/>
      <c r="W52" s="425"/>
      <c r="X52" s="420"/>
      <c r="Y52" s="420"/>
      <c r="Z52" s="426"/>
      <c r="AA52" s="419"/>
      <c r="AB52" s="420"/>
      <c r="AC52" s="420"/>
      <c r="AD52" s="427"/>
      <c r="AE52" s="419"/>
      <c r="AF52" s="420"/>
      <c r="AG52" s="420"/>
      <c r="AH52" s="427"/>
      <c r="AI52" s="419"/>
      <c r="AJ52" s="420"/>
      <c r="AK52" s="420"/>
      <c r="AL52" s="427"/>
    </row>
    <row r="53" spans="1:38" x14ac:dyDescent="0.25">
      <c r="A53" s="432" t="s">
        <v>815</v>
      </c>
      <c r="B53" s="432"/>
      <c r="C53" s="433"/>
      <c r="D53" s="434"/>
      <c r="E53" s="434"/>
      <c r="F53" s="435">
        <f>SUM(F59-F60)</f>
        <v>8227042</v>
      </c>
      <c r="G53" s="436"/>
      <c r="H53" s="437"/>
      <c r="I53" s="437"/>
      <c r="J53" s="436">
        <f>SUM(J59-J60)</f>
        <v>-152861</v>
      </c>
      <c r="K53" s="438"/>
      <c r="L53" s="437"/>
      <c r="M53" s="437"/>
      <c r="N53" s="439">
        <f>SUM(N59-N60)</f>
        <v>8074181</v>
      </c>
      <c r="O53" s="440"/>
      <c r="P53" s="434"/>
      <c r="Q53" s="434"/>
      <c r="R53" s="439">
        <f>SUM(R59-R60)</f>
        <v>12480112</v>
      </c>
      <c r="S53" s="441"/>
      <c r="T53" s="437"/>
      <c r="U53" s="437"/>
      <c r="V53" s="439">
        <f>SUM(V59-V60)</f>
        <v>152861</v>
      </c>
      <c r="W53" s="442"/>
      <c r="X53" s="437"/>
      <c r="Y53" s="437"/>
      <c r="Z53" s="443">
        <f>SUM(Z59-Z60)</f>
        <v>12632973</v>
      </c>
      <c r="AA53" s="438"/>
      <c r="AB53" s="437"/>
      <c r="AC53" s="437"/>
      <c r="AD53" s="439">
        <f>SUM(AD59-AD60)</f>
        <v>20707154</v>
      </c>
      <c r="AE53" s="438"/>
      <c r="AF53" s="437"/>
      <c r="AG53" s="437"/>
      <c r="AH53" s="439">
        <f>SUM(AH59-AH60)</f>
        <v>0</v>
      </c>
      <c r="AI53" s="438"/>
      <c r="AJ53" s="437"/>
      <c r="AK53" s="437"/>
      <c r="AL53" s="439">
        <f>SUM(AL59-AL60)</f>
        <v>20707154</v>
      </c>
    </row>
    <row r="54" spans="1:38" ht="31.5" x14ac:dyDescent="0.25">
      <c r="A54" s="444" t="s">
        <v>262</v>
      </c>
      <c r="B54" s="444"/>
      <c r="C54" s="445">
        <v>3996936</v>
      </c>
      <c r="D54" s="446">
        <v>509839</v>
      </c>
      <c r="E54" s="446"/>
      <c r="F54" s="447">
        <f>SUM(C54:E54)</f>
        <v>4506775</v>
      </c>
      <c r="G54" s="448"/>
      <c r="H54" s="446"/>
      <c r="I54" s="446"/>
      <c r="J54" s="448">
        <f>SUM(G54:I54)</f>
        <v>0</v>
      </c>
      <c r="K54" s="445">
        <f t="shared" ref="K54:M55" si="97">SUM(G54+C54)</f>
        <v>3996936</v>
      </c>
      <c r="L54" s="446">
        <f t="shared" si="97"/>
        <v>509839</v>
      </c>
      <c r="M54" s="446">
        <f t="shared" si="97"/>
        <v>0</v>
      </c>
      <c r="N54" s="447">
        <f t="shared" ref="N54:N55" si="98">SUM(K54:M54)</f>
        <v>4506775</v>
      </c>
      <c r="O54" s="445">
        <v>725925</v>
      </c>
      <c r="P54" s="446">
        <v>39759</v>
      </c>
      <c r="Q54" s="446"/>
      <c r="R54" s="447">
        <f>SUM(O54:Q54)</f>
        <v>765684</v>
      </c>
      <c r="S54" s="449"/>
      <c r="T54" s="446"/>
      <c r="U54" s="446">
        <v>0</v>
      </c>
      <c r="V54" s="447">
        <f>SUM(S54:U54)</f>
        <v>0</v>
      </c>
      <c r="W54" s="450">
        <f>SUM(S54+O54)</f>
        <v>725925</v>
      </c>
      <c r="X54" s="446">
        <f>SUM(T54+P54)</f>
        <v>39759</v>
      </c>
      <c r="Y54" s="446">
        <f>SUM(Q54+U54)</f>
        <v>0</v>
      </c>
      <c r="Z54" s="427">
        <f>SUM(W54:Y54)</f>
        <v>765684</v>
      </c>
      <c r="AA54" s="445">
        <f>SUM(O54+C54)</f>
        <v>4722861</v>
      </c>
      <c r="AB54" s="446">
        <f>SUM(P54+D54)</f>
        <v>549598</v>
      </c>
      <c r="AC54" s="446"/>
      <c r="AD54" s="427">
        <f>SUM(AA54:AC54)</f>
        <v>5272459</v>
      </c>
      <c r="AE54" s="445">
        <f t="shared" ref="AE54:AF55" si="99">SUM(S54+G54)</f>
        <v>0</v>
      </c>
      <c r="AF54" s="446">
        <f t="shared" si="99"/>
        <v>0</v>
      </c>
      <c r="AG54" s="446"/>
      <c r="AH54" s="427">
        <f t="shared" ref="AH54:AH55" si="100">SUM(AE54:AG54)</f>
        <v>0</v>
      </c>
      <c r="AI54" s="445">
        <f t="shared" ref="AI54:AJ55" si="101">SUM(W54+K54)</f>
        <v>4722861</v>
      </c>
      <c r="AJ54" s="446">
        <f t="shared" si="101"/>
        <v>549598</v>
      </c>
      <c r="AK54" s="446"/>
      <c r="AL54" s="427">
        <f t="shared" ref="AL54:AL55" si="102">SUM(AI54:AK54)</f>
        <v>5272459</v>
      </c>
    </row>
    <row r="55" spans="1:38" ht="31.5" x14ac:dyDescent="0.25">
      <c r="A55" s="444" t="s">
        <v>248</v>
      </c>
      <c r="B55" s="444"/>
      <c r="C55" s="445">
        <v>2864791</v>
      </c>
      <c r="D55" s="446">
        <v>10104902</v>
      </c>
      <c r="E55" s="446"/>
      <c r="F55" s="447">
        <f>SUM(C55:E55)</f>
        <v>12969693</v>
      </c>
      <c r="G55" s="448"/>
      <c r="H55" s="446"/>
      <c r="I55" s="446"/>
      <c r="J55" s="448">
        <f>SUM(G55:I55)</f>
        <v>0</v>
      </c>
      <c r="K55" s="445">
        <f t="shared" si="97"/>
        <v>2864791</v>
      </c>
      <c r="L55" s="446">
        <f t="shared" si="97"/>
        <v>10104902</v>
      </c>
      <c r="M55" s="446">
        <f t="shared" si="97"/>
        <v>0</v>
      </c>
      <c r="N55" s="447">
        <f t="shared" si="98"/>
        <v>12969693</v>
      </c>
      <c r="O55" s="445"/>
      <c r="P55" s="446"/>
      <c r="Q55" s="446"/>
      <c r="R55" s="447">
        <f>SUM(O55:Q55)</f>
        <v>0</v>
      </c>
      <c r="S55" s="449"/>
      <c r="T55" s="446"/>
      <c r="U55" s="446"/>
      <c r="V55" s="447">
        <f>SUM(S55:U55)</f>
        <v>0</v>
      </c>
      <c r="W55" s="450">
        <f>SUM(S55+O55)</f>
        <v>0</v>
      </c>
      <c r="X55" s="446">
        <f>SUM(T55+P55)</f>
        <v>0</v>
      </c>
      <c r="Y55" s="446">
        <f>SUM(Q55+U55)</f>
        <v>0</v>
      </c>
      <c r="Z55" s="427">
        <f>SUM(W55:Y55)</f>
        <v>0</v>
      </c>
      <c r="AA55" s="445">
        <f>SUM(O55+C55)</f>
        <v>2864791</v>
      </c>
      <c r="AB55" s="446">
        <f>SUM(P55+D55)</f>
        <v>10104902</v>
      </c>
      <c r="AC55" s="446"/>
      <c r="AD55" s="427">
        <f>SUM(AA55:AC55)</f>
        <v>12969693</v>
      </c>
      <c r="AE55" s="445">
        <f t="shared" si="99"/>
        <v>0</v>
      </c>
      <c r="AF55" s="446">
        <f t="shared" si="99"/>
        <v>0</v>
      </c>
      <c r="AG55" s="446"/>
      <c r="AH55" s="427">
        <f t="shared" si="100"/>
        <v>0</v>
      </c>
      <c r="AI55" s="445">
        <f t="shared" si="101"/>
        <v>2864791</v>
      </c>
      <c r="AJ55" s="446">
        <f t="shared" si="101"/>
        <v>10104902</v>
      </c>
      <c r="AK55" s="446"/>
      <c r="AL55" s="427">
        <f t="shared" si="102"/>
        <v>12969693</v>
      </c>
    </row>
    <row r="56" spans="1:38" x14ac:dyDescent="0.25">
      <c r="A56" s="444" t="s">
        <v>249</v>
      </c>
      <c r="B56" s="444" t="s">
        <v>322</v>
      </c>
      <c r="C56" s="419">
        <f t="shared" ref="C56:AL56" si="103">SUM(C54:C55)</f>
        <v>6861727</v>
      </c>
      <c r="D56" s="420">
        <f t="shared" si="103"/>
        <v>10614741</v>
      </c>
      <c r="E56" s="420">
        <f t="shared" si="103"/>
        <v>0</v>
      </c>
      <c r="F56" s="426">
        <f t="shared" si="103"/>
        <v>17476468</v>
      </c>
      <c r="G56" s="423">
        <f t="shared" si="103"/>
        <v>0</v>
      </c>
      <c r="H56" s="420">
        <f t="shared" si="103"/>
        <v>0</v>
      </c>
      <c r="I56" s="420">
        <f t="shared" si="103"/>
        <v>0</v>
      </c>
      <c r="J56" s="426">
        <f t="shared" si="103"/>
        <v>0</v>
      </c>
      <c r="K56" s="423">
        <f t="shared" si="103"/>
        <v>6861727</v>
      </c>
      <c r="L56" s="420">
        <f t="shared" si="103"/>
        <v>10614741</v>
      </c>
      <c r="M56" s="420">
        <f t="shared" si="103"/>
        <v>0</v>
      </c>
      <c r="N56" s="426">
        <f t="shared" si="103"/>
        <v>17476468</v>
      </c>
      <c r="O56" s="423">
        <f t="shared" si="103"/>
        <v>725925</v>
      </c>
      <c r="P56" s="420">
        <f t="shared" si="103"/>
        <v>39759</v>
      </c>
      <c r="Q56" s="420">
        <f t="shared" si="103"/>
        <v>0</v>
      </c>
      <c r="R56" s="422">
        <f t="shared" si="103"/>
        <v>765684</v>
      </c>
      <c r="S56" s="421">
        <f t="shared" si="103"/>
        <v>0</v>
      </c>
      <c r="T56" s="420">
        <f t="shared" si="103"/>
        <v>0</v>
      </c>
      <c r="U56" s="420">
        <f t="shared" si="103"/>
        <v>0</v>
      </c>
      <c r="V56" s="426">
        <f t="shared" si="103"/>
        <v>0</v>
      </c>
      <c r="W56" s="421">
        <f t="shared" si="103"/>
        <v>725925</v>
      </c>
      <c r="X56" s="420">
        <f t="shared" si="103"/>
        <v>39759</v>
      </c>
      <c r="Y56" s="420">
        <f t="shared" si="103"/>
        <v>0</v>
      </c>
      <c r="Z56" s="426">
        <f t="shared" si="103"/>
        <v>765684</v>
      </c>
      <c r="AA56" s="419">
        <f t="shared" si="103"/>
        <v>7587652</v>
      </c>
      <c r="AB56" s="420">
        <f t="shared" si="103"/>
        <v>10654500</v>
      </c>
      <c r="AC56" s="420">
        <f t="shared" si="103"/>
        <v>0</v>
      </c>
      <c r="AD56" s="426">
        <f t="shared" si="103"/>
        <v>18242152</v>
      </c>
      <c r="AE56" s="419">
        <f t="shared" si="103"/>
        <v>0</v>
      </c>
      <c r="AF56" s="420">
        <f t="shared" si="103"/>
        <v>0</v>
      </c>
      <c r="AG56" s="420">
        <f t="shared" si="103"/>
        <v>0</v>
      </c>
      <c r="AH56" s="426">
        <f t="shared" si="103"/>
        <v>0</v>
      </c>
      <c r="AI56" s="419">
        <f t="shared" si="103"/>
        <v>7587652</v>
      </c>
      <c r="AJ56" s="420">
        <f t="shared" si="103"/>
        <v>10654500</v>
      </c>
      <c r="AK56" s="420">
        <f t="shared" si="103"/>
        <v>0</v>
      </c>
      <c r="AL56" s="426">
        <f t="shared" si="103"/>
        <v>18242152</v>
      </c>
    </row>
    <row r="57" spans="1:38" x14ac:dyDescent="0.25">
      <c r="A57" s="451" t="s">
        <v>492</v>
      </c>
      <c r="B57" s="451" t="s">
        <v>493</v>
      </c>
      <c r="C57" s="428"/>
      <c r="D57" s="429"/>
      <c r="E57" s="429"/>
      <c r="F57" s="430">
        <f t="shared" ref="F57:F58" si="104">SUM(C57:E57)</f>
        <v>0</v>
      </c>
      <c r="G57" s="431"/>
      <c r="H57" s="429"/>
      <c r="I57" s="429"/>
      <c r="J57" s="431">
        <f>SUM(G57:I57)</f>
        <v>0</v>
      </c>
      <c r="K57" s="452">
        <f t="shared" ref="K57:M58" si="105">SUM(G57+C57)</f>
        <v>0</v>
      </c>
      <c r="L57" s="429">
        <f t="shared" si="105"/>
        <v>0</v>
      </c>
      <c r="M57" s="429">
        <f t="shared" si="105"/>
        <v>0</v>
      </c>
      <c r="N57" s="430">
        <f t="shared" ref="N57:N58" si="106">SUM(K57:M57)</f>
        <v>0</v>
      </c>
      <c r="O57" s="431">
        <v>8670994</v>
      </c>
      <c r="P57" s="429">
        <v>2129155</v>
      </c>
      <c r="Q57" s="429">
        <v>914279</v>
      </c>
      <c r="R57" s="453">
        <f>SUM(O57:Q57)</f>
        <v>11714428</v>
      </c>
      <c r="S57" s="452">
        <v>133760</v>
      </c>
      <c r="T57" s="429">
        <v>19101</v>
      </c>
      <c r="U57" s="429">
        <v>0</v>
      </c>
      <c r="V57" s="430">
        <f>SUM(S57:U57)</f>
        <v>152861</v>
      </c>
      <c r="W57" s="431">
        <f t="shared" ref="W57:X58" si="107">SUM(S57+O57)</f>
        <v>8804754</v>
      </c>
      <c r="X57" s="429">
        <f t="shared" si="107"/>
        <v>2148256</v>
      </c>
      <c r="Y57" s="429">
        <f t="shared" ref="Y57:Y58" si="108">SUM(Q57+U57)</f>
        <v>914279</v>
      </c>
      <c r="Z57" s="430">
        <f>SUM(W57:Y57)</f>
        <v>11867289</v>
      </c>
      <c r="AA57" s="428">
        <f>SUM(O57)</f>
        <v>8670994</v>
      </c>
      <c r="AB57" s="429">
        <f>SUM(P57+D57)</f>
        <v>2129155</v>
      </c>
      <c r="AC57" s="429">
        <f>SUM(Q57+E57)</f>
        <v>914279</v>
      </c>
      <c r="AD57" s="430">
        <f>SUM(AA57:AC57)</f>
        <v>11714428</v>
      </c>
      <c r="AE57" s="428">
        <f t="shared" ref="AE57" si="109">SUM(S57)</f>
        <v>133760</v>
      </c>
      <c r="AF57" s="429">
        <f t="shared" ref="AF57:AG58" si="110">SUM(T57+H57)</f>
        <v>19101</v>
      </c>
      <c r="AG57" s="429">
        <f t="shared" si="110"/>
        <v>0</v>
      </c>
      <c r="AH57" s="430">
        <f t="shared" ref="AH57:AH58" si="111">SUM(AE57:AG57)</f>
        <v>152861</v>
      </c>
      <c r="AI57" s="428">
        <f t="shared" ref="AI57" si="112">SUM(W57)</f>
        <v>8804754</v>
      </c>
      <c r="AJ57" s="429">
        <f t="shared" ref="AJ57:AK58" si="113">SUM(X57+L57)</f>
        <v>2148256</v>
      </c>
      <c r="AK57" s="429">
        <f t="shared" si="113"/>
        <v>914279</v>
      </c>
      <c r="AL57" s="430">
        <f t="shared" ref="AL57:AL58" si="114">SUM(AI57:AK57)</f>
        <v>11867289</v>
      </c>
    </row>
    <row r="58" spans="1:38" ht="31.5" x14ac:dyDescent="0.25">
      <c r="A58" s="451" t="s">
        <v>1009</v>
      </c>
      <c r="B58" s="451" t="s">
        <v>582</v>
      </c>
      <c r="C58" s="428"/>
      <c r="D58" s="429">
        <v>5305492</v>
      </c>
      <c r="E58" s="429"/>
      <c r="F58" s="430">
        <f t="shared" si="104"/>
        <v>5305492</v>
      </c>
      <c r="G58" s="431"/>
      <c r="H58" s="429"/>
      <c r="I58" s="429"/>
      <c r="J58" s="422">
        <f>SUM(G58:I58)</f>
        <v>0</v>
      </c>
      <c r="K58" s="452">
        <f t="shared" si="105"/>
        <v>0</v>
      </c>
      <c r="L58" s="429">
        <f t="shared" si="105"/>
        <v>5305492</v>
      </c>
      <c r="M58" s="429">
        <f t="shared" si="105"/>
        <v>0</v>
      </c>
      <c r="N58" s="430">
        <f t="shared" si="106"/>
        <v>5305492</v>
      </c>
      <c r="O58" s="431"/>
      <c r="P58" s="429"/>
      <c r="Q58" s="429"/>
      <c r="R58" s="453">
        <f>SUM(O58:Q58)</f>
        <v>0</v>
      </c>
      <c r="S58" s="431"/>
      <c r="T58" s="429"/>
      <c r="U58" s="429"/>
      <c r="V58" s="430">
        <f>SUM(S58:U58)</f>
        <v>0</v>
      </c>
      <c r="W58" s="431">
        <f t="shared" si="107"/>
        <v>0</v>
      </c>
      <c r="X58" s="429">
        <f t="shared" si="107"/>
        <v>0</v>
      </c>
      <c r="Y58" s="429">
        <f t="shared" si="108"/>
        <v>0</v>
      </c>
      <c r="Z58" s="430">
        <f>SUM(W58:Y58)</f>
        <v>0</v>
      </c>
      <c r="AA58" s="428">
        <f>SUM(O58+C58)</f>
        <v>0</v>
      </c>
      <c r="AB58" s="429">
        <f>SUM(P58+D58)</f>
        <v>5305492</v>
      </c>
      <c r="AC58" s="429"/>
      <c r="AD58" s="430">
        <f>SUM(AA58:AC58)</f>
        <v>5305492</v>
      </c>
      <c r="AE58" s="428">
        <f t="shared" ref="AE58" si="115">SUM(S58+G58)</f>
        <v>0</v>
      </c>
      <c r="AF58" s="429">
        <f t="shared" si="110"/>
        <v>0</v>
      </c>
      <c r="AG58" s="429"/>
      <c r="AH58" s="430">
        <f t="shared" si="111"/>
        <v>0</v>
      </c>
      <c r="AI58" s="428">
        <f t="shared" ref="AI58" si="116">SUM(W58+K58)</f>
        <v>0</v>
      </c>
      <c r="AJ58" s="429">
        <f t="shared" si="113"/>
        <v>5305492</v>
      </c>
      <c r="AK58" s="429"/>
      <c r="AL58" s="430">
        <f t="shared" si="114"/>
        <v>5305492</v>
      </c>
    </row>
    <row r="59" spans="1:38" s="362" customFormat="1" ht="31.5" x14ac:dyDescent="0.25">
      <c r="A59" s="454" t="s">
        <v>795</v>
      </c>
      <c r="B59" s="454" t="s">
        <v>250</v>
      </c>
      <c r="C59" s="455">
        <f t="shared" ref="C59:Q59" si="117">SUM(C56:C58)</f>
        <v>6861727</v>
      </c>
      <c r="D59" s="456">
        <f t="shared" si="117"/>
        <v>15920233</v>
      </c>
      <c r="E59" s="456">
        <f t="shared" si="117"/>
        <v>0</v>
      </c>
      <c r="F59" s="457">
        <f t="shared" si="117"/>
        <v>22781960</v>
      </c>
      <c r="G59" s="458">
        <f t="shared" si="117"/>
        <v>0</v>
      </c>
      <c r="H59" s="459">
        <f t="shared" si="117"/>
        <v>0</v>
      </c>
      <c r="I59" s="459">
        <f t="shared" si="117"/>
        <v>0</v>
      </c>
      <c r="J59" s="457">
        <f t="shared" si="117"/>
        <v>0</v>
      </c>
      <c r="K59" s="458">
        <f t="shared" si="117"/>
        <v>6861727</v>
      </c>
      <c r="L59" s="459">
        <f t="shared" si="117"/>
        <v>15920233</v>
      </c>
      <c r="M59" s="459">
        <f t="shared" si="117"/>
        <v>0</v>
      </c>
      <c r="N59" s="457">
        <f t="shared" si="117"/>
        <v>22781960</v>
      </c>
      <c r="O59" s="458">
        <f t="shared" si="117"/>
        <v>9396919</v>
      </c>
      <c r="P59" s="456">
        <f t="shared" si="117"/>
        <v>2168914</v>
      </c>
      <c r="Q59" s="456">
        <f t="shared" si="117"/>
        <v>914279</v>
      </c>
      <c r="R59" s="460">
        <f t="shared" ref="R59:Z59" si="118">SUM(R56:R57)</f>
        <v>12480112</v>
      </c>
      <c r="S59" s="461">
        <f t="shared" si="118"/>
        <v>133760</v>
      </c>
      <c r="T59" s="459">
        <f t="shared" si="118"/>
        <v>19101</v>
      </c>
      <c r="U59" s="459">
        <f t="shared" si="118"/>
        <v>0</v>
      </c>
      <c r="V59" s="457">
        <f t="shared" si="118"/>
        <v>152861</v>
      </c>
      <c r="W59" s="461">
        <f t="shared" si="118"/>
        <v>9530679</v>
      </c>
      <c r="X59" s="459">
        <f t="shared" si="118"/>
        <v>2188015</v>
      </c>
      <c r="Y59" s="459">
        <f t="shared" si="118"/>
        <v>914279</v>
      </c>
      <c r="Z59" s="457">
        <f t="shared" si="118"/>
        <v>12632973</v>
      </c>
      <c r="AA59" s="455">
        <f t="shared" ref="AA59:AL59" si="119">SUM(AA56:AA58)</f>
        <v>16258646</v>
      </c>
      <c r="AB59" s="456">
        <f t="shared" si="119"/>
        <v>18089147</v>
      </c>
      <c r="AC59" s="456">
        <f t="shared" si="119"/>
        <v>914279</v>
      </c>
      <c r="AD59" s="457">
        <f t="shared" si="119"/>
        <v>35262072</v>
      </c>
      <c r="AE59" s="462">
        <f t="shared" si="119"/>
        <v>133760</v>
      </c>
      <c r="AF59" s="459">
        <f t="shared" si="119"/>
        <v>19101</v>
      </c>
      <c r="AG59" s="459">
        <f t="shared" si="119"/>
        <v>0</v>
      </c>
      <c r="AH59" s="463">
        <f t="shared" si="119"/>
        <v>152861</v>
      </c>
      <c r="AI59" s="462">
        <f t="shared" si="119"/>
        <v>16392406</v>
      </c>
      <c r="AJ59" s="459">
        <f t="shared" si="119"/>
        <v>18108248</v>
      </c>
      <c r="AK59" s="459">
        <f t="shared" si="119"/>
        <v>914279</v>
      </c>
      <c r="AL59" s="464">
        <f t="shared" si="119"/>
        <v>35414933</v>
      </c>
    </row>
    <row r="60" spans="1:38" s="362" customFormat="1" x14ac:dyDescent="0.25">
      <c r="A60" s="454" t="s">
        <v>796</v>
      </c>
      <c r="B60" s="454" t="s">
        <v>317</v>
      </c>
      <c r="C60" s="455">
        <f>'[5]2 kiadás (kötelező, önként)'!C26</f>
        <v>8801446</v>
      </c>
      <c r="D60" s="456">
        <f>'[5]2 kiadás (kötelező, önként)'!D26</f>
        <v>4839193</v>
      </c>
      <c r="E60" s="456">
        <f>'[5]2 kiadás (kötelező, önként)'!E26</f>
        <v>914279</v>
      </c>
      <c r="F60" s="457">
        <f>SUM(C60:E60)</f>
        <v>14554918</v>
      </c>
      <c r="G60" s="458">
        <f>'[5]2 kiadás (kötelező, önként)'!G26</f>
        <v>133760</v>
      </c>
      <c r="H60" s="459">
        <f>'[5]2 kiadás (kötelező, önként)'!H26</f>
        <v>19101</v>
      </c>
      <c r="I60" s="459">
        <f>'[5]2 kiadás (kötelező, önként)'!I26</f>
        <v>0</v>
      </c>
      <c r="J60" s="458">
        <f>SUM(G60:I60)</f>
        <v>152861</v>
      </c>
      <c r="K60" s="455">
        <f t="shared" ref="K60:M60" si="120">SUM(G60+C60)</f>
        <v>8935206</v>
      </c>
      <c r="L60" s="456">
        <f t="shared" si="120"/>
        <v>4858294</v>
      </c>
      <c r="M60" s="456">
        <f t="shared" si="120"/>
        <v>914279</v>
      </c>
      <c r="N60" s="460">
        <f t="shared" ref="N60" si="121">SUM(K60:M60)</f>
        <v>14707779</v>
      </c>
      <c r="O60" s="458"/>
      <c r="P60" s="456"/>
      <c r="Q60" s="456"/>
      <c r="R60" s="460">
        <f>SUM(O60:Q60)</f>
        <v>0</v>
      </c>
      <c r="S60" s="462"/>
      <c r="T60" s="456"/>
      <c r="U60" s="456"/>
      <c r="V60" s="460">
        <f>SUM(S60:U60)</f>
        <v>0</v>
      </c>
      <c r="W60" s="463">
        <f>SUM(S60+O60)</f>
        <v>0</v>
      </c>
      <c r="X60" s="456">
        <f>SUM(T60+P60)</f>
        <v>0</v>
      </c>
      <c r="Y60" s="456">
        <f>SUM(Q60+U60)</f>
        <v>0</v>
      </c>
      <c r="Z60" s="457">
        <f>SUM(W60:Y60)</f>
        <v>0</v>
      </c>
      <c r="AA60" s="455">
        <f>SUM(O60+C60)</f>
        <v>8801446</v>
      </c>
      <c r="AB60" s="456">
        <f>SUM(P60+D60)</f>
        <v>4839193</v>
      </c>
      <c r="AC60" s="456">
        <f>SUM(Q60+E60)</f>
        <v>914279</v>
      </c>
      <c r="AD60" s="457">
        <f>SUM(AA60:AC60)</f>
        <v>14554918</v>
      </c>
      <c r="AE60" s="455">
        <f t="shared" ref="AE60:AG60" si="122">SUM(S60+G60)</f>
        <v>133760</v>
      </c>
      <c r="AF60" s="456">
        <f t="shared" si="122"/>
        <v>19101</v>
      </c>
      <c r="AG60" s="456">
        <f t="shared" si="122"/>
        <v>0</v>
      </c>
      <c r="AH60" s="457">
        <f t="shared" ref="AH60" si="123">SUM(AE60:AG60)</f>
        <v>152861</v>
      </c>
      <c r="AI60" s="455">
        <f t="shared" ref="AI60:AK60" si="124">SUM(W60+K60)</f>
        <v>8935206</v>
      </c>
      <c r="AJ60" s="456">
        <f t="shared" si="124"/>
        <v>4858294</v>
      </c>
      <c r="AK60" s="456">
        <f t="shared" si="124"/>
        <v>914279</v>
      </c>
      <c r="AL60" s="457">
        <f t="shared" ref="AL60" si="125">SUM(AI60:AK60)</f>
        <v>14707779</v>
      </c>
    </row>
    <row r="61" spans="1:38" s="473" customFormat="1" ht="16.5" thickBot="1" x14ac:dyDescent="0.3">
      <c r="A61" s="465" t="s">
        <v>651</v>
      </c>
      <c r="B61" s="465"/>
      <c r="C61" s="466"/>
      <c r="D61" s="467"/>
      <c r="E61" s="467"/>
      <c r="F61" s="468">
        <f>SUM(F49+F53)</f>
        <v>0</v>
      </c>
      <c r="G61" s="469"/>
      <c r="H61" s="467"/>
      <c r="I61" s="467"/>
      <c r="J61" s="469">
        <f>SUM(J49+J53)</f>
        <v>0</v>
      </c>
      <c r="K61" s="466"/>
      <c r="L61" s="467"/>
      <c r="M61" s="467"/>
      <c r="N61" s="470">
        <f>SUM(N49+N53)</f>
        <v>0</v>
      </c>
      <c r="O61" s="469"/>
      <c r="P61" s="467"/>
      <c r="Q61" s="467"/>
      <c r="R61" s="470">
        <f>SUM(R49+R53)</f>
        <v>0</v>
      </c>
      <c r="S61" s="471"/>
      <c r="T61" s="467"/>
      <c r="U61" s="467"/>
      <c r="V61" s="470">
        <f>SUM(V49+V53)</f>
        <v>0</v>
      </c>
      <c r="W61" s="472"/>
      <c r="X61" s="467"/>
      <c r="Y61" s="467"/>
      <c r="Z61" s="468">
        <f>SUM(Z49+Z53)</f>
        <v>0</v>
      </c>
      <c r="AA61" s="466"/>
      <c r="AB61" s="467"/>
      <c r="AC61" s="467"/>
      <c r="AD61" s="468">
        <f>SUM(AD49+AD53)</f>
        <v>0</v>
      </c>
      <c r="AE61" s="466"/>
      <c r="AF61" s="467"/>
      <c r="AG61" s="467"/>
      <c r="AH61" s="468">
        <f>SUM(AH49+AH53)</f>
        <v>0</v>
      </c>
      <c r="AI61" s="466"/>
      <c r="AJ61" s="467"/>
      <c r="AK61" s="467"/>
      <c r="AL61" s="468">
        <f>SUM(AL49+AL53)</f>
        <v>0</v>
      </c>
    </row>
    <row r="62" spans="1:38" s="473" customFormat="1" ht="29.25" customHeight="1" thickTop="1" x14ac:dyDescent="0.25"/>
    <row r="63" spans="1:38" s="473" customFormat="1" x14ac:dyDescent="0.25"/>
    <row r="64" spans="1:38" s="473" customFormat="1" x14ac:dyDescent="0.25"/>
    <row r="65" spans="1:38" s="473" customFormat="1" x14ac:dyDescent="0.25"/>
    <row r="66" spans="1:38" s="473" customFormat="1" x14ac:dyDescent="0.25"/>
    <row r="67" spans="1:38" s="473" customFormat="1" x14ac:dyDescent="0.25"/>
    <row r="68" spans="1:38" s="473" customFormat="1" x14ac:dyDescent="0.25"/>
    <row r="69" spans="1:38" s="473" customFormat="1" x14ac:dyDescent="0.25"/>
    <row r="70" spans="1:38" s="475" customFormat="1" x14ac:dyDescent="0.25">
      <c r="A70" s="474"/>
      <c r="B70" s="474"/>
      <c r="C70" s="473"/>
      <c r="D70" s="473"/>
      <c r="E70" s="473"/>
      <c r="F70" s="473"/>
      <c r="G70" s="473"/>
      <c r="H70" s="473"/>
      <c r="I70" s="473"/>
      <c r="J70" s="473"/>
      <c r="K70" s="473"/>
      <c r="L70" s="473"/>
      <c r="M70" s="473"/>
      <c r="N70" s="473"/>
      <c r="O70" s="473"/>
      <c r="P70" s="473"/>
      <c r="Q70" s="473"/>
      <c r="R70" s="473"/>
      <c r="S70" s="473"/>
      <c r="T70" s="473"/>
      <c r="U70" s="473"/>
      <c r="V70" s="473"/>
      <c r="W70" s="473"/>
      <c r="X70" s="473"/>
      <c r="Y70" s="473"/>
      <c r="Z70" s="473"/>
      <c r="AA70" s="473"/>
      <c r="AB70" s="473"/>
      <c r="AC70" s="473"/>
      <c r="AD70" s="473"/>
      <c r="AE70" s="473"/>
      <c r="AF70" s="473"/>
      <c r="AG70" s="473"/>
      <c r="AH70" s="473"/>
      <c r="AI70" s="473"/>
      <c r="AJ70" s="473"/>
      <c r="AK70" s="473"/>
      <c r="AL70" s="473"/>
    </row>
    <row r="71" spans="1:38" s="475" customFormat="1" x14ac:dyDescent="0.25">
      <c r="A71" s="476"/>
      <c r="B71" s="476"/>
      <c r="C71" s="473"/>
      <c r="D71" s="473"/>
      <c r="E71" s="473"/>
      <c r="F71" s="473"/>
      <c r="G71" s="473"/>
      <c r="H71" s="473"/>
      <c r="I71" s="473"/>
      <c r="J71" s="473"/>
      <c r="K71" s="473"/>
      <c r="L71" s="473"/>
      <c r="M71" s="473"/>
      <c r="N71" s="473"/>
      <c r="O71" s="473"/>
      <c r="P71" s="473"/>
      <c r="Q71" s="473"/>
      <c r="R71" s="473"/>
      <c r="S71" s="473"/>
      <c r="T71" s="473"/>
      <c r="U71" s="473"/>
      <c r="V71" s="473"/>
      <c r="W71" s="473"/>
      <c r="X71" s="473"/>
      <c r="Y71" s="473"/>
      <c r="Z71" s="473"/>
      <c r="AA71" s="473"/>
      <c r="AB71" s="473"/>
      <c r="AC71" s="473"/>
      <c r="AD71" s="473"/>
      <c r="AE71" s="473"/>
      <c r="AF71" s="473"/>
      <c r="AG71" s="473"/>
      <c r="AH71" s="473"/>
      <c r="AI71" s="473"/>
      <c r="AJ71" s="473"/>
      <c r="AK71" s="473"/>
      <c r="AL71" s="473"/>
    </row>
    <row r="72" spans="1:38" s="475" customFormat="1" x14ac:dyDescent="0.25">
      <c r="A72" s="477"/>
      <c r="B72" s="477"/>
    </row>
    <row r="73" spans="1:38" s="475" customFormat="1" x14ac:dyDescent="0.25"/>
    <row r="74" spans="1:38" s="475" customFormat="1" x14ac:dyDescent="0.25">
      <c r="A74" s="478"/>
      <c r="B74" s="478"/>
    </row>
    <row r="75" spans="1:38" s="475" customFormat="1" x14ac:dyDescent="0.25">
      <c r="A75" s="477"/>
      <c r="B75" s="477"/>
    </row>
    <row r="76" spans="1:38" s="475" customFormat="1" x14ac:dyDescent="0.25"/>
    <row r="77" spans="1:38" s="475" customFormat="1" x14ac:dyDescent="0.25"/>
    <row r="78" spans="1:38" s="475" customFormat="1" x14ac:dyDescent="0.25">
      <c r="A78" s="477"/>
      <c r="B78" s="477"/>
    </row>
    <row r="79" spans="1:38" s="475" customFormat="1" x14ac:dyDescent="0.25"/>
    <row r="80" spans="1:38" s="475" customFormat="1" x14ac:dyDescent="0.25"/>
    <row r="81" spans="1:38" s="475" customFormat="1" x14ac:dyDescent="0.25"/>
    <row r="82" spans="1:38" s="475" customFormat="1" x14ac:dyDescent="0.25"/>
    <row r="83" spans="1:38" s="475" customFormat="1" x14ac:dyDescent="0.25">
      <c r="A83" s="477"/>
      <c r="B83" s="477"/>
    </row>
    <row r="84" spans="1:38" s="475" customFormat="1" x14ac:dyDescent="0.25"/>
    <row r="85" spans="1:38" s="475" customFormat="1" x14ac:dyDescent="0.25"/>
    <row r="86" spans="1:38" s="475" customFormat="1" x14ac:dyDescent="0.25"/>
    <row r="87" spans="1:38" s="475" customFormat="1" x14ac:dyDescent="0.25"/>
    <row r="88" spans="1:38" s="475" customFormat="1" x14ac:dyDescent="0.25"/>
    <row r="89" spans="1:38" x14ac:dyDescent="0.25">
      <c r="A89" s="475"/>
      <c r="B89" s="475"/>
      <c r="C89" s="475"/>
      <c r="D89" s="475"/>
      <c r="E89" s="475"/>
      <c r="F89" s="475"/>
      <c r="G89" s="475"/>
      <c r="H89" s="475"/>
      <c r="I89" s="475"/>
      <c r="J89" s="475"/>
      <c r="K89" s="475"/>
      <c r="L89" s="475"/>
      <c r="M89" s="475"/>
      <c r="N89" s="475"/>
      <c r="O89" s="475"/>
      <c r="P89" s="475"/>
      <c r="Q89" s="475"/>
      <c r="R89" s="475"/>
      <c r="S89" s="475"/>
      <c r="T89" s="475"/>
      <c r="U89" s="475"/>
      <c r="V89" s="475"/>
      <c r="W89" s="475"/>
      <c r="X89" s="475"/>
      <c r="Y89" s="475"/>
      <c r="Z89" s="475"/>
      <c r="AA89" s="475"/>
      <c r="AB89" s="475"/>
      <c r="AC89" s="475"/>
      <c r="AD89" s="475"/>
      <c r="AE89" s="475"/>
      <c r="AF89" s="475"/>
      <c r="AG89" s="475"/>
      <c r="AH89" s="475"/>
      <c r="AI89" s="475"/>
      <c r="AJ89" s="475"/>
      <c r="AK89" s="475"/>
      <c r="AL89" s="475"/>
    </row>
    <row r="90" spans="1:38" x14ac:dyDescent="0.25">
      <c r="A90" s="475"/>
      <c r="B90" s="475"/>
      <c r="C90" s="475"/>
      <c r="D90" s="475"/>
      <c r="E90" s="475"/>
      <c r="F90" s="475"/>
      <c r="G90" s="475"/>
      <c r="H90" s="475"/>
      <c r="I90" s="475"/>
      <c r="J90" s="475"/>
      <c r="K90" s="475"/>
      <c r="L90" s="475"/>
      <c r="M90" s="475"/>
      <c r="N90" s="475"/>
      <c r="O90" s="475"/>
      <c r="P90" s="475"/>
      <c r="Q90" s="475"/>
      <c r="R90" s="475"/>
      <c r="S90" s="475"/>
      <c r="T90" s="475"/>
      <c r="U90" s="475"/>
      <c r="V90" s="475"/>
      <c r="W90" s="475"/>
      <c r="X90" s="475"/>
      <c r="Y90" s="475"/>
      <c r="Z90" s="475"/>
      <c r="AA90" s="475"/>
      <c r="AB90" s="475"/>
      <c r="AC90" s="475"/>
      <c r="AD90" s="475"/>
      <c r="AE90" s="475"/>
      <c r="AF90" s="475"/>
      <c r="AG90" s="475"/>
      <c r="AH90" s="475"/>
      <c r="AI90" s="475"/>
      <c r="AJ90" s="475"/>
      <c r="AK90" s="475"/>
      <c r="AL90" s="475"/>
    </row>
  </sheetData>
  <mergeCells count="30">
    <mergeCell ref="AE8:AH8"/>
    <mergeCell ref="AI8:AL8"/>
    <mergeCell ref="AA6:AD6"/>
    <mergeCell ref="AE6:AH6"/>
    <mergeCell ref="AI6:AL6"/>
    <mergeCell ref="C8:F8"/>
    <mergeCell ref="G8:J8"/>
    <mergeCell ref="K8:N8"/>
    <mergeCell ref="O8:R8"/>
    <mergeCell ref="S8:V8"/>
    <mergeCell ref="W8:Z8"/>
    <mergeCell ref="AA8:AD8"/>
    <mergeCell ref="C6:F6"/>
    <mergeCell ref="G6:J6"/>
    <mergeCell ref="K6:N6"/>
    <mergeCell ref="O6:R6"/>
    <mergeCell ref="S6:V6"/>
    <mergeCell ref="W6:Z6"/>
    <mergeCell ref="C3:N3"/>
    <mergeCell ref="O3:Z3"/>
    <mergeCell ref="AA3:AL3"/>
    <mergeCell ref="C5:N5"/>
    <mergeCell ref="O5:Z5"/>
    <mergeCell ref="AA5:AL5"/>
    <mergeCell ref="C1:N1"/>
    <mergeCell ref="O1:Z1"/>
    <mergeCell ref="AA1:AL1"/>
    <mergeCell ref="C2:N2"/>
    <mergeCell ref="O2:Z2"/>
    <mergeCell ref="AA2:AL2"/>
  </mergeCells>
  <pageMargins left="0.39370078740157483" right="0.39370078740157483" top="0.78740157480314965" bottom="0.78740157480314965" header="0.62992125984251968" footer="0.39370078740157483"/>
  <pageSetup paperSize="9" scale="60" orientation="landscape" r:id="rId1"/>
  <headerFooter alignWithMargins="0">
    <oddHeader>&amp;C&amp;"Times New Roman CE,Félkövér"
&amp;R&amp;"Times New Roman CE,Dőlt"&amp;10 1. melléklet
az 5/2019.(II.15.) önkormányzati rendelethez&amp;X1</oddHeader>
    <oddFooter>&amp;L&amp;X1 &amp;XMódosította a  28/2019.(XII.13.) önkormányzati rendelet 8.§ (1) bekezdése, hatályos 2019. december 16-tól.</oddFooter>
  </headerFooter>
  <rowBreaks count="1" manualBreakCount="1">
    <brk id="48" max="37" man="1"/>
  </rowBreaks>
  <colBreaks count="2" manualBreakCount="2">
    <brk id="14" max="65" man="1"/>
    <brk id="26" max="6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70A4F-00FB-45B0-9C19-72693FD27804}">
  <sheetPr>
    <tabColor theme="7" tint="0.39997558519241921"/>
  </sheetPr>
  <dimension ref="A1:AL38"/>
  <sheetViews>
    <sheetView view="pageBreakPreview" zoomScale="80" zoomScaleNormal="90" zoomScaleSheetLayoutView="80" workbookViewId="0">
      <pane xSplit="2" ySplit="8" topLeftCell="E9" activePane="bottomRight" state="frozen"/>
      <selection activeCell="A25" sqref="A25"/>
      <selection pane="topRight" activeCell="A25" sqref="A25"/>
      <selection pane="bottomLeft" activeCell="A25" sqref="A25"/>
      <selection pane="bottomRight" activeCell="E4" sqref="E4"/>
    </sheetView>
  </sheetViews>
  <sheetFormatPr defaultRowHeight="15.75" x14ac:dyDescent="0.25"/>
  <cols>
    <col min="1" max="1" width="35.75" style="48" customWidth="1"/>
    <col min="2" max="2" width="10" style="48" customWidth="1"/>
    <col min="3" max="3" width="12.25" style="55" customWidth="1"/>
    <col min="4" max="4" width="13.125" style="55" customWidth="1"/>
    <col min="5" max="5" width="15" style="55" customWidth="1"/>
    <col min="6" max="15" width="13.75" style="55" customWidth="1"/>
    <col min="16" max="16" width="13" style="55" customWidth="1"/>
    <col min="17" max="17" width="15.25" style="55" customWidth="1"/>
    <col min="18" max="26" width="13.875" style="55" customWidth="1"/>
    <col min="27" max="27" width="12.875" style="55" customWidth="1"/>
    <col min="28" max="28" width="14.875" style="55" customWidth="1"/>
    <col min="29" max="29" width="15.375" style="55" customWidth="1"/>
    <col min="30" max="30" width="13.25" style="55" customWidth="1"/>
    <col min="31" max="31" width="12.625" style="55" customWidth="1"/>
    <col min="32" max="32" width="14.875" style="55" customWidth="1"/>
    <col min="33" max="33" width="15.375" style="55" customWidth="1"/>
    <col min="34" max="34" width="14.125" style="55" customWidth="1"/>
    <col min="35" max="35" width="13.875" style="55" customWidth="1"/>
    <col min="36" max="36" width="14.875" style="55" customWidth="1"/>
    <col min="37" max="37" width="15.375" style="55" customWidth="1"/>
    <col min="38" max="38" width="14.125" style="55" customWidth="1"/>
    <col min="39" max="16384" width="9" style="48"/>
  </cols>
  <sheetData>
    <row r="1" spans="1:38" x14ac:dyDescent="0.25">
      <c r="A1" s="54"/>
      <c r="B1" s="1033" t="s">
        <v>349</v>
      </c>
      <c r="C1" s="1033"/>
      <c r="D1" s="1033"/>
      <c r="E1" s="1033"/>
      <c r="F1" s="1033"/>
      <c r="G1" s="1033"/>
      <c r="H1" s="1033"/>
      <c r="I1" s="1033"/>
      <c r="J1" s="1033"/>
      <c r="K1" s="1033"/>
      <c r="L1" s="1033"/>
      <c r="M1" s="1033"/>
      <c r="N1" s="1033"/>
      <c r="O1" s="1033" t="s">
        <v>349</v>
      </c>
      <c r="P1" s="1033"/>
      <c r="Q1" s="1033"/>
      <c r="R1" s="1033"/>
      <c r="S1" s="1033"/>
      <c r="T1" s="1033"/>
      <c r="U1" s="1033"/>
      <c r="V1" s="1033"/>
      <c r="W1" s="1033"/>
      <c r="X1" s="1033"/>
      <c r="Y1" s="1033"/>
      <c r="Z1" s="1033"/>
      <c r="AA1" s="1033" t="s">
        <v>349</v>
      </c>
      <c r="AB1" s="1033"/>
      <c r="AC1" s="1033"/>
      <c r="AD1" s="1033"/>
      <c r="AE1" s="1033"/>
      <c r="AF1" s="1033"/>
      <c r="AG1" s="1033"/>
      <c r="AH1" s="1033"/>
      <c r="AI1" s="1033"/>
      <c r="AJ1" s="1033"/>
      <c r="AK1" s="1033"/>
      <c r="AL1" s="1033"/>
    </row>
    <row r="2" spans="1:38" x14ac:dyDescent="0.25">
      <c r="A2" s="54"/>
      <c r="B2" s="1033" t="s">
        <v>1010</v>
      </c>
      <c r="C2" s="1033"/>
      <c r="D2" s="1033"/>
      <c r="E2" s="1033"/>
      <c r="F2" s="1033"/>
      <c r="G2" s="1033"/>
      <c r="H2" s="1033"/>
      <c r="I2" s="1033"/>
      <c r="J2" s="1033"/>
      <c r="K2" s="1033"/>
      <c r="L2" s="1033"/>
      <c r="M2" s="1033"/>
      <c r="N2" s="1033"/>
      <c r="O2" s="1033" t="s">
        <v>1010</v>
      </c>
      <c r="P2" s="1033"/>
      <c r="Q2" s="1033"/>
      <c r="R2" s="1033"/>
      <c r="S2" s="1033"/>
      <c r="T2" s="1033"/>
      <c r="U2" s="1033"/>
      <c r="V2" s="1033"/>
      <c r="W2" s="1033"/>
      <c r="X2" s="1033"/>
      <c r="Y2" s="1033"/>
      <c r="Z2" s="1033"/>
      <c r="AA2" s="1033" t="s">
        <v>1010</v>
      </c>
      <c r="AB2" s="1033"/>
      <c r="AC2" s="1033"/>
      <c r="AD2" s="1033"/>
      <c r="AE2" s="1033"/>
      <c r="AF2" s="1033"/>
      <c r="AG2" s="1033"/>
      <c r="AH2" s="1033"/>
      <c r="AI2" s="1033"/>
      <c r="AJ2" s="1033"/>
      <c r="AK2" s="1033"/>
      <c r="AL2" s="1033"/>
    </row>
    <row r="3" spans="1:38" x14ac:dyDescent="0.25">
      <c r="A3" s="54"/>
      <c r="B3" s="1033" t="s">
        <v>1228</v>
      </c>
      <c r="C3" s="1033"/>
      <c r="D3" s="1033"/>
      <c r="E3" s="1033"/>
      <c r="F3" s="1033"/>
      <c r="G3" s="1033"/>
      <c r="H3" s="1033"/>
      <c r="I3" s="1033"/>
      <c r="J3" s="1033"/>
      <c r="K3" s="1033"/>
      <c r="L3" s="1033"/>
      <c r="M3" s="1033"/>
      <c r="N3" s="1033"/>
      <c r="O3" s="1033" t="s">
        <v>1228</v>
      </c>
      <c r="P3" s="1033"/>
      <c r="Q3" s="1033"/>
      <c r="R3" s="1033"/>
      <c r="S3" s="1033"/>
      <c r="T3" s="1033"/>
      <c r="U3" s="1033"/>
      <c r="V3" s="1033"/>
      <c r="W3" s="1033"/>
      <c r="X3" s="1033"/>
      <c r="Y3" s="1033"/>
      <c r="Z3" s="1033"/>
      <c r="AA3" s="1033" t="s">
        <v>1228</v>
      </c>
      <c r="AB3" s="1033"/>
      <c r="AC3" s="1033"/>
      <c r="AD3" s="1033"/>
      <c r="AE3" s="1033"/>
      <c r="AF3" s="1033"/>
      <c r="AG3" s="1033"/>
      <c r="AH3" s="1033"/>
      <c r="AI3" s="1033"/>
      <c r="AJ3" s="1033"/>
      <c r="AK3" s="1033"/>
      <c r="AL3" s="1033"/>
    </row>
    <row r="4" spans="1:38" ht="16.5" thickBot="1" x14ac:dyDescent="0.3"/>
    <row r="5" spans="1:38" s="482" customFormat="1" ht="68.25" customHeight="1" thickTop="1" thickBot="1" x14ac:dyDescent="0.3">
      <c r="A5" s="479"/>
      <c r="B5" s="480"/>
      <c r="C5" s="1025" t="s">
        <v>26</v>
      </c>
      <c r="D5" s="1026"/>
      <c r="E5" s="1026"/>
      <c r="F5" s="1026"/>
      <c r="G5" s="1026"/>
      <c r="H5" s="1026"/>
      <c r="I5" s="1026"/>
      <c r="J5" s="1026"/>
      <c r="K5" s="1026"/>
      <c r="L5" s="1026"/>
      <c r="M5" s="1026"/>
      <c r="N5" s="1027"/>
      <c r="O5" s="481" t="s">
        <v>27</v>
      </c>
      <c r="P5" s="481"/>
      <c r="Q5" s="481"/>
      <c r="R5" s="481"/>
      <c r="S5" s="481"/>
      <c r="T5" s="481"/>
      <c r="U5" s="481"/>
      <c r="V5" s="481"/>
      <c r="W5" s="481"/>
      <c r="X5" s="481"/>
      <c r="Y5" s="481"/>
      <c r="Z5" s="481"/>
      <c r="AA5" s="1034" t="s">
        <v>181</v>
      </c>
      <c r="AB5" s="1034"/>
      <c r="AC5" s="1034"/>
      <c r="AD5" s="1034"/>
      <c r="AE5" s="1034"/>
      <c r="AF5" s="1034"/>
      <c r="AG5" s="1034"/>
      <c r="AH5" s="1034"/>
      <c r="AI5" s="1034"/>
      <c r="AJ5" s="1034"/>
      <c r="AK5" s="1034"/>
      <c r="AL5" s="1034"/>
    </row>
    <row r="6" spans="1:38" s="488" customFormat="1" ht="39" customHeight="1" thickTop="1" thickBot="1" x14ac:dyDescent="0.3">
      <c r="A6" s="483" t="s">
        <v>165</v>
      </c>
      <c r="B6" s="484" t="s">
        <v>230</v>
      </c>
      <c r="C6" s="1035" t="s">
        <v>998</v>
      </c>
      <c r="D6" s="1036"/>
      <c r="E6" s="1036"/>
      <c r="F6" s="1037"/>
      <c r="G6" s="485" t="s">
        <v>997</v>
      </c>
      <c r="H6" s="485"/>
      <c r="I6" s="485"/>
      <c r="J6" s="485"/>
      <c r="K6" s="486" t="s">
        <v>1151</v>
      </c>
      <c r="L6" s="486"/>
      <c r="M6" s="486"/>
      <c r="N6" s="486"/>
      <c r="O6" s="486" t="s">
        <v>998</v>
      </c>
      <c r="P6" s="487"/>
      <c r="Q6" s="487"/>
      <c r="R6" s="487"/>
      <c r="S6" s="487" t="s">
        <v>997</v>
      </c>
      <c r="T6" s="487"/>
      <c r="U6" s="487"/>
      <c r="V6" s="487"/>
      <c r="W6" s="487" t="s">
        <v>1151</v>
      </c>
      <c r="X6" s="487"/>
      <c r="Y6" s="487"/>
      <c r="Z6" s="487"/>
      <c r="AA6" s="1038" t="s">
        <v>998</v>
      </c>
      <c r="AB6" s="1038"/>
      <c r="AC6" s="1038"/>
      <c r="AD6" s="1038"/>
      <c r="AE6" s="1038" t="s">
        <v>997</v>
      </c>
      <c r="AF6" s="1038"/>
      <c r="AG6" s="1038"/>
      <c r="AH6" s="1038"/>
      <c r="AI6" s="1038" t="s">
        <v>1151</v>
      </c>
      <c r="AJ6" s="1038"/>
      <c r="AK6" s="1038"/>
      <c r="AL6" s="1038"/>
    </row>
    <row r="7" spans="1:38" s="349" customFormat="1" ht="33" thickTop="1" thickBot="1" x14ac:dyDescent="0.3">
      <c r="A7" s="350"/>
      <c r="B7" s="351"/>
      <c r="C7" s="1012" t="s">
        <v>160</v>
      </c>
      <c r="D7" s="1014" t="s">
        <v>161</v>
      </c>
      <c r="E7" s="1014" t="s">
        <v>563</v>
      </c>
      <c r="F7" s="1014" t="s">
        <v>181</v>
      </c>
      <c r="G7" s="1012" t="s">
        <v>160</v>
      </c>
      <c r="H7" s="1012" t="s">
        <v>161</v>
      </c>
      <c r="I7" s="1012" t="s">
        <v>563</v>
      </c>
      <c r="J7" s="1012" t="s">
        <v>181</v>
      </c>
      <c r="K7" s="1014" t="s">
        <v>160</v>
      </c>
      <c r="L7" s="1014" t="s">
        <v>161</v>
      </c>
      <c r="M7" s="1014" t="s">
        <v>563</v>
      </c>
      <c r="N7" s="1014" t="s">
        <v>181</v>
      </c>
      <c r="O7" s="1014" t="s">
        <v>160</v>
      </c>
      <c r="P7" s="1014" t="s">
        <v>161</v>
      </c>
      <c r="Q7" s="1014" t="s">
        <v>563</v>
      </c>
      <c r="R7" s="1014" t="s">
        <v>181</v>
      </c>
      <c r="S7" s="1014" t="s">
        <v>160</v>
      </c>
      <c r="T7" s="1014" t="s">
        <v>161</v>
      </c>
      <c r="U7" s="1014" t="s">
        <v>563</v>
      </c>
      <c r="V7" s="1014" t="s">
        <v>181</v>
      </c>
      <c r="W7" s="1014" t="s">
        <v>160</v>
      </c>
      <c r="X7" s="1014" t="s">
        <v>161</v>
      </c>
      <c r="Y7" s="1014" t="s">
        <v>563</v>
      </c>
      <c r="Z7" s="1014" t="s">
        <v>181</v>
      </c>
      <c r="AA7" s="1014" t="s">
        <v>160</v>
      </c>
      <c r="AB7" s="1014" t="s">
        <v>161</v>
      </c>
      <c r="AC7" s="1014" t="s">
        <v>563</v>
      </c>
      <c r="AD7" s="1014" t="s">
        <v>181</v>
      </c>
      <c r="AE7" s="1014" t="s">
        <v>160</v>
      </c>
      <c r="AF7" s="1014" t="s">
        <v>161</v>
      </c>
      <c r="AG7" s="1014" t="s">
        <v>563</v>
      </c>
      <c r="AH7" s="1014" t="s">
        <v>181</v>
      </c>
      <c r="AI7" s="1014" t="s">
        <v>160</v>
      </c>
      <c r="AJ7" s="1014" t="s">
        <v>161</v>
      </c>
      <c r="AK7" s="1014" t="s">
        <v>563</v>
      </c>
      <c r="AL7" s="1014" t="s">
        <v>181</v>
      </c>
    </row>
    <row r="8" spans="1:38" s="488" customFormat="1" ht="17.25" thickTop="1" thickBot="1" x14ac:dyDescent="0.3">
      <c r="A8" s="489" t="s">
        <v>168</v>
      </c>
      <c r="B8" s="490"/>
      <c r="C8" s="491" t="s">
        <v>999</v>
      </c>
      <c r="D8" s="492"/>
      <c r="E8" s="492"/>
      <c r="F8" s="492"/>
      <c r="G8" s="493" t="s">
        <v>1000</v>
      </c>
      <c r="H8" s="494"/>
      <c r="I8" s="494"/>
      <c r="J8" s="485"/>
      <c r="K8" s="487" t="s">
        <v>1001</v>
      </c>
      <c r="L8" s="487"/>
      <c r="M8" s="487"/>
      <c r="N8" s="487"/>
      <c r="O8" s="1031" t="s">
        <v>1002</v>
      </c>
      <c r="P8" s="1031"/>
      <c r="Q8" s="1031"/>
      <c r="R8" s="1031"/>
      <c r="S8" s="1031" t="s">
        <v>1003</v>
      </c>
      <c r="T8" s="1031"/>
      <c r="U8" s="1031"/>
      <c r="V8" s="1031"/>
      <c r="W8" s="1031" t="s">
        <v>1004</v>
      </c>
      <c r="X8" s="1031"/>
      <c r="Y8" s="1031"/>
      <c r="Z8" s="1031"/>
      <c r="AA8" s="1031" t="s">
        <v>1005</v>
      </c>
      <c r="AB8" s="1031"/>
      <c r="AC8" s="1031"/>
      <c r="AD8" s="1031"/>
      <c r="AE8" s="1031" t="s">
        <v>1006</v>
      </c>
      <c r="AF8" s="1031"/>
      <c r="AG8" s="1031"/>
      <c r="AH8" s="1031"/>
      <c r="AI8" s="1031" t="s">
        <v>1007</v>
      </c>
      <c r="AJ8" s="1031"/>
      <c r="AK8" s="1031"/>
      <c r="AL8" s="1031"/>
    </row>
    <row r="9" spans="1:38" ht="16.5" thickTop="1" x14ac:dyDescent="0.25">
      <c r="A9" s="495" t="s">
        <v>1011</v>
      </c>
      <c r="B9" s="495" t="s">
        <v>231</v>
      </c>
      <c r="C9" s="496">
        <v>246773</v>
      </c>
      <c r="D9" s="497">
        <v>146903</v>
      </c>
      <c r="E9" s="497"/>
      <c r="F9" s="498">
        <f>SUM(C9:E9)</f>
        <v>393676</v>
      </c>
      <c r="G9" s="498">
        <v>-6315</v>
      </c>
      <c r="H9" s="498">
        <v>-18784</v>
      </c>
      <c r="I9" s="498"/>
      <c r="J9" s="498">
        <f>SUM(G9:I9)</f>
        <v>-25099</v>
      </c>
      <c r="K9" s="498">
        <f>SUM(C9+G9)</f>
        <v>240458</v>
      </c>
      <c r="L9" s="498">
        <f>SUM(D9+H9)</f>
        <v>128119</v>
      </c>
      <c r="M9" s="498">
        <f>SUM(E9+I9)</f>
        <v>0</v>
      </c>
      <c r="N9" s="499">
        <f>SUM(K9:M9)</f>
        <v>368577</v>
      </c>
      <c r="O9" s="497">
        <v>5781334</v>
      </c>
      <c r="P9" s="500">
        <v>1548243</v>
      </c>
      <c r="Q9" s="500">
        <v>641934</v>
      </c>
      <c r="R9" s="500">
        <f>SUM(O9:Q9)</f>
        <v>7971511</v>
      </c>
      <c r="S9" s="500">
        <v>117294</v>
      </c>
      <c r="T9" s="500">
        <v>63715</v>
      </c>
      <c r="U9" s="500"/>
      <c r="V9" s="500">
        <f>SUM(S9:U9)</f>
        <v>181009</v>
      </c>
      <c r="W9" s="500">
        <f>SUM(O9+S9)</f>
        <v>5898628</v>
      </c>
      <c r="X9" s="500">
        <f t="shared" ref="W9:Y13" si="0">SUM(P9+T9)</f>
        <v>1611958</v>
      </c>
      <c r="Y9" s="500">
        <f t="shared" si="0"/>
        <v>641934</v>
      </c>
      <c r="Z9" s="501">
        <f>SUM(W9:Y9)</f>
        <v>8152520</v>
      </c>
      <c r="AA9" s="502">
        <f t="shared" ref="AA9:AB13" si="1">+C9+O9</f>
        <v>6028107</v>
      </c>
      <c r="AB9" s="503">
        <f t="shared" si="1"/>
        <v>1695146</v>
      </c>
      <c r="AC9" s="504">
        <f t="shared" ref="AC9:AC20" si="2">SUM(Q9+E9)</f>
        <v>641934</v>
      </c>
      <c r="AD9" s="505">
        <f>SUM(AA9:AC9)</f>
        <v>8365187</v>
      </c>
      <c r="AE9" s="502">
        <f>+G9+S9</f>
        <v>110979</v>
      </c>
      <c r="AF9" s="503">
        <f t="shared" ref="AE9:AF13" si="3">+H9+T9</f>
        <v>44931</v>
      </c>
      <c r="AG9" s="504">
        <f t="shared" ref="AG9:AG13" si="4">SUM(U9+I9)</f>
        <v>0</v>
      </c>
      <c r="AH9" s="505">
        <f t="shared" ref="AH9:AH13" si="5">SUM(AE9:AG9)</f>
        <v>155910</v>
      </c>
      <c r="AI9" s="502">
        <f>+K9+W9</f>
        <v>6139086</v>
      </c>
      <c r="AJ9" s="503">
        <f t="shared" ref="AI9:AJ13" si="6">+L9+X9</f>
        <v>1740077</v>
      </c>
      <c r="AK9" s="504">
        <f t="shared" ref="AK9:AK13" si="7">SUM(Y9+M9)</f>
        <v>641934</v>
      </c>
      <c r="AL9" s="505">
        <f t="shared" ref="AL9:AL13" si="8">SUM(AI9:AK9)</f>
        <v>8521097</v>
      </c>
    </row>
    <row r="10" spans="1:38" ht="31.5" x14ac:dyDescent="0.25">
      <c r="A10" s="49" t="s">
        <v>30</v>
      </c>
      <c r="B10" s="49" t="s">
        <v>232</v>
      </c>
      <c r="C10" s="50">
        <v>48470</v>
      </c>
      <c r="D10" s="506">
        <v>40282</v>
      </c>
      <c r="E10" s="506"/>
      <c r="F10" s="50">
        <f>SUM(C10:E10)</f>
        <v>88752</v>
      </c>
      <c r="G10" s="506">
        <v>-4629</v>
      </c>
      <c r="H10" s="506">
        <v>7705</v>
      </c>
      <c r="I10" s="506"/>
      <c r="J10" s="506">
        <f>SUM(G10:I10)</f>
        <v>3076</v>
      </c>
      <c r="K10" s="506">
        <f>SUM(C10+G10)</f>
        <v>43841</v>
      </c>
      <c r="L10" s="506">
        <f t="shared" ref="L10:M13" si="9">SUM(D10+H10)</f>
        <v>47987</v>
      </c>
      <c r="M10" s="506">
        <f t="shared" si="9"/>
        <v>0</v>
      </c>
      <c r="N10" s="50">
        <f>SUM(K10:M10)</f>
        <v>91828</v>
      </c>
      <c r="O10" s="506">
        <v>1226995</v>
      </c>
      <c r="P10" s="506">
        <v>308483</v>
      </c>
      <c r="Q10" s="506">
        <v>138910</v>
      </c>
      <c r="R10" s="50">
        <f>SUM(O10:Q10)</f>
        <v>1674388</v>
      </c>
      <c r="S10" s="506">
        <v>21403</v>
      </c>
      <c r="T10" s="506">
        <v>17146</v>
      </c>
      <c r="U10" s="506"/>
      <c r="V10" s="506">
        <f>SUM(S10:U10)</f>
        <v>38549</v>
      </c>
      <c r="W10" s="506">
        <f t="shared" si="0"/>
        <v>1248398</v>
      </c>
      <c r="X10" s="506">
        <f t="shared" si="0"/>
        <v>325629</v>
      </c>
      <c r="Y10" s="506">
        <f t="shared" si="0"/>
        <v>138910</v>
      </c>
      <c r="Z10" s="50">
        <f>SUM(W10:Y10)</f>
        <v>1712937</v>
      </c>
      <c r="AA10" s="507">
        <f t="shared" si="1"/>
        <v>1275465</v>
      </c>
      <c r="AB10" s="508">
        <f t="shared" si="1"/>
        <v>348765</v>
      </c>
      <c r="AC10" s="509">
        <f t="shared" si="2"/>
        <v>138910</v>
      </c>
      <c r="AD10" s="51">
        <f>SUM(AA10:AC10)</f>
        <v>1763140</v>
      </c>
      <c r="AE10" s="507">
        <f t="shared" si="3"/>
        <v>16774</v>
      </c>
      <c r="AF10" s="508">
        <f t="shared" si="3"/>
        <v>24851</v>
      </c>
      <c r="AG10" s="509">
        <f t="shared" si="4"/>
        <v>0</v>
      </c>
      <c r="AH10" s="51">
        <f t="shared" si="5"/>
        <v>41625</v>
      </c>
      <c r="AI10" s="507">
        <f t="shared" si="6"/>
        <v>1292239</v>
      </c>
      <c r="AJ10" s="508">
        <f t="shared" si="6"/>
        <v>373616</v>
      </c>
      <c r="AK10" s="509">
        <f t="shared" si="7"/>
        <v>138910</v>
      </c>
      <c r="AL10" s="51">
        <f t="shared" si="8"/>
        <v>1804765</v>
      </c>
    </row>
    <row r="11" spans="1:38" x14ac:dyDescent="0.25">
      <c r="A11" s="52" t="s">
        <v>1012</v>
      </c>
      <c r="B11" s="52" t="s">
        <v>233</v>
      </c>
      <c r="C11" s="50">
        <v>3015585</v>
      </c>
      <c r="D11" s="506">
        <v>2246465</v>
      </c>
      <c r="E11" s="506"/>
      <c r="F11" s="50">
        <f>SUM(C11:E11)</f>
        <v>5262050</v>
      </c>
      <c r="G11" s="506">
        <v>46725</v>
      </c>
      <c r="H11" s="506">
        <v>151997</v>
      </c>
      <c r="I11" s="506"/>
      <c r="J11" s="50">
        <f t="shared" ref="J11:J20" si="10">SUM(G11:I11)</f>
        <v>198722</v>
      </c>
      <c r="K11" s="506">
        <f t="shared" ref="K11:K13" si="11">SUM(C11+G11)</f>
        <v>3062310</v>
      </c>
      <c r="L11" s="506">
        <f t="shared" si="9"/>
        <v>2398462</v>
      </c>
      <c r="M11" s="506">
        <f t="shared" si="9"/>
        <v>0</v>
      </c>
      <c r="N11" s="50">
        <f t="shared" ref="N11:N13" si="12">SUM(K11:M11)</f>
        <v>5460772</v>
      </c>
      <c r="O11" s="506">
        <v>4104929</v>
      </c>
      <c r="P11" s="506">
        <v>997920</v>
      </c>
      <c r="Q11" s="506">
        <v>172679</v>
      </c>
      <c r="R11" s="50">
        <f>SUM(O11:Q11)</f>
        <v>5275528</v>
      </c>
      <c r="S11" s="506">
        <v>13464</v>
      </c>
      <c r="T11" s="506">
        <v>63680</v>
      </c>
      <c r="U11" s="506">
        <v>-5010</v>
      </c>
      <c r="V11" s="506">
        <f t="shared" ref="V11:V20" si="13">SUM(S11:U11)</f>
        <v>72134</v>
      </c>
      <c r="W11" s="506">
        <f t="shared" si="0"/>
        <v>4118393</v>
      </c>
      <c r="X11" s="506">
        <f t="shared" si="0"/>
        <v>1061600</v>
      </c>
      <c r="Y11" s="506">
        <f t="shared" si="0"/>
        <v>167669</v>
      </c>
      <c r="Z11" s="50">
        <f t="shared" ref="Z11:Z13" si="14">SUM(W11:Y11)</f>
        <v>5347662</v>
      </c>
      <c r="AA11" s="507">
        <f t="shared" si="1"/>
        <v>7120514</v>
      </c>
      <c r="AB11" s="508">
        <f t="shared" si="1"/>
        <v>3244385</v>
      </c>
      <c r="AC11" s="509">
        <f t="shared" si="2"/>
        <v>172679</v>
      </c>
      <c r="AD11" s="51">
        <f>SUM(AA11:AC11)</f>
        <v>10537578</v>
      </c>
      <c r="AE11" s="507">
        <f t="shared" si="3"/>
        <v>60189</v>
      </c>
      <c r="AF11" s="508">
        <f t="shared" si="3"/>
        <v>215677</v>
      </c>
      <c r="AG11" s="509">
        <f t="shared" si="4"/>
        <v>-5010</v>
      </c>
      <c r="AH11" s="51">
        <f t="shared" si="5"/>
        <v>270856</v>
      </c>
      <c r="AI11" s="507">
        <f t="shared" si="6"/>
        <v>7180703</v>
      </c>
      <c r="AJ11" s="508">
        <f t="shared" si="6"/>
        <v>3460062</v>
      </c>
      <c r="AK11" s="509">
        <f t="shared" si="7"/>
        <v>167669</v>
      </c>
      <c r="AL11" s="51">
        <f t="shared" si="8"/>
        <v>10808434</v>
      </c>
    </row>
    <row r="12" spans="1:38" x14ac:dyDescent="0.25">
      <c r="A12" s="52" t="s">
        <v>647</v>
      </c>
      <c r="B12" s="52" t="s">
        <v>234</v>
      </c>
      <c r="C12" s="50">
        <v>189590</v>
      </c>
      <c r="D12" s="506">
        <v>33792</v>
      </c>
      <c r="E12" s="506"/>
      <c r="F12" s="50">
        <f>SUM(C12:E12)</f>
        <v>223382</v>
      </c>
      <c r="G12" s="50">
        <v>297</v>
      </c>
      <c r="H12" s="50"/>
      <c r="I12" s="50"/>
      <c r="J12" s="50">
        <f t="shared" si="10"/>
        <v>297</v>
      </c>
      <c r="K12" s="506">
        <f t="shared" si="11"/>
        <v>189887</v>
      </c>
      <c r="L12" s="506">
        <f t="shared" si="9"/>
        <v>33792</v>
      </c>
      <c r="M12" s="506">
        <f t="shared" si="9"/>
        <v>0</v>
      </c>
      <c r="N12" s="50">
        <f t="shared" si="12"/>
        <v>223679</v>
      </c>
      <c r="O12" s="50">
        <v>26104</v>
      </c>
      <c r="P12" s="510">
        <v>0</v>
      </c>
      <c r="Q12" s="510">
        <v>0</v>
      </c>
      <c r="R12" s="500">
        <f>SUM(O12:Q12)</f>
        <v>26104</v>
      </c>
      <c r="S12" s="500">
        <v>12</v>
      </c>
      <c r="T12" s="500"/>
      <c r="U12" s="500"/>
      <c r="V12" s="506">
        <f t="shared" si="13"/>
        <v>12</v>
      </c>
      <c r="W12" s="506">
        <f t="shared" si="0"/>
        <v>26116</v>
      </c>
      <c r="X12" s="506">
        <f t="shared" si="0"/>
        <v>0</v>
      </c>
      <c r="Y12" s="506">
        <f t="shared" si="0"/>
        <v>0</v>
      </c>
      <c r="Z12" s="50">
        <f t="shared" si="14"/>
        <v>26116</v>
      </c>
      <c r="AA12" s="511">
        <f t="shared" si="1"/>
        <v>215694</v>
      </c>
      <c r="AB12" s="512">
        <f t="shared" si="1"/>
        <v>33792</v>
      </c>
      <c r="AC12" s="509">
        <f>SUM(Q12+E12)</f>
        <v>0</v>
      </c>
      <c r="AD12" s="513">
        <f>SUM(AA12:AC12)</f>
        <v>249486</v>
      </c>
      <c r="AE12" s="511">
        <f t="shared" si="3"/>
        <v>309</v>
      </c>
      <c r="AF12" s="512">
        <f t="shared" si="3"/>
        <v>0</v>
      </c>
      <c r="AG12" s="509">
        <f t="shared" si="4"/>
        <v>0</v>
      </c>
      <c r="AH12" s="513">
        <f t="shared" si="5"/>
        <v>309</v>
      </c>
      <c r="AI12" s="511">
        <f t="shared" si="6"/>
        <v>216003</v>
      </c>
      <c r="AJ12" s="512">
        <f t="shared" si="6"/>
        <v>33792</v>
      </c>
      <c r="AK12" s="509">
        <f t="shared" si="7"/>
        <v>0</v>
      </c>
      <c r="AL12" s="513">
        <f t="shared" si="8"/>
        <v>249795</v>
      </c>
    </row>
    <row r="13" spans="1:38" ht="31.5" x14ac:dyDescent="0.25">
      <c r="A13" s="49" t="s">
        <v>261</v>
      </c>
      <c r="B13" s="49" t="s">
        <v>509</v>
      </c>
      <c r="C13" s="50">
        <v>10925117</v>
      </c>
      <c r="D13" s="506">
        <v>2905733</v>
      </c>
      <c r="E13" s="506"/>
      <c r="F13" s="50">
        <f>SUM(C13:E13)</f>
        <v>13830850</v>
      </c>
      <c r="G13" s="506">
        <v>605260</v>
      </c>
      <c r="H13" s="506">
        <v>17978</v>
      </c>
      <c r="I13" s="506"/>
      <c r="J13" s="50">
        <f t="shared" si="10"/>
        <v>623238</v>
      </c>
      <c r="K13" s="506">
        <f t="shared" si="11"/>
        <v>11530377</v>
      </c>
      <c r="L13" s="506">
        <f t="shared" si="9"/>
        <v>2923711</v>
      </c>
      <c r="M13" s="506">
        <f t="shared" si="9"/>
        <v>0</v>
      </c>
      <c r="N13" s="50">
        <f t="shared" si="12"/>
        <v>14454088</v>
      </c>
      <c r="O13" s="506">
        <v>0</v>
      </c>
      <c r="P13" s="506">
        <v>0</v>
      </c>
      <c r="Q13" s="506">
        <v>0</v>
      </c>
      <c r="R13" s="50">
        <f>SUM(O13:Q13)</f>
        <v>0</v>
      </c>
      <c r="S13" s="506"/>
      <c r="T13" s="506"/>
      <c r="U13" s="506"/>
      <c r="V13" s="506">
        <f t="shared" si="13"/>
        <v>0</v>
      </c>
      <c r="W13" s="506">
        <f t="shared" si="0"/>
        <v>0</v>
      </c>
      <c r="X13" s="506">
        <f t="shared" si="0"/>
        <v>0</v>
      </c>
      <c r="Y13" s="506">
        <f t="shared" si="0"/>
        <v>0</v>
      </c>
      <c r="Z13" s="50">
        <f t="shared" si="14"/>
        <v>0</v>
      </c>
      <c r="AA13" s="507">
        <f t="shared" si="1"/>
        <v>10925117</v>
      </c>
      <c r="AB13" s="508">
        <f t="shared" si="1"/>
        <v>2905733</v>
      </c>
      <c r="AC13" s="509">
        <f t="shared" si="2"/>
        <v>0</v>
      </c>
      <c r="AD13" s="51">
        <f>SUM(AA13:AC13)</f>
        <v>13830850</v>
      </c>
      <c r="AE13" s="507">
        <f t="shared" si="3"/>
        <v>605260</v>
      </c>
      <c r="AF13" s="508">
        <f t="shared" si="3"/>
        <v>17978</v>
      </c>
      <c r="AG13" s="509">
        <f t="shared" si="4"/>
        <v>0</v>
      </c>
      <c r="AH13" s="51">
        <f t="shared" si="5"/>
        <v>623238</v>
      </c>
      <c r="AI13" s="507">
        <f t="shared" si="6"/>
        <v>11530377</v>
      </c>
      <c r="AJ13" s="508">
        <f t="shared" si="6"/>
        <v>2923711</v>
      </c>
      <c r="AK13" s="509">
        <f t="shared" si="7"/>
        <v>0</v>
      </c>
      <c r="AL13" s="51">
        <f t="shared" si="8"/>
        <v>14454088</v>
      </c>
    </row>
    <row r="14" spans="1:38" ht="31.5" x14ac:dyDescent="0.25">
      <c r="A14" s="514" t="s">
        <v>570</v>
      </c>
      <c r="B14" s="53"/>
      <c r="C14" s="515">
        <f>SUM(C9:C13)</f>
        <v>14425535</v>
      </c>
      <c r="D14" s="515">
        <f t="shared" ref="D14:AL14" si="15">SUM(D9:D13)</f>
        <v>5373175</v>
      </c>
      <c r="E14" s="515">
        <f t="shared" si="15"/>
        <v>0</v>
      </c>
      <c r="F14" s="515">
        <f t="shared" si="15"/>
        <v>19798710</v>
      </c>
      <c r="G14" s="515">
        <f t="shared" si="15"/>
        <v>641338</v>
      </c>
      <c r="H14" s="515">
        <f t="shared" si="15"/>
        <v>158896</v>
      </c>
      <c r="I14" s="515">
        <f t="shared" si="15"/>
        <v>0</v>
      </c>
      <c r="J14" s="515">
        <f t="shared" si="15"/>
        <v>800234</v>
      </c>
      <c r="K14" s="515">
        <f t="shared" si="15"/>
        <v>15066873</v>
      </c>
      <c r="L14" s="515">
        <f t="shared" si="15"/>
        <v>5532071</v>
      </c>
      <c r="M14" s="515">
        <f t="shared" si="15"/>
        <v>0</v>
      </c>
      <c r="N14" s="515">
        <f t="shared" si="15"/>
        <v>20598944</v>
      </c>
      <c r="O14" s="515">
        <f t="shared" si="15"/>
        <v>11139362</v>
      </c>
      <c r="P14" s="515">
        <f t="shared" si="15"/>
        <v>2854646</v>
      </c>
      <c r="Q14" s="515">
        <f t="shared" si="15"/>
        <v>953523</v>
      </c>
      <c r="R14" s="515">
        <f t="shared" si="15"/>
        <v>14947531</v>
      </c>
      <c r="S14" s="515">
        <f t="shared" si="15"/>
        <v>152173</v>
      </c>
      <c r="T14" s="515">
        <f t="shared" si="15"/>
        <v>144541</v>
      </c>
      <c r="U14" s="515">
        <f t="shared" si="15"/>
        <v>-5010</v>
      </c>
      <c r="V14" s="515">
        <f t="shared" si="15"/>
        <v>291704</v>
      </c>
      <c r="W14" s="515">
        <f t="shared" si="15"/>
        <v>11291535</v>
      </c>
      <c r="X14" s="515">
        <f t="shared" si="15"/>
        <v>2999187</v>
      </c>
      <c r="Y14" s="515">
        <f t="shared" si="15"/>
        <v>948513</v>
      </c>
      <c r="Z14" s="515">
        <f t="shared" si="15"/>
        <v>15239235</v>
      </c>
      <c r="AA14" s="515">
        <f t="shared" si="15"/>
        <v>25564897</v>
      </c>
      <c r="AB14" s="516">
        <f t="shared" si="15"/>
        <v>8227821</v>
      </c>
      <c r="AC14" s="515">
        <f t="shared" si="15"/>
        <v>953523</v>
      </c>
      <c r="AD14" s="515">
        <f t="shared" si="15"/>
        <v>34746241</v>
      </c>
      <c r="AE14" s="515">
        <f t="shared" si="15"/>
        <v>793511</v>
      </c>
      <c r="AF14" s="515">
        <f t="shared" si="15"/>
        <v>303437</v>
      </c>
      <c r="AG14" s="515">
        <f t="shared" si="15"/>
        <v>-5010</v>
      </c>
      <c r="AH14" s="515">
        <f t="shared" si="15"/>
        <v>1091938</v>
      </c>
      <c r="AI14" s="515">
        <f t="shared" si="15"/>
        <v>26358408</v>
      </c>
      <c r="AJ14" s="515">
        <f t="shared" si="15"/>
        <v>8531258</v>
      </c>
      <c r="AK14" s="515">
        <f t="shared" si="15"/>
        <v>948513</v>
      </c>
      <c r="AL14" s="515">
        <f t="shared" si="15"/>
        <v>35838179</v>
      </c>
    </row>
    <row r="15" spans="1:38" x14ac:dyDescent="0.25">
      <c r="A15" s="52" t="s">
        <v>238</v>
      </c>
      <c r="B15" s="52" t="s">
        <v>235</v>
      </c>
      <c r="C15" s="50">
        <v>5963778</v>
      </c>
      <c r="D15" s="506">
        <v>22808313</v>
      </c>
      <c r="E15" s="506"/>
      <c r="F15" s="506">
        <f>SUM(C15:E15)</f>
        <v>28772091</v>
      </c>
      <c r="G15" s="506">
        <v>434577</v>
      </c>
      <c r="H15" s="506">
        <v>-354010</v>
      </c>
      <c r="I15" s="506"/>
      <c r="J15" s="50">
        <f t="shared" si="10"/>
        <v>80567</v>
      </c>
      <c r="K15" s="506">
        <f t="shared" ref="K15:M17" si="16">SUM(C15+G15)</f>
        <v>6398355</v>
      </c>
      <c r="L15" s="506">
        <f t="shared" si="16"/>
        <v>22454303</v>
      </c>
      <c r="M15" s="506">
        <f t="shared" si="16"/>
        <v>0</v>
      </c>
      <c r="N15" s="50">
        <f t="shared" ref="N15:N17" si="17">SUM(K15:M15)</f>
        <v>28852658</v>
      </c>
      <c r="O15" s="50">
        <v>116439</v>
      </c>
      <c r="P15" s="506">
        <v>37627</v>
      </c>
      <c r="Q15" s="506">
        <v>35254</v>
      </c>
      <c r="R15" s="506">
        <f>SUM(O15:Q15)</f>
        <v>189320</v>
      </c>
      <c r="S15" s="506">
        <v>41604</v>
      </c>
      <c r="T15" s="506">
        <v>8257</v>
      </c>
      <c r="U15" s="506">
        <v>5010</v>
      </c>
      <c r="V15" s="506">
        <f t="shared" si="13"/>
        <v>54871</v>
      </c>
      <c r="W15" s="506">
        <f t="shared" ref="W15:Y17" si="18">SUM(O15+S15)</f>
        <v>158043</v>
      </c>
      <c r="X15" s="506">
        <f t="shared" si="18"/>
        <v>45884</v>
      </c>
      <c r="Y15" s="506">
        <f t="shared" si="18"/>
        <v>40264</v>
      </c>
      <c r="Z15" s="50">
        <f t="shared" ref="Z15:Z17" si="19">SUM(W15:Y15)</f>
        <v>244191</v>
      </c>
      <c r="AA15" s="507">
        <f t="shared" ref="AA15:AB17" si="20">+C15+O15</f>
        <v>6080217</v>
      </c>
      <c r="AB15" s="508">
        <f t="shared" si="20"/>
        <v>22845940</v>
      </c>
      <c r="AC15" s="509">
        <f t="shared" si="2"/>
        <v>35254</v>
      </c>
      <c r="AD15" s="51">
        <f>SUM(AA15:AC15)</f>
        <v>28961411</v>
      </c>
      <c r="AE15" s="507">
        <f t="shared" ref="AE15:AF17" si="21">+G15+S15</f>
        <v>476181</v>
      </c>
      <c r="AF15" s="508">
        <f t="shared" si="21"/>
        <v>-345753</v>
      </c>
      <c r="AG15" s="509">
        <f t="shared" ref="AG15:AG20" si="22">SUM(U15+I15)</f>
        <v>5010</v>
      </c>
      <c r="AH15" s="51">
        <f t="shared" ref="AH15:AH17" si="23">SUM(AE15:AG15)</f>
        <v>135438</v>
      </c>
      <c r="AI15" s="507">
        <f t="shared" ref="AI15:AJ17" si="24">+K15+W15</f>
        <v>6556398</v>
      </c>
      <c r="AJ15" s="508">
        <f t="shared" si="24"/>
        <v>22500187</v>
      </c>
      <c r="AK15" s="509">
        <f t="shared" ref="AK15:AK20" si="25">SUM(Y15+M15)</f>
        <v>40264</v>
      </c>
      <c r="AL15" s="51">
        <f t="shared" ref="AL15:AL17" si="26">SUM(AI15:AK15)</f>
        <v>29096849</v>
      </c>
    </row>
    <row r="16" spans="1:38" x14ac:dyDescent="0.25">
      <c r="A16" s="52" t="s">
        <v>239</v>
      </c>
      <c r="B16" s="52" t="s">
        <v>236</v>
      </c>
      <c r="C16" s="50">
        <v>1295553</v>
      </c>
      <c r="D16" s="506">
        <v>495997</v>
      </c>
      <c r="E16" s="506"/>
      <c r="F16" s="506">
        <f>SUM(C16:E16)</f>
        <v>1791550</v>
      </c>
      <c r="G16" s="506">
        <v>-278267</v>
      </c>
      <c r="H16" s="506">
        <v>-375317</v>
      </c>
      <c r="I16" s="506"/>
      <c r="J16" s="506">
        <f t="shared" si="10"/>
        <v>-653584</v>
      </c>
      <c r="K16" s="506">
        <f t="shared" si="16"/>
        <v>1017286</v>
      </c>
      <c r="L16" s="506">
        <f t="shared" si="16"/>
        <v>120680</v>
      </c>
      <c r="M16" s="506">
        <f t="shared" si="16"/>
        <v>0</v>
      </c>
      <c r="N16" s="50">
        <f t="shared" si="17"/>
        <v>1137966</v>
      </c>
      <c r="O16" s="50">
        <v>9853</v>
      </c>
      <c r="P16" s="506">
        <v>0</v>
      </c>
      <c r="Q16" s="506">
        <v>1833</v>
      </c>
      <c r="R16" s="506">
        <f>SUM(O16:Q16)</f>
        <v>11686</v>
      </c>
      <c r="S16" s="506">
        <v>7082</v>
      </c>
      <c r="T16" s="506"/>
      <c r="U16" s="506"/>
      <c r="V16" s="506">
        <f t="shared" si="13"/>
        <v>7082</v>
      </c>
      <c r="W16" s="506">
        <f t="shared" si="18"/>
        <v>16935</v>
      </c>
      <c r="X16" s="506">
        <f t="shared" si="18"/>
        <v>0</v>
      </c>
      <c r="Y16" s="506">
        <f t="shared" si="18"/>
        <v>1833</v>
      </c>
      <c r="Z16" s="50">
        <f t="shared" si="19"/>
        <v>18768</v>
      </c>
      <c r="AA16" s="507">
        <f t="shared" si="20"/>
        <v>1305406</v>
      </c>
      <c r="AB16" s="508">
        <f t="shared" si="20"/>
        <v>495997</v>
      </c>
      <c r="AC16" s="509">
        <f t="shared" si="2"/>
        <v>1833</v>
      </c>
      <c r="AD16" s="51">
        <f>SUM(AA16:AC16)</f>
        <v>1803236</v>
      </c>
      <c r="AE16" s="507">
        <f t="shared" si="21"/>
        <v>-271185</v>
      </c>
      <c r="AF16" s="508">
        <f t="shared" si="21"/>
        <v>-375317</v>
      </c>
      <c r="AG16" s="509">
        <f t="shared" si="22"/>
        <v>0</v>
      </c>
      <c r="AH16" s="51">
        <f t="shared" si="23"/>
        <v>-646502</v>
      </c>
      <c r="AI16" s="507">
        <f t="shared" si="24"/>
        <v>1034221</v>
      </c>
      <c r="AJ16" s="508">
        <f t="shared" si="24"/>
        <v>120680</v>
      </c>
      <c r="AK16" s="509">
        <f t="shared" si="25"/>
        <v>1833</v>
      </c>
      <c r="AL16" s="51">
        <f t="shared" si="26"/>
        <v>1156734</v>
      </c>
    </row>
    <row r="17" spans="1:38" x14ac:dyDescent="0.25">
      <c r="A17" s="52" t="s">
        <v>438</v>
      </c>
      <c r="B17" s="52" t="s">
        <v>237</v>
      </c>
      <c r="C17" s="50">
        <v>539363</v>
      </c>
      <c r="D17" s="506">
        <v>1104038</v>
      </c>
      <c r="E17" s="506"/>
      <c r="F17" s="506">
        <f>SUM(C17:E17)</f>
        <v>1643401</v>
      </c>
      <c r="G17" s="506">
        <v>95250</v>
      </c>
      <c r="H17" s="506">
        <v>27100</v>
      </c>
      <c r="I17" s="506"/>
      <c r="J17" s="506">
        <f t="shared" si="10"/>
        <v>122350</v>
      </c>
      <c r="K17" s="506">
        <f t="shared" si="16"/>
        <v>634613</v>
      </c>
      <c r="L17" s="506">
        <f t="shared" si="16"/>
        <v>1131138</v>
      </c>
      <c r="M17" s="506">
        <f t="shared" si="16"/>
        <v>0</v>
      </c>
      <c r="N17" s="50">
        <f t="shared" si="17"/>
        <v>1765751</v>
      </c>
      <c r="O17" s="50">
        <v>0</v>
      </c>
      <c r="P17" s="506">
        <v>0</v>
      </c>
      <c r="Q17" s="506">
        <v>0</v>
      </c>
      <c r="R17" s="506">
        <f>SUM(O17:Q17)</f>
        <v>0</v>
      </c>
      <c r="S17" s="506"/>
      <c r="T17" s="506"/>
      <c r="U17" s="506"/>
      <c r="V17" s="506">
        <f t="shared" si="13"/>
        <v>0</v>
      </c>
      <c r="W17" s="506">
        <f t="shared" si="18"/>
        <v>0</v>
      </c>
      <c r="X17" s="506">
        <f t="shared" si="18"/>
        <v>0</v>
      </c>
      <c r="Y17" s="506">
        <f t="shared" si="18"/>
        <v>0</v>
      </c>
      <c r="Z17" s="50">
        <f t="shared" si="19"/>
        <v>0</v>
      </c>
      <c r="AA17" s="507">
        <f t="shared" si="20"/>
        <v>539363</v>
      </c>
      <c r="AB17" s="508">
        <f t="shared" si="20"/>
        <v>1104038</v>
      </c>
      <c r="AC17" s="509">
        <f t="shared" si="2"/>
        <v>0</v>
      </c>
      <c r="AD17" s="51">
        <f>SUM(AA17:AC17)</f>
        <v>1643401</v>
      </c>
      <c r="AE17" s="507">
        <f t="shared" si="21"/>
        <v>95250</v>
      </c>
      <c r="AF17" s="508">
        <f t="shared" si="21"/>
        <v>27100</v>
      </c>
      <c r="AG17" s="509">
        <f t="shared" si="22"/>
        <v>0</v>
      </c>
      <c r="AH17" s="51">
        <f t="shared" si="23"/>
        <v>122350</v>
      </c>
      <c r="AI17" s="507">
        <f t="shared" si="24"/>
        <v>634613</v>
      </c>
      <c r="AJ17" s="508">
        <f t="shared" si="24"/>
        <v>1131138</v>
      </c>
      <c r="AK17" s="509">
        <f t="shared" si="25"/>
        <v>0</v>
      </c>
      <c r="AL17" s="51">
        <f t="shared" si="26"/>
        <v>1765751</v>
      </c>
    </row>
    <row r="18" spans="1:38" ht="31.5" x14ac:dyDescent="0.25">
      <c r="A18" s="514" t="s">
        <v>571</v>
      </c>
      <c r="B18" s="517"/>
      <c r="C18" s="518">
        <f t="shared" ref="C18:AB18" si="27">SUM(C15:C17)</f>
        <v>7798694</v>
      </c>
      <c r="D18" s="518">
        <f t="shared" si="27"/>
        <v>24408348</v>
      </c>
      <c r="E18" s="518">
        <f t="shared" si="27"/>
        <v>0</v>
      </c>
      <c r="F18" s="518">
        <f t="shared" si="27"/>
        <v>32207042</v>
      </c>
      <c r="G18" s="518">
        <f t="shared" si="27"/>
        <v>251560</v>
      </c>
      <c r="H18" s="518">
        <f t="shared" si="27"/>
        <v>-702227</v>
      </c>
      <c r="I18" s="518">
        <f t="shared" si="27"/>
        <v>0</v>
      </c>
      <c r="J18" s="518">
        <f t="shared" si="27"/>
        <v>-450667</v>
      </c>
      <c r="K18" s="518">
        <f t="shared" si="27"/>
        <v>8050254</v>
      </c>
      <c r="L18" s="518">
        <f t="shared" si="27"/>
        <v>23706121</v>
      </c>
      <c r="M18" s="518">
        <f t="shared" si="27"/>
        <v>0</v>
      </c>
      <c r="N18" s="515">
        <f t="shared" si="27"/>
        <v>31756375</v>
      </c>
      <c r="O18" s="515">
        <f t="shared" si="27"/>
        <v>126292</v>
      </c>
      <c r="P18" s="518">
        <f t="shared" si="27"/>
        <v>37627</v>
      </c>
      <c r="Q18" s="518">
        <f t="shared" si="27"/>
        <v>37087</v>
      </c>
      <c r="R18" s="518">
        <f t="shared" si="27"/>
        <v>201006</v>
      </c>
      <c r="S18" s="518">
        <f t="shared" si="27"/>
        <v>48686</v>
      </c>
      <c r="T18" s="518">
        <f t="shared" si="27"/>
        <v>8257</v>
      </c>
      <c r="U18" s="518">
        <f t="shared" si="27"/>
        <v>5010</v>
      </c>
      <c r="V18" s="518">
        <f t="shared" si="27"/>
        <v>61953</v>
      </c>
      <c r="W18" s="518">
        <f t="shared" si="27"/>
        <v>174978</v>
      </c>
      <c r="X18" s="518">
        <f t="shared" si="27"/>
        <v>45884</v>
      </c>
      <c r="Y18" s="518">
        <f t="shared" si="27"/>
        <v>42097</v>
      </c>
      <c r="Z18" s="515">
        <f t="shared" si="27"/>
        <v>262959</v>
      </c>
      <c r="AA18" s="519">
        <f t="shared" si="27"/>
        <v>7924986</v>
      </c>
      <c r="AB18" s="516">
        <f t="shared" si="27"/>
        <v>24445975</v>
      </c>
      <c r="AC18" s="509">
        <f t="shared" si="2"/>
        <v>37087</v>
      </c>
      <c r="AD18" s="520">
        <f>SUM(AD15:AD17)</f>
        <v>32408048</v>
      </c>
      <c r="AE18" s="518">
        <f t="shared" ref="AE18:AF18" si="28">SUM(AE15:AE17)</f>
        <v>300246</v>
      </c>
      <c r="AF18" s="516">
        <f t="shared" si="28"/>
        <v>-693970</v>
      </c>
      <c r="AG18" s="509">
        <f t="shared" si="22"/>
        <v>5010</v>
      </c>
      <c r="AH18" s="520">
        <f t="shared" ref="AH18:AJ18" si="29">SUM(AH15:AH17)</f>
        <v>-388714</v>
      </c>
      <c r="AI18" s="518">
        <f t="shared" si="29"/>
        <v>8225232</v>
      </c>
      <c r="AJ18" s="516">
        <f t="shared" si="29"/>
        <v>23752005</v>
      </c>
      <c r="AK18" s="509">
        <f t="shared" si="25"/>
        <v>42097</v>
      </c>
      <c r="AL18" s="520">
        <f t="shared" ref="AL18" si="30">SUM(AL15:AL17)</f>
        <v>32019334</v>
      </c>
    </row>
    <row r="19" spans="1:38" x14ac:dyDescent="0.25">
      <c r="A19" s="52" t="s">
        <v>313</v>
      </c>
      <c r="B19" s="52"/>
      <c r="C19" s="50">
        <v>42514</v>
      </c>
      <c r="D19" s="506">
        <v>197686</v>
      </c>
      <c r="E19" s="506"/>
      <c r="F19" s="506">
        <f>SUM(C19:E19)</f>
        <v>240200</v>
      </c>
      <c r="G19" s="506">
        <v>-28491</v>
      </c>
      <c r="H19" s="506">
        <v>43709</v>
      </c>
      <c r="I19" s="506"/>
      <c r="J19" s="506">
        <f t="shared" si="10"/>
        <v>15218</v>
      </c>
      <c r="K19" s="506">
        <f t="shared" ref="K19:M20" si="31">SUM(C19+G19)</f>
        <v>14023</v>
      </c>
      <c r="L19" s="506">
        <f t="shared" si="31"/>
        <v>241395</v>
      </c>
      <c r="M19" s="506">
        <f t="shared" si="31"/>
        <v>0</v>
      </c>
      <c r="N19" s="50">
        <f t="shared" ref="N19:N20" si="32">SUM(K19:M19)</f>
        <v>255418</v>
      </c>
      <c r="O19" s="50">
        <v>0</v>
      </c>
      <c r="P19" s="506">
        <v>0</v>
      </c>
      <c r="Q19" s="506">
        <v>0</v>
      </c>
      <c r="R19" s="506">
        <f>SUM(O19:Q19)</f>
        <v>0</v>
      </c>
      <c r="S19" s="506">
        <v>0</v>
      </c>
      <c r="T19" s="506">
        <v>0</v>
      </c>
      <c r="U19" s="506">
        <v>0</v>
      </c>
      <c r="V19" s="506">
        <f t="shared" si="13"/>
        <v>0</v>
      </c>
      <c r="W19" s="506">
        <f t="shared" ref="W19:Y20" si="33">SUM(O19+S19)</f>
        <v>0</v>
      </c>
      <c r="X19" s="506">
        <f t="shared" si="33"/>
        <v>0</v>
      </c>
      <c r="Y19" s="506">
        <f t="shared" si="33"/>
        <v>0</v>
      </c>
      <c r="Z19" s="50">
        <f t="shared" ref="Z19:Z20" si="34">SUM(W19:Y19)</f>
        <v>0</v>
      </c>
      <c r="AA19" s="507">
        <f>+C19+O19</f>
        <v>42514</v>
      </c>
      <c r="AB19" s="508">
        <f>+D19+P19</f>
        <v>197686</v>
      </c>
      <c r="AC19" s="509">
        <f t="shared" si="2"/>
        <v>0</v>
      </c>
      <c r="AD19" s="51">
        <f>SUM(AA19:AC19)</f>
        <v>240200</v>
      </c>
      <c r="AE19" s="507">
        <f>+G19+S19</f>
        <v>-28491</v>
      </c>
      <c r="AF19" s="508">
        <f t="shared" ref="AE19:AF20" si="35">+H19+T19</f>
        <v>43709</v>
      </c>
      <c r="AG19" s="509">
        <f t="shared" si="22"/>
        <v>0</v>
      </c>
      <c r="AH19" s="51">
        <f t="shared" ref="AH19:AH20" si="36">SUM(AE19:AG19)</f>
        <v>15218</v>
      </c>
      <c r="AI19" s="507">
        <f t="shared" ref="AI19:AJ20" si="37">+K19+W19</f>
        <v>14023</v>
      </c>
      <c r="AJ19" s="508">
        <f t="shared" si="37"/>
        <v>241395</v>
      </c>
      <c r="AK19" s="509">
        <f t="shared" si="25"/>
        <v>0</v>
      </c>
      <c r="AL19" s="51">
        <f t="shared" ref="AL19:AL20" si="38">SUM(AI19:AK19)</f>
        <v>255418</v>
      </c>
    </row>
    <row r="20" spans="1:38" x14ac:dyDescent="0.25">
      <c r="A20" s="52" t="s">
        <v>314</v>
      </c>
      <c r="B20" s="52"/>
      <c r="C20" s="50">
        <v>1946719</v>
      </c>
      <c r="D20" s="506">
        <v>196985</v>
      </c>
      <c r="E20" s="506"/>
      <c r="F20" s="506">
        <f>SUM(C20:E20)</f>
        <v>2143704</v>
      </c>
      <c r="G20" s="506">
        <v>-429111</v>
      </c>
      <c r="H20" s="506">
        <v>243399</v>
      </c>
      <c r="I20" s="506"/>
      <c r="J20" s="506">
        <f t="shared" si="10"/>
        <v>-185712</v>
      </c>
      <c r="K20" s="506">
        <f t="shared" si="31"/>
        <v>1517608</v>
      </c>
      <c r="L20" s="506">
        <f t="shared" si="31"/>
        <v>440384</v>
      </c>
      <c r="M20" s="506">
        <f t="shared" si="31"/>
        <v>0</v>
      </c>
      <c r="N20" s="50">
        <f t="shared" si="32"/>
        <v>1957992</v>
      </c>
      <c r="O20" s="50">
        <v>0</v>
      </c>
      <c r="P20" s="506">
        <v>0</v>
      </c>
      <c r="Q20" s="506">
        <v>0</v>
      </c>
      <c r="R20" s="506">
        <f>SUM(O20:Q20)</f>
        <v>0</v>
      </c>
      <c r="S20" s="506">
        <v>0</v>
      </c>
      <c r="T20" s="506">
        <v>0</v>
      </c>
      <c r="U20" s="506">
        <v>0</v>
      </c>
      <c r="V20" s="506">
        <f t="shared" si="13"/>
        <v>0</v>
      </c>
      <c r="W20" s="506">
        <f t="shared" si="33"/>
        <v>0</v>
      </c>
      <c r="X20" s="506">
        <f t="shared" si="33"/>
        <v>0</v>
      </c>
      <c r="Y20" s="506">
        <f t="shared" si="33"/>
        <v>0</v>
      </c>
      <c r="Z20" s="50">
        <f t="shared" si="34"/>
        <v>0</v>
      </c>
      <c r="AA20" s="507">
        <f>+C20+O20</f>
        <v>1946719</v>
      </c>
      <c r="AB20" s="508">
        <f>+D20+P20</f>
        <v>196985</v>
      </c>
      <c r="AC20" s="509">
        <f t="shared" si="2"/>
        <v>0</v>
      </c>
      <c r="AD20" s="51">
        <f>SUM(AA20:AC20)</f>
        <v>2143704</v>
      </c>
      <c r="AE20" s="507">
        <f t="shared" si="35"/>
        <v>-429111</v>
      </c>
      <c r="AF20" s="508">
        <f t="shared" si="35"/>
        <v>243399</v>
      </c>
      <c r="AG20" s="509">
        <f t="shared" si="22"/>
        <v>0</v>
      </c>
      <c r="AH20" s="51">
        <f t="shared" si="36"/>
        <v>-185712</v>
      </c>
      <c r="AI20" s="507">
        <f t="shared" si="37"/>
        <v>1517608</v>
      </c>
      <c r="AJ20" s="508">
        <f t="shared" si="37"/>
        <v>440384</v>
      </c>
      <c r="AK20" s="509">
        <f t="shared" si="25"/>
        <v>0</v>
      </c>
      <c r="AL20" s="51">
        <f t="shared" si="38"/>
        <v>1957992</v>
      </c>
    </row>
    <row r="21" spans="1:38" s="524" customFormat="1" ht="16.5" thickBot="1" x14ac:dyDescent="0.3">
      <c r="A21" s="521" t="s">
        <v>315</v>
      </c>
      <c r="B21" s="522" t="s">
        <v>510</v>
      </c>
      <c r="C21" s="523">
        <f>SUM(C19:C20)</f>
        <v>1989233</v>
      </c>
      <c r="D21" s="523">
        <f t="shared" ref="D21:AL21" si="39">SUM(D19:D20)</f>
        <v>394671</v>
      </c>
      <c r="E21" s="523">
        <f t="shared" si="39"/>
        <v>0</v>
      </c>
      <c r="F21" s="523">
        <f t="shared" si="39"/>
        <v>2383904</v>
      </c>
      <c r="G21" s="523">
        <f t="shared" si="39"/>
        <v>-457602</v>
      </c>
      <c r="H21" s="523">
        <f t="shared" si="39"/>
        <v>287108</v>
      </c>
      <c r="I21" s="523">
        <f t="shared" si="39"/>
        <v>0</v>
      </c>
      <c r="J21" s="523">
        <f t="shared" si="39"/>
        <v>-170494</v>
      </c>
      <c r="K21" s="523">
        <f t="shared" si="39"/>
        <v>1531631</v>
      </c>
      <c r="L21" s="523">
        <f t="shared" si="39"/>
        <v>681779</v>
      </c>
      <c r="M21" s="523">
        <f t="shared" si="39"/>
        <v>0</v>
      </c>
      <c r="N21" s="523">
        <f t="shared" si="39"/>
        <v>2213410</v>
      </c>
      <c r="O21" s="523">
        <f t="shared" si="39"/>
        <v>0</v>
      </c>
      <c r="P21" s="523">
        <f t="shared" si="39"/>
        <v>0</v>
      </c>
      <c r="Q21" s="523">
        <f t="shared" si="39"/>
        <v>0</v>
      </c>
      <c r="R21" s="523">
        <f t="shared" si="39"/>
        <v>0</v>
      </c>
      <c r="S21" s="523">
        <f t="shared" si="39"/>
        <v>0</v>
      </c>
      <c r="T21" s="523">
        <f t="shared" si="39"/>
        <v>0</v>
      </c>
      <c r="U21" s="523">
        <f t="shared" si="39"/>
        <v>0</v>
      </c>
      <c r="V21" s="523">
        <f t="shared" si="39"/>
        <v>0</v>
      </c>
      <c r="W21" s="523">
        <f t="shared" si="39"/>
        <v>0</v>
      </c>
      <c r="X21" s="523">
        <f t="shared" si="39"/>
        <v>0</v>
      </c>
      <c r="Y21" s="523">
        <f t="shared" si="39"/>
        <v>0</v>
      </c>
      <c r="Z21" s="523">
        <f t="shared" si="39"/>
        <v>0</v>
      </c>
      <c r="AA21" s="523">
        <f t="shared" si="39"/>
        <v>1989233</v>
      </c>
      <c r="AB21" s="523">
        <f t="shared" si="39"/>
        <v>394671</v>
      </c>
      <c r="AC21" s="523">
        <f t="shared" si="39"/>
        <v>0</v>
      </c>
      <c r="AD21" s="523">
        <f t="shared" si="39"/>
        <v>2383904</v>
      </c>
      <c r="AE21" s="523">
        <f t="shared" si="39"/>
        <v>-457602</v>
      </c>
      <c r="AF21" s="523">
        <f t="shared" si="39"/>
        <v>287108</v>
      </c>
      <c r="AG21" s="523">
        <f t="shared" si="39"/>
        <v>0</v>
      </c>
      <c r="AH21" s="523">
        <f t="shared" si="39"/>
        <v>-170494</v>
      </c>
      <c r="AI21" s="523">
        <f t="shared" si="39"/>
        <v>1531631</v>
      </c>
      <c r="AJ21" s="523">
        <f t="shared" si="39"/>
        <v>681779</v>
      </c>
      <c r="AK21" s="523">
        <f t="shared" si="39"/>
        <v>0</v>
      </c>
      <c r="AL21" s="523">
        <f t="shared" si="39"/>
        <v>2213410</v>
      </c>
    </row>
    <row r="22" spans="1:38" ht="17.25" thickTop="1" thickBot="1" x14ac:dyDescent="0.3">
      <c r="A22" s="525" t="s">
        <v>316</v>
      </c>
      <c r="B22" s="526" t="s">
        <v>443</v>
      </c>
      <c r="C22" s="527">
        <f>+C21+C18+C14</f>
        <v>24213462</v>
      </c>
      <c r="D22" s="527">
        <f t="shared" ref="D22:AL22" si="40">+D21+D18+D14</f>
        <v>30176194</v>
      </c>
      <c r="E22" s="527">
        <f t="shared" si="40"/>
        <v>0</v>
      </c>
      <c r="F22" s="527">
        <f t="shared" si="40"/>
        <v>54389656</v>
      </c>
      <c r="G22" s="527">
        <f t="shared" si="40"/>
        <v>435296</v>
      </c>
      <c r="H22" s="527">
        <f t="shared" si="40"/>
        <v>-256223</v>
      </c>
      <c r="I22" s="527">
        <f t="shared" si="40"/>
        <v>0</v>
      </c>
      <c r="J22" s="527">
        <f t="shared" si="40"/>
        <v>179073</v>
      </c>
      <c r="K22" s="527">
        <f t="shared" si="40"/>
        <v>24648758</v>
      </c>
      <c r="L22" s="527">
        <f t="shared" si="40"/>
        <v>29919971</v>
      </c>
      <c r="M22" s="527">
        <f t="shared" si="40"/>
        <v>0</v>
      </c>
      <c r="N22" s="527">
        <f t="shared" si="40"/>
        <v>54568729</v>
      </c>
      <c r="O22" s="527">
        <f t="shared" si="40"/>
        <v>11265654</v>
      </c>
      <c r="P22" s="527">
        <f t="shared" si="40"/>
        <v>2892273</v>
      </c>
      <c r="Q22" s="527">
        <f t="shared" si="40"/>
        <v>990610</v>
      </c>
      <c r="R22" s="527">
        <f t="shared" si="40"/>
        <v>15148537</v>
      </c>
      <c r="S22" s="527">
        <f t="shared" si="40"/>
        <v>200859</v>
      </c>
      <c r="T22" s="527">
        <f t="shared" si="40"/>
        <v>152798</v>
      </c>
      <c r="U22" s="527">
        <f t="shared" si="40"/>
        <v>0</v>
      </c>
      <c r="V22" s="527">
        <f t="shared" si="40"/>
        <v>353657</v>
      </c>
      <c r="W22" s="527">
        <f t="shared" si="40"/>
        <v>11466513</v>
      </c>
      <c r="X22" s="527">
        <f t="shared" si="40"/>
        <v>3045071</v>
      </c>
      <c r="Y22" s="527">
        <f t="shared" si="40"/>
        <v>990610</v>
      </c>
      <c r="Z22" s="527">
        <f t="shared" si="40"/>
        <v>15502194</v>
      </c>
      <c r="AA22" s="527">
        <f t="shared" si="40"/>
        <v>35479116</v>
      </c>
      <c r="AB22" s="527">
        <f t="shared" si="40"/>
        <v>33068467</v>
      </c>
      <c r="AC22" s="527">
        <f t="shared" si="40"/>
        <v>990610</v>
      </c>
      <c r="AD22" s="527">
        <f t="shared" si="40"/>
        <v>69538193</v>
      </c>
      <c r="AE22" s="527">
        <f t="shared" si="40"/>
        <v>636155</v>
      </c>
      <c r="AF22" s="527">
        <f t="shared" si="40"/>
        <v>-103425</v>
      </c>
      <c r="AG22" s="527">
        <f t="shared" si="40"/>
        <v>0</v>
      </c>
      <c r="AH22" s="527">
        <f t="shared" si="40"/>
        <v>532730</v>
      </c>
      <c r="AI22" s="527">
        <f t="shared" si="40"/>
        <v>36115271</v>
      </c>
      <c r="AJ22" s="527">
        <f t="shared" si="40"/>
        <v>32965042</v>
      </c>
      <c r="AK22" s="527">
        <f t="shared" si="40"/>
        <v>990610</v>
      </c>
      <c r="AL22" s="527">
        <f t="shared" si="40"/>
        <v>70070923</v>
      </c>
    </row>
    <row r="23" spans="1:38" ht="32.25" thickTop="1" x14ac:dyDescent="0.25">
      <c r="A23" s="528" t="s">
        <v>583</v>
      </c>
      <c r="B23" s="529" t="s">
        <v>579</v>
      </c>
      <c r="C23" s="530">
        <v>0</v>
      </c>
      <c r="D23" s="530">
        <v>2710038</v>
      </c>
      <c r="E23" s="530">
        <v>0</v>
      </c>
      <c r="F23" s="530">
        <f>SUM(C23:E23)</f>
        <v>2710038</v>
      </c>
      <c r="G23" s="530"/>
      <c r="H23" s="530"/>
      <c r="I23" s="530"/>
      <c r="J23" s="530">
        <f>SUM(G23:I23)</f>
        <v>0</v>
      </c>
      <c r="K23" s="530">
        <f t="shared" ref="K23:K24" si="41">SUM(C23+G23)</f>
        <v>0</v>
      </c>
      <c r="L23" s="530">
        <f t="shared" ref="L23:M25" si="42">SUM(D23+H23)</f>
        <v>2710038</v>
      </c>
      <c r="M23" s="530">
        <f t="shared" si="42"/>
        <v>0</v>
      </c>
      <c r="N23" s="530">
        <f t="shared" ref="N23:N25" si="43">SUM(K23:M23)</f>
        <v>2710038</v>
      </c>
      <c r="O23" s="530">
        <v>0</v>
      </c>
      <c r="P23" s="530">
        <v>0</v>
      </c>
      <c r="Q23" s="530">
        <v>0</v>
      </c>
      <c r="R23" s="530">
        <f>SUM(O23:Q23)</f>
        <v>0</v>
      </c>
      <c r="S23" s="530"/>
      <c r="T23" s="530"/>
      <c r="U23" s="530"/>
      <c r="V23" s="530">
        <f>SUM(S23:U23)</f>
        <v>0</v>
      </c>
      <c r="W23" s="530">
        <f t="shared" ref="W23:Y25" si="44">SUM(O23+S23)</f>
        <v>0</v>
      </c>
      <c r="X23" s="530">
        <f t="shared" si="44"/>
        <v>0</v>
      </c>
      <c r="Y23" s="530">
        <f t="shared" si="44"/>
        <v>0</v>
      </c>
      <c r="Z23" s="530">
        <f t="shared" ref="Z23:Z25" si="45">SUM(W23:Y23)</f>
        <v>0</v>
      </c>
      <c r="AA23" s="530">
        <f t="shared" ref="AA23:AL25" si="46">SUM(O23+C23)</f>
        <v>0</v>
      </c>
      <c r="AB23" s="530">
        <f t="shared" si="46"/>
        <v>2710038</v>
      </c>
      <c r="AC23" s="530">
        <f t="shared" si="46"/>
        <v>0</v>
      </c>
      <c r="AD23" s="530">
        <f t="shared" si="46"/>
        <v>2710038</v>
      </c>
      <c r="AE23" s="530">
        <f t="shared" si="46"/>
        <v>0</v>
      </c>
      <c r="AF23" s="530">
        <f>SUM(T23+H23)</f>
        <v>0</v>
      </c>
      <c r="AG23" s="530">
        <f t="shared" si="46"/>
        <v>0</v>
      </c>
      <c r="AH23" s="530">
        <f t="shared" si="46"/>
        <v>0</v>
      </c>
      <c r="AI23" s="530">
        <f t="shared" si="46"/>
        <v>0</v>
      </c>
      <c r="AJ23" s="530">
        <f t="shared" si="46"/>
        <v>2710038</v>
      </c>
      <c r="AK23" s="530">
        <f t="shared" si="46"/>
        <v>0</v>
      </c>
      <c r="AL23" s="530">
        <f t="shared" si="46"/>
        <v>2710038</v>
      </c>
    </row>
    <row r="24" spans="1:38" ht="31.5" x14ac:dyDescent="0.25">
      <c r="A24" s="531" t="s">
        <v>1013</v>
      </c>
      <c r="B24" s="532" t="s">
        <v>581</v>
      </c>
      <c r="C24" s="533">
        <v>130452</v>
      </c>
      <c r="D24" s="533">
        <v>0</v>
      </c>
      <c r="E24" s="533">
        <v>0</v>
      </c>
      <c r="F24" s="534">
        <f>SUM(C24:E24)</f>
        <v>130452</v>
      </c>
      <c r="G24" s="534"/>
      <c r="H24" s="534"/>
      <c r="I24" s="534"/>
      <c r="J24" s="534">
        <f>SUM(G24:I24)</f>
        <v>0</v>
      </c>
      <c r="K24" s="534">
        <f t="shared" si="41"/>
        <v>130452</v>
      </c>
      <c r="L24" s="534">
        <f t="shared" si="42"/>
        <v>0</v>
      </c>
      <c r="M24" s="534">
        <f t="shared" si="42"/>
        <v>0</v>
      </c>
      <c r="N24" s="534">
        <f t="shared" si="43"/>
        <v>130452</v>
      </c>
      <c r="O24" s="533">
        <v>0</v>
      </c>
      <c r="P24" s="533">
        <v>0</v>
      </c>
      <c r="Q24" s="533">
        <v>0</v>
      </c>
      <c r="R24" s="534">
        <f>SUM(O24:Q24)</f>
        <v>0</v>
      </c>
      <c r="S24" s="534"/>
      <c r="T24" s="534"/>
      <c r="U24" s="534"/>
      <c r="V24" s="534">
        <f>SUM(S24:U24)</f>
        <v>0</v>
      </c>
      <c r="W24" s="534">
        <f t="shared" si="44"/>
        <v>0</v>
      </c>
      <c r="X24" s="534">
        <f t="shared" si="44"/>
        <v>0</v>
      </c>
      <c r="Y24" s="534">
        <f t="shared" si="44"/>
        <v>0</v>
      </c>
      <c r="Z24" s="534">
        <f t="shared" si="45"/>
        <v>0</v>
      </c>
      <c r="AA24" s="534">
        <f t="shared" si="46"/>
        <v>130452</v>
      </c>
      <c r="AB24" s="534">
        <f t="shared" si="46"/>
        <v>0</v>
      </c>
      <c r="AC24" s="534">
        <f t="shared" si="46"/>
        <v>0</v>
      </c>
      <c r="AD24" s="534">
        <f t="shared" si="46"/>
        <v>130452</v>
      </c>
      <c r="AE24" s="534">
        <f t="shared" si="46"/>
        <v>0</v>
      </c>
      <c r="AF24" s="534">
        <f t="shared" si="46"/>
        <v>0</v>
      </c>
      <c r="AG24" s="534">
        <f t="shared" si="46"/>
        <v>0</v>
      </c>
      <c r="AH24" s="534">
        <f t="shared" si="46"/>
        <v>0</v>
      </c>
      <c r="AI24" s="534">
        <f t="shared" si="46"/>
        <v>130452</v>
      </c>
      <c r="AJ24" s="534">
        <f t="shared" si="46"/>
        <v>0</v>
      </c>
      <c r="AK24" s="534">
        <f t="shared" si="46"/>
        <v>0</v>
      </c>
      <c r="AL24" s="534">
        <f t="shared" si="46"/>
        <v>130452</v>
      </c>
    </row>
    <row r="25" spans="1:38" ht="16.5" thickBot="1" x14ac:dyDescent="0.3">
      <c r="A25" s="535" t="s">
        <v>805</v>
      </c>
      <c r="B25" s="536" t="s">
        <v>495</v>
      </c>
      <c r="C25" s="537">
        <v>8670994</v>
      </c>
      <c r="D25" s="537">
        <v>2129155</v>
      </c>
      <c r="E25" s="537">
        <v>914279</v>
      </c>
      <c r="F25" s="534">
        <f>SUM(C25:E25)</f>
        <v>11714428</v>
      </c>
      <c r="G25" s="537">
        <v>133760</v>
      </c>
      <c r="H25" s="537">
        <v>19101</v>
      </c>
      <c r="I25" s="537">
        <v>0</v>
      </c>
      <c r="J25" s="534">
        <f>SUM(G25:I25)</f>
        <v>152861</v>
      </c>
      <c r="K25" s="534">
        <f t="shared" ref="K25" si="47">SUM(C25+G25)</f>
        <v>8804754</v>
      </c>
      <c r="L25" s="534">
        <f t="shared" si="42"/>
        <v>2148256</v>
      </c>
      <c r="M25" s="534">
        <f t="shared" si="42"/>
        <v>914279</v>
      </c>
      <c r="N25" s="534">
        <f t="shared" si="43"/>
        <v>11867289</v>
      </c>
      <c r="O25" s="537">
        <v>0</v>
      </c>
      <c r="P25" s="537">
        <v>0</v>
      </c>
      <c r="Q25" s="537">
        <v>0</v>
      </c>
      <c r="R25" s="534">
        <f>SUM(O25:Q25)</f>
        <v>0</v>
      </c>
      <c r="S25" s="537"/>
      <c r="T25" s="537"/>
      <c r="U25" s="537"/>
      <c r="V25" s="534">
        <f>SUM(S25:U25)</f>
        <v>0</v>
      </c>
      <c r="W25" s="534">
        <f t="shared" si="44"/>
        <v>0</v>
      </c>
      <c r="X25" s="534">
        <f t="shared" si="44"/>
        <v>0</v>
      </c>
      <c r="Y25" s="534">
        <f t="shared" si="44"/>
        <v>0</v>
      </c>
      <c r="Z25" s="534">
        <f t="shared" si="45"/>
        <v>0</v>
      </c>
      <c r="AA25" s="534">
        <f t="shared" si="46"/>
        <v>8670994</v>
      </c>
      <c r="AB25" s="534">
        <f t="shared" si="46"/>
        <v>2129155</v>
      </c>
      <c r="AC25" s="534">
        <f t="shared" si="46"/>
        <v>914279</v>
      </c>
      <c r="AD25" s="534">
        <f t="shared" si="46"/>
        <v>11714428</v>
      </c>
      <c r="AE25" s="534">
        <f t="shared" si="46"/>
        <v>133760</v>
      </c>
      <c r="AF25" s="534">
        <f t="shared" si="46"/>
        <v>19101</v>
      </c>
      <c r="AG25" s="534">
        <f t="shared" si="46"/>
        <v>0</v>
      </c>
      <c r="AH25" s="534">
        <f t="shared" si="46"/>
        <v>152861</v>
      </c>
      <c r="AI25" s="534">
        <f t="shared" si="46"/>
        <v>8804754</v>
      </c>
      <c r="AJ25" s="534">
        <f t="shared" si="46"/>
        <v>2148256</v>
      </c>
      <c r="AK25" s="534">
        <f t="shared" si="46"/>
        <v>914279</v>
      </c>
      <c r="AL25" s="534">
        <f t="shared" si="46"/>
        <v>11867289</v>
      </c>
    </row>
    <row r="26" spans="1:38" ht="17.25" thickTop="1" thickBot="1" x14ac:dyDescent="0.3">
      <c r="A26" s="538" t="s">
        <v>806</v>
      </c>
      <c r="B26" s="539" t="s">
        <v>317</v>
      </c>
      <c r="C26" s="540">
        <f>SUM(C23:C25)</f>
        <v>8801446</v>
      </c>
      <c r="D26" s="540">
        <f t="shared" ref="D26:AL26" si="48">SUM(D23:D25)</f>
        <v>4839193</v>
      </c>
      <c r="E26" s="540">
        <f t="shared" si="48"/>
        <v>914279</v>
      </c>
      <c r="F26" s="540">
        <f t="shared" si="48"/>
        <v>14554918</v>
      </c>
      <c r="G26" s="540">
        <f t="shared" si="48"/>
        <v>133760</v>
      </c>
      <c r="H26" s="540">
        <f t="shared" si="48"/>
        <v>19101</v>
      </c>
      <c r="I26" s="540">
        <f t="shared" si="48"/>
        <v>0</v>
      </c>
      <c r="J26" s="540">
        <f t="shared" si="48"/>
        <v>152861</v>
      </c>
      <c r="K26" s="540">
        <f t="shared" si="48"/>
        <v>8935206</v>
      </c>
      <c r="L26" s="540">
        <f t="shared" si="48"/>
        <v>4858294</v>
      </c>
      <c r="M26" s="540">
        <f t="shared" si="48"/>
        <v>914279</v>
      </c>
      <c r="N26" s="540">
        <f t="shared" si="48"/>
        <v>14707779</v>
      </c>
      <c r="O26" s="540">
        <f t="shared" si="48"/>
        <v>0</v>
      </c>
      <c r="P26" s="540">
        <f t="shared" si="48"/>
        <v>0</v>
      </c>
      <c r="Q26" s="540">
        <f t="shared" si="48"/>
        <v>0</v>
      </c>
      <c r="R26" s="540">
        <f t="shared" si="48"/>
        <v>0</v>
      </c>
      <c r="S26" s="540">
        <f t="shared" si="48"/>
        <v>0</v>
      </c>
      <c r="T26" s="540">
        <f t="shared" si="48"/>
        <v>0</v>
      </c>
      <c r="U26" s="540">
        <f t="shared" si="48"/>
        <v>0</v>
      </c>
      <c r="V26" s="540">
        <f t="shared" si="48"/>
        <v>0</v>
      </c>
      <c r="W26" s="540">
        <f t="shared" si="48"/>
        <v>0</v>
      </c>
      <c r="X26" s="540">
        <f t="shared" si="48"/>
        <v>0</v>
      </c>
      <c r="Y26" s="540">
        <f t="shared" si="48"/>
        <v>0</v>
      </c>
      <c r="Z26" s="540">
        <f t="shared" si="48"/>
        <v>0</v>
      </c>
      <c r="AA26" s="540">
        <f t="shared" si="48"/>
        <v>8801446</v>
      </c>
      <c r="AB26" s="540">
        <f t="shared" si="48"/>
        <v>4839193</v>
      </c>
      <c r="AC26" s="540">
        <f t="shared" si="48"/>
        <v>914279</v>
      </c>
      <c r="AD26" s="540">
        <f t="shared" si="48"/>
        <v>14554918</v>
      </c>
      <c r="AE26" s="540">
        <f t="shared" si="48"/>
        <v>133760</v>
      </c>
      <c r="AF26" s="540">
        <f t="shared" si="48"/>
        <v>19101</v>
      </c>
      <c r="AG26" s="540">
        <f t="shared" si="48"/>
        <v>0</v>
      </c>
      <c r="AH26" s="540">
        <f t="shared" si="48"/>
        <v>152861</v>
      </c>
      <c r="AI26" s="540">
        <f t="shared" si="48"/>
        <v>8935206</v>
      </c>
      <c r="AJ26" s="540">
        <f t="shared" si="48"/>
        <v>4858294</v>
      </c>
      <c r="AK26" s="540">
        <f t="shared" si="48"/>
        <v>914279</v>
      </c>
      <c r="AL26" s="540">
        <f t="shared" si="48"/>
        <v>14707779</v>
      </c>
    </row>
    <row r="27" spans="1:38" ht="17.25" thickTop="1" thickBot="1" x14ac:dyDescent="0.3">
      <c r="A27" s="525" t="s">
        <v>569</v>
      </c>
      <c r="B27" s="541"/>
      <c r="C27" s="527"/>
      <c r="D27" s="527"/>
      <c r="E27" s="527"/>
      <c r="F27" s="527"/>
      <c r="G27" s="527"/>
      <c r="H27" s="527"/>
      <c r="I27" s="527"/>
      <c r="J27" s="527"/>
      <c r="K27" s="527"/>
      <c r="L27" s="527"/>
      <c r="M27" s="527"/>
      <c r="N27" s="527"/>
      <c r="O27" s="527"/>
      <c r="P27" s="527"/>
      <c r="Q27" s="527"/>
      <c r="R27" s="542">
        <v>1968.93</v>
      </c>
      <c r="S27" s="542"/>
      <c r="T27" s="542"/>
      <c r="U27" s="542"/>
      <c r="V27" s="542">
        <v>0</v>
      </c>
      <c r="W27" s="542"/>
      <c r="X27" s="542"/>
      <c r="Y27" s="542"/>
      <c r="Z27" s="542">
        <f>SUM(R27+V27)</f>
        <v>1968.93</v>
      </c>
      <c r="AA27" s="527"/>
      <c r="AB27" s="527"/>
      <c r="AC27" s="527"/>
      <c r="AD27" s="542">
        <f>SUM(R27)</f>
        <v>1968.93</v>
      </c>
      <c r="AE27" s="527"/>
      <c r="AF27" s="527"/>
      <c r="AG27" s="527"/>
      <c r="AH27" s="542">
        <f>SUM(V27)</f>
        <v>0</v>
      </c>
      <c r="AI27" s="527"/>
      <c r="AJ27" s="527"/>
      <c r="AK27" s="527"/>
      <c r="AL27" s="542">
        <f t="shared" ref="AL27" si="49">SUM(Z27)</f>
        <v>1968.93</v>
      </c>
    </row>
    <row r="28" spans="1:38" ht="16.5" thickTop="1" x14ac:dyDescent="0.25">
      <c r="A28" s="55"/>
      <c r="B28" s="55"/>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row>
    <row r="29" spans="1:38" x14ac:dyDescent="0.25">
      <c r="A29" s="55"/>
      <c r="B29" s="55"/>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row>
    <row r="30" spans="1:38" x14ac:dyDescent="0.25">
      <c r="A30" s="55"/>
      <c r="B30" s="55"/>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row>
    <row r="31" spans="1:38" x14ac:dyDescent="0.25">
      <c r="A31" s="55"/>
      <c r="B31" s="55"/>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row>
    <row r="32" spans="1:38" x14ac:dyDescent="0.25">
      <c r="A32" s="55"/>
      <c r="B32" s="55"/>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row>
    <row r="33" spans="1:38" x14ac:dyDescent="0.25">
      <c r="A33" s="55"/>
      <c r="B33" s="55"/>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row>
    <row r="34" spans="1:38" x14ac:dyDescent="0.25">
      <c r="A34" s="55"/>
      <c r="B34" s="55"/>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row>
    <row r="35" spans="1:38" x14ac:dyDescent="0.25">
      <c r="A35" s="55"/>
      <c r="B35" s="55"/>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row>
    <row r="36" spans="1:38" x14ac:dyDescent="0.25">
      <c r="A36" s="55"/>
      <c r="B36" s="55"/>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row>
    <row r="37" spans="1:38" x14ac:dyDescent="0.25">
      <c r="A37" s="55"/>
      <c r="B37" s="55"/>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row>
    <row r="38" spans="1:38" x14ac:dyDescent="0.25">
      <c r="A38" s="474"/>
      <c r="B38" s="474"/>
      <c r="C38" s="473"/>
      <c r="D38" s="473"/>
      <c r="E38" s="473"/>
      <c r="F38" s="473"/>
      <c r="G38" s="473"/>
      <c r="H38" s="473"/>
      <c r="I38" s="473"/>
      <c r="J38" s="473"/>
      <c r="K38" s="473"/>
      <c r="L38" s="473"/>
      <c r="M38" s="473"/>
      <c r="N38" s="473"/>
    </row>
  </sheetData>
  <mergeCells count="21">
    <mergeCell ref="O8:R8"/>
    <mergeCell ref="S8:V8"/>
    <mergeCell ref="W8:Z8"/>
    <mergeCell ref="AA8:AD8"/>
    <mergeCell ref="AE8:AH8"/>
    <mergeCell ref="AI8:AL8"/>
    <mergeCell ref="B3:N3"/>
    <mergeCell ref="O3:Z3"/>
    <mergeCell ref="AA3:AL3"/>
    <mergeCell ref="C5:N5"/>
    <mergeCell ref="AA5:AL5"/>
    <mergeCell ref="C6:F6"/>
    <mergeCell ref="AA6:AD6"/>
    <mergeCell ref="AE6:AH6"/>
    <mergeCell ref="AI6:AL6"/>
    <mergeCell ref="B1:N1"/>
    <mergeCell ref="O1:Z1"/>
    <mergeCell ref="AA1:AL1"/>
    <mergeCell ref="B2:N2"/>
    <mergeCell ref="O2:Z2"/>
    <mergeCell ref="AA2:AL2"/>
  </mergeCells>
  <pageMargins left="0.31496062992125984" right="0.27559055118110237" top="0.94488188976377963" bottom="0.39370078740157483" header="0.43307086614173229" footer="0.19685039370078741"/>
  <pageSetup paperSize="9" scale="61" orientation="landscape" r:id="rId1"/>
  <headerFooter alignWithMargins="0">
    <oddHeader>&amp;R&amp;"Times New Roman CE,Dőlt"&amp;10 2. melléklet
 az 5/2019.(II.15.) önkormányzati rendelethez&amp;X2</oddHeader>
    <oddFooter>&amp;L&amp;X2&amp;X Módosította a  28/2019.(XII.13.) önkormányzati rendelet 8.§ (2) bekezdése, hatályos 2019. december 16-tól.</oddFooter>
  </headerFooter>
  <colBreaks count="1" manualBreakCount="1">
    <brk id="2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EFF14-928F-4DC9-B1A1-2D886EF33275}">
  <sheetPr>
    <tabColor theme="7" tint="0.39997558519241921"/>
  </sheetPr>
  <dimension ref="A1:IV86"/>
  <sheetViews>
    <sheetView view="pageBreakPreview" zoomScale="80" zoomScaleNormal="90" zoomScaleSheetLayoutView="80" workbookViewId="0">
      <pane xSplit="2" ySplit="8" topLeftCell="C9" activePane="bottomRight" state="frozen"/>
      <selection pane="topRight" activeCell="C1" sqref="C1"/>
      <selection pane="bottomLeft" activeCell="A9" sqref="A9"/>
      <selection pane="bottomRight" sqref="A1:K1"/>
    </sheetView>
  </sheetViews>
  <sheetFormatPr defaultColWidth="9.25" defaultRowHeight="15.75" x14ac:dyDescent="0.25"/>
  <cols>
    <col min="1" max="1" width="37.5" style="348" customWidth="1"/>
    <col min="2" max="2" width="11.625" style="348" customWidth="1"/>
    <col min="3" max="3" width="15" style="349" customWidth="1"/>
    <col min="4" max="4" width="14.5" style="349" customWidth="1"/>
    <col min="5" max="5" width="15.25" style="349" customWidth="1"/>
    <col min="6" max="6" width="14.25" style="349" customWidth="1"/>
    <col min="7" max="7" width="14.5" style="349" customWidth="1"/>
    <col min="8" max="8" width="14.75" style="349" customWidth="1"/>
    <col min="9" max="11" width="14.875" style="349" customWidth="1"/>
    <col min="12" max="16384" width="9.25" style="349"/>
  </cols>
  <sheetData>
    <row r="1" spans="1:256" customFormat="1" x14ac:dyDescent="0.25">
      <c r="A1" s="1033" t="s">
        <v>289</v>
      </c>
      <c r="B1" s="1033"/>
      <c r="C1" s="1033"/>
      <c r="D1" s="1033"/>
      <c r="E1" s="1033"/>
      <c r="F1" s="1033"/>
      <c r="G1" s="1033"/>
      <c r="H1" s="1033"/>
      <c r="I1" s="1033"/>
      <c r="J1" s="1033"/>
      <c r="K1" s="1033"/>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c r="EY1" s="48"/>
      <c r="EZ1" s="48"/>
      <c r="FA1" s="48"/>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c r="GL1" s="48"/>
      <c r="GM1" s="48"/>
      <c r="GN1" s="48"/>
      <c r="GO1" s="48"/>
      <c r="GP1" s="48"/>
      <c r="GQ1" s="48"/>
      <c r="GR1" s="48"/>
      <c r="GS1" s="48"/>
      <c r="GT1" s="48"/>
      <c r="GU1" s="48"/>
      <c r="GV1" s="48"/>
      <c r="GW1" s="48"/>
      <c r="GX1" s="48"/>
      <c r="GY1" s="48"/>
      <c r="GZ1" s="48"/>
      <c r="HA1" s="48"/>
      <c r="HB1" s="48"/>
      <c r="HC1" s="48"/>
      <c r="HD1" s="48"/>
      <c r="HE1" s="48"/>
      <c r="HF1" s="48"/>
      <c r="HG1" s="48"/>
      <c r="HH1" s="48"/>
      <c r="HI1" s="48"/>
      <c r="HJ1" s="48"/>
      <c r="HK1" s="48"/>
      <c r="HL1" s="48"/>
      <c r="HM1" s="48"/>
      <c r="HN1" s="48"/>
      <c r="HO1" s="48"/>
      <c r="HP1" s="48"/>
      <c r="HQ1" s="48"/>
      <c r="HR1" s="48"/>
      <c r="HS1" s="48"/>
      <c r="HT1" s="48"/>
      <c r="HU1" s="48"/>
      <c r="HV1" s="48"/>
      <c r="HW1" s="48"/>
      <c r="HX1" s="48"/>
      <c r="HY1" s="48"/>
      <c r="HZ1" s="48"/>
      <c r="IA1" s="48"/>
      <c r="IB1" s="48"/>
      <c r="IC1" s="48"/>
      <c r="ID1" s="48"/>
      <c r="IE1" s="48"/>
      <c r="IF1" s="48"/>
      <c r="IG1" s="48"/>
      <c r="IH1" s="48"/>
      <c r="II1" s="48"/>
      <c r="IJ1" s="48"/>
      <c r="IK1" s="48"/>
      <c r="IL1" s="48"/>
      <c r="IM1" s="48"/>
      <c r="IN1" s="48"/>
      <c r="IO1" s="48"/>
      <c r="IP1" s="48"/>
      <c r="IQ1" s="48"/>
      <c r="IR1" s="48"/>
      <c r="IS1" s="48"/>
      <c r="IT1" s="48"/>
      <c r="IU1" s="48"/>
      <c r="IV1" s="48"/>
    </row>
    <row r="2" spans="1:256" customFormat="1" x14ac:dyDescent="0.25">
      <c r="A2" s="1033" t="s">
        <v>807</v>
      </c>
      <c r="B2" s="1033"/>
      <c r="C2" s="1033"/>
      <c r="D2" s="1033"/>
      <c r="E2" s="1033"/>
      <c r="F2" s="1033"/>
      <c r="G2" s="1033"/>
      <c r="H2" s="1033"/>
      <c r="I2" s="1033"/>
      <c r="J2" s="1033"/>
      <c r="K2" s="1033"/>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c r="EZ2" s="48"/>
      <c r="FA2" s="48"/>
      <c r="FB2" s="48"/>
      <c r="FC2" s="48"/>
      <c r="FD2" s="48"/>
      <c r="FE2" s="48"/>
      <c r="FF2" s="48"/>
      <c r="FG2" s="48"/>
      <c r="FH2" s="48"/>
      <c r="FI2" s="48"/>
      <c r="FJ2" s="48"/>
      <c r="FK2" s="48"/>
      <c r="FL2" s="48"/>
      <c r="FM2" s="48"/>
      <c r="FN2" s="48"/>
      <c r="FO2" s="48"/>
      <c r="FP2" s="48"/>
      <c r="FQ2" s="48"/>
      <c r="FR2" s="48"/>
      <c r="FS2" s="48"/>
      <c r="FT2" s="48"/>
      <c r="FU2" s="48"/>
      <c r="FV2" s="48"/>
      <c r="FW2" s="48"/>
      <c r="FX2" s="48"/>
      <c r="FY2" s="48"/>
      <c r="FZ2" s="48"/>
      <c r="GA2" s="48"/>
      <c r="GB2" s="48"/>
      <c r="GC2" s="48"/>
      <c r="GD2" s="48"/>
      <c r="GE2" s="48"/>
      <c r="GF2" s="48"/>
      <c r="GG2" s="48"/>
      <c r="GH2" s="48"/>
      <c r="GI2" s="48"/>
      <c r="GJ2" s="48"/>
      <c r="GK2" s="48"/>
      <c r="GL2" s="48"/>
      <c r="GM2" s="48"/>
      <c r="GN2" s="48"/>
      <c r="GO2" s="48"/>
      <c r="GP2" s="48"/>
      <c r="GQ2" s="48"/>
      <c r="GR2" s="48"/>
      <c r="GS2" s="48"/>
      <c r="GT2" s="48"/>
      <c r="GU2" s="48"/>
      <c r="GV2" s="48"/>
      <c r="GW2" s="48"/>
      <c r="GX2" s="48"/>
      <c r="GY2" s="48"/>
      <c r="GZ2" s="48"/>
      <c r="HA2" s="48"/>
      <c r="HB2" s="48"/>
      <c r="HC2" s="48"/>
      <c r="HD2" s="48"/>
      <c r="HE2" s="48"/>
      <c r="HF2" s="48"/>
      <c r="HG2" s="48"/>
      <c r="HH2" s="48"/>
      <c r="HI2" s="48"/>
      <c r="HJ2" s="48"/>
      <c r="HK2" s="48"/>
      <c r="HL2" s="48"/>
      <c r="HM2" s="48"/>
      <c r="HN2" s="48"/>
      <c r="HO2" s="48"/>
      <c r="HP2" s="48"/>
      <c r="HQ2" s="48"/>
      <c r="HR2" s="48"/>
      <c r="HS2" s="48"/>
      <c r="HT2" s="48"/>
      <c r="HU2" s="48"/>
      <c r="HV2" s="48"/>
      <c r="HW2" s="48"/>
      <c r="HX2" s="48"/>
      <c r="HY2" s="48"/>
      <c r="HZ2" s="48"/>
      <c r="IA2" s="48"/>
      <c r="IB2" s="48"/>
      <c r="IC2" s="48"/>
      <c r="ID2" s="48"/>
      <c r="IE2" s="48"/>
      <c r="IF2" s="48"/>
      <c r="IG2" s="48"/>
      <c r="IH2" s="48"/>
      <c r="II2" s="48"/>
      <c r="IJ2" s="48"/>
      <c r="IK2" s="48"/>
      <c r="IL2" s="48"/>
      <c r="IM2" s="48"/>
      <c r="IN2" s="48"/>
      <c r="IO2" s="48"/>
      <c r="IP2" s="48"/>
      <c r="IQ2" s="48"/>
      <c r="IR2" s="48"/>
      <c r="IS2" s="48"/>
      <c r="IT2" s="48"/>
      <c r="IU2" s="48"/>
      <c r="IV2" s="48"/>
    </row>
    <row r="3" spans="1:256" customFormat="1" x14ac:dyDescent="0.25">
      <c r="A3" s="1033" t="s">
        <v>1228</v>
      </c>
      <c r="B3" s="1033"/>
      <c r="C3" s="1033"/>
      <c r="D3" s="1033"/>
      <c r="E3" s="1033"/>
      <c r="F3" s="1033"/>
      <c r="G3" s="1033"/>
      <c r="H3" s="1033"/>
      <c r="I3" s="1033"/>
      <c r="J3" s="1033"/>
      <c r="K3" s="1033"/>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c r="EA3" s="48"/>
      <c r="EB3" s="48"/>
      <c r="EC3" s="48"/>
      <c r="ED3" s="48"/>
      <c r="EE3" s="48"/>
      <c r="EF3" s="48"/>
      <c r="EG3" s="48"/>
      <c r="EH3" s="48"/>
      <c r="EI3" s="48"/>
      <c r="EJ3" s="48"/>
      <c r="EK3" s="48"/>
      <c r="EL3" s="48"/>
      <c r="EM3" s="48"/>
      <c r="EN3" s="48"/>
      <c r="EO3" s="48"/>
      <c r="EP3" s="48"/>
      <c r="EQ3" s="48"/>
      <c r="ER3" s="48"/>
      <c r="ES3" s="48"/>
      <c r="ET3" s="48"/>
      <c r="EU3" s="48"/>
      <c r="EV3" s="48"/>
      <c r="EW3" s="48"/>
      <c r="EX3" s="48"/>
      <c r="EY3" s="48"/>
      <c r="EZ3" s="48"/>
      <c r="FA3" s="48"/>
      <c r="FB3" s="48"/>
      <c r="FC3" s="48"/>
      <c r="FD3" s="48"/>
      <c r="FE3" s="48"/>
      <c r="FF3" s="48"/>
      <c r="FG3" s="48"/>
      <c r="FH3" s="48"/>
      <c r="FI3" s="48"/>
      <c r="FJ3" s="48"/>
      <c r="FK3" s="48"/>
      <c r="FL3" s="48"/>
      <c r="FM3" s="48"/>
      <c r="FN3" s="48"/>
      <c r="FO3" s="48"/>
      <c r="FP3" s="48"/>
      <c r="FQ3" s="48"/>
      <c r="FR3" s="48"/>
      <c r="FS3" s="48"/>
      <c r="FT3" s="48"/>
      <c r="FU3" s="48"/>
      <c r="FV3" s="48"/>
      <c r="FW3" s="48"/>
      <c r="FX3" s="48"/>
      <c r="FY3" s="48"/>
      <c r="FZ3" s="48"/>
      <c r="GA3" s="48"/>
      <c r="GB3" s="48"/>
      <c r="GC3" s="48"/>
      <c r="GD3" s="48"/>
      <c r="GE3" s="48"/>
      <c r="GF3" s="48"/>
      <c r="GG3" s="48"/>
      <c r="GH3" s="48"/>
      <c r="GI3" s="48"/>
      <c r="GJ3" s="48"/>
      <c r="GK3" s="48"/>
      <c r="GL3" s="48"/>
      <c r="GM3" s="48"/>
      <c r="GN3" s="48"/>
      <c r="GO3" s="48"/>
      <c r="GP3" s="48"/>
      <c r="GQ3" s="48"/>
      <c r="GR3" s="48"/>
      <c r="GS3" s="48"/>
      <c r="GT3" s="48"/>
      <c r="GU3" s="48"/>
      <c r="GV3" s="48"/>
      <c r="GW3" s="48"/>
      <c r="GX3" s="48"/>
      <c r="GY3" s="48"/>
      <c r="GZ3" s="48"/>
      <c r="HA3" s="48"/>
      <c r="HB3" s="48"/>
      <c r="HC3" s="48"/>
      <c r="HD3" s="48"/>
      <c r="HE3" s="48"/>
      <c r="HF3" s="48"/>
      <c r="HG3" s="48"/>
      <c r="HH3" s="48"/>
      <c r="HI3" s="48"/>
      <c r="HJ3" s="48"/>
      <c r="HK3" s="48"/>
      <c r="HL3" s="48"/>
      <c r="HM3" s="48"/>
      <c r="HN3" s="48"/>
      <c r="HO3" s="48"/>
      <c r="HP3" s="48"/>
      <c r="HQ3" s="48"/>
      <c r="HR3" s="48"/>
      <c r="HS3" s="48"/>
      <c r="HT3" s="48"/>
      <c r="HU3" s="48"/>
      <c r="HV3" s="48"/>
      <c r="HW3" s="48"/>
      <c r="HX3" s="48"/>
      <c r="HY3" s="48"/>
      <c r="HZ3" s="48"/>
      <c r="IA3" s="48"/>
      <c r="IB3" s="48"/>
      <c r="IC3" s="48"/>
      <c r="ID3" s="48"/>
      <c r="IE3" s="48"/>
      <c r="IF3" s="48"/>
      <c r="IG3" s="48"/>
      <c r="IH3" s="48"/>
      <c r="II3" s="48"/>
      <c r="IJ3" s="48"/>
      <c r="IK3" s="48"/>
      <c r="IL3" s="48"/>
      <c r="IM3" s="48"/>
      <c r="IN3" s="48"/>
      <c r="IO3" s="48"/>
      <c r="IP3" s="48"/>
      <c r="IQ3" s="48"/>
      <c r="IR3" s="48"/>
      <c r="IS3" s="48"/>
      <c r="IT3" s="48"/>
      <c r="IU3" s="48"/>
      <c r="IV3" s="48"/>
    </row>
    <row r="5" spans="1:256" ht="16.5" thickBot="1" x14ac:dyDescent="0.3"/>
    <row r="6" spans="1:256" ht="87" customHeight="1" thickTop="1" thickBot="1" x14ac:dyDescent="0.3">
      <c r="A6" s="1039" t="s">
        <v>165</v>
      </c>
      <c r="B6" s="1039" t="s">
        <v>230</v>
      </c>
      <c r="C6" s="1025" t="s">
        <v>26</v>
      </c>
      <c r="D6" s="1026"/>
      <c r="E6" s="1027"/>
      <c r="F6" s="1025" t="s">
        <v>27</v>
      </c>
      <c r="G6" s="1026"/>
      <c r="H6" s="1027"/>
      <c r="I6" s="1028" t="s">
        <v>181</v>
      </c>
      <c r="J6" s="1029"/>
      <c r="K6" s="1030"/>
    </row>
    <row r="7" spans="1:256" ht="33" customHeight="1" thickTop="1" thickBot="1" x14ac:dyDescent="0.3">
      <c r="A7" s="1040"/>
      <c r="B7" s="1040"/>
      <c r="C7" s="1014" t="s">
        <v>998</v>
      </c>
      <c r="D7" s="1014" t="s">
        <v>997</v>
      </c>
      <c r="E7" s="1014" t="s">
        <v>1151</v>
      </c>
      <c r="F7" s="1014" t="s">
        <v>998</v>
      </c>
      <c r="G7" s="1014" t="s">
        <v>997</v>
      </c>
      <c r="H7" s="1014" t="s">
        <v>1151</v>
      </c>
      <c r="I7" s="1014" t="s">
        <v>998</v>
      </c>
      <c r="J7" s="1014" t="s">
        <v>997</v>
      </c>
      <c r="K7" s="1014" t="s">
        <v>1151</v>
      </c>
    </row>
    <row r="8" spans="1:256" ht="17.25" thickTop="1" thickBot="1" x14ac:dyDescent="0.3">
      <c r="A8" s="350" t="s">
        <v>168</v>
      </c>
      <c r="B8" s="351"/>
      <c r="C8" s="1012" t="s">
        <v>291</v>
      </c>
      <c r="D8" s="1012" t="s">
        <v>1014</v>
      </c>
      <c r="E8" s="1012" t="s">
        <v>1015</v>
      </c>
      <c r="F8" s="1011" t="s">
        <v>292</v>
      </c>
      <c r="G8" s="1011" t="s">
        <v>1016</v>
      </c>
      <c r="H8" s="1011" t="s">
        <v>1017</v>
      </c>
      <c r="I8" s="1013" t="s">
        <v>1018</v>
      </c>
      <c r="J8" s="1013" t="s">
        <v>1019</v>
      </c>
      <c r="K8" s="1013" t="s">
        <v>1020</v>
      </c>
    </row>
    <row r="9" spans="1:256" ht="32.25" thickTop="1" x14ac:dyDescent="0.25">
      <c r="A9" s="352" t="s">
        <v>294</v>
      </c>
      <c r="B9" s="353" t="s">
        <v>297</v>
      </c>
      <c r="C9" s="354">
        <v>12172</v>
      </c>
      <c r="D9" s="386">
        <v>6214</v>
      </c>
      <c r="E9" s="386">
        <f>SUM(C9:D9)</f>
        <v>18386</v>
      </c>
      <c r="F9" s="356">
        <v>0</v>
      </c>
      <c r="G9" s="356"/>
      <c r="H9" s="356">
        <f>SUM(F9:G9)</f>
        <v>0</v>
      </c>
      <c r="I9" s="358">
        <f>SUM(F9+C9)</f>
        <v>12172</v>
      </c>
      <c r="J9" s="358">
        <f t="shared" ref="J9:K11" si="0">SUM(G9+D9)</f>
        <v>6214</v>
      </c>
      <c r="K9" s="358">
        <f t="shared" si="0"/>
        <v>18386</v>
      </c>
    </row>
    <row r="10" spans="1:256" ht="31.5" x14ac:dyDescent="0.25">
      <c r="A10" s="352" t="s">
        <v>511</v>
      </c>
      <c r="B10" s="352" t="s">
        <v>298</v>
      </c>
      <c r="C10" s="356">
        <v>1901172</v>
      </c>
      <c r="D10" s="356">
        <v>-1600</v>
      </c>
      <c r="E10" s="356">
        <f>SUM(C10:D10)</f>
        <v>1899572</v>
      </c>
      <c r="F10" s="356">
        <v>0</v>
      </c>
      <c r="G10" s="356"/>
      <c r="H10" s="356">
        <f>SUM(F10:G10)</f>
        <v>0</v>
      </c>
      <c r="I10" s="358">
        <f>SUM(F10+C10)</f>
        <v>1901172</v>
      </c>
      <c r="J10" s="358">
        <f t="shared" si="0"/>
        <v>-1600</v>
      </c>
      <c r="K10" s="358">
        <f t="shared" si="0"/>
        <v>1899572</v>
      </c>
    </row>
    <row r="11" spans="1:256" ht="47.25" x14ac:dyDescent="0.25">
      <c r="A11" s="359" t="s">
        <v>494</v>
      </c>
      <c r="B11" s="352" t="s">
        <v>299</v>
      </c>
      <c r="C11" s="356">
        <v>1867077</v>
      </c>
      <c r="D11" s="356">
        <v>45906</v>
      </c>
      <c r="E11" s="356">
        <f>SUM(C11:D11)</f>
        <v>1912983</v>
      </c>
      <c r="F11" s="356">
        <v>0</v>
      </c>
      <c r="G11" s="356"/>
      <c r="H11" s="356">
        <f t="shared" ref="H11:H16" si="1">SUM(F11:G11)</f>
        <v>0</v>
      </c>
      <c r="I11" s="358">
        <f>SUM(F11+C11)</f>
        <v>1867077</v>
      </c>
      <c r="J11" s="358">
        <f t="shared" si="0"/>
        <v>45906</v>
      </c>
      <c r="K11" s="358">
        <f t="shared" si="0"/>
        <v>1912983</v>
      </c>
    </row>
    <row r="12" spans="1:256" ht="31.5" x14ac:dyDescent="0.25">
      <c r="A12" s="352" t="s">
        <v>295</v>
      </c>
      <c r="B12" s="352" t="s">
        <v>300</v>
      </c>
      <c r="C12" s="356">
        <v>888200</v>
      </c>
      <c r="D12" s="356">
        <v>24367</v>
      </c>
      <c r="E12" s="356">
        <f t="shared" ref="E12:E16" si="2">SUM(C12:D12)</f>
        <v>912567</v>
      </c>
      <c r="F12" s="356">
        <v>0</v>
      </c>
      <c r="G12" s="356"/>
      <c r="H12" s="356">
        <f t="shared" si="1"/>
        <v>0</v>
      </c>
      <c r="I12" s="358">
        <f>SUM(C12+F12)</f>
        <v>888200</v>
      </c>
      <c r="J12" s="358">
        <f t="shared" ref="J12:K16" si="3">SUM(D12+G12)</f>
        <v>24367</v>
      </c>
      <c r="K12" s="358">
        <f t="shared" si="3"/>
        <v>912567</v>
      </c>
    </row>
    <row r="13" spans="1:256" ht="31.5" x14ac:dyDescent="0.25">
      <c r="A13" s="352" t="s">
        <v>28</v>
      </c>
      <c r="B13" s="352"/>
      <c r="C13" s="356">
        <v>231000</v>
      </c>
      <c r="D13" s="356"/>
      <c r="E13" s="356">
        <f t="shared" si="2"/>
        <v>231000</v>
      </c>
      <c r="F13" s="356">
        <v>0</v>
      </c>
      <c r="G13" s="356"/>
      <c r="H13" s="356">
        <f t="shared" si="1"/>
        <v>0</v>
      </c>
      <c r="I13" s="358">
        <f>SUM(C13+F13)</f>
        <v>231000</v>
      </c>
      <c r="J13" s="358">
        <f t="shared" si="3"/>
        <v>0</v>
      </c>
      <c r="K13" s="358">
        <f t="shared" si="3"/>
        <v>231000</v>
      </c>
    </row>
    <row r="14" spans="1:256" ht="31.5" x14ac:dyDescent="0.25">
      <c r="A14" s="352" t="s">
        <v>1008</v>
      </c>
      <c r="B14" s="352"/>
      <c r="C14" s="356">
        <v>176100</v>
      </c>
      <c r="D14" s="356"/>
      <c r="E14" s="356">
        <f t="shared" si="2"/>
        <v>176100</v>
      </c>
      <c r="F14" s="356">
        <v>0</v>
      </c>
      <c r="G14" s="356"/>
      <c r="H14" s="356">
        <f t="shared" si="1"/>
        <v>0</v>
      </c>
      <c r="I14" s="358">
        <f>SUM(C14+F14)</f>
        <v>176100</v>
      </c>
      <c r="J14" s="358">
        <f t="shared" si="3"/>
        <v>0</v>
      </c>
      <c r="K14" s="358">
        <f t="shared" si="3"/>
        <v>176100</v>
      </c>
    </row>
    <row r="15" spans="1:256" x14ac:dyDescent="0.25">
      <c r="A15" s="352" t="s">
        <v>29</v>
      </c>
      <c r="B15" s="352"/>
      <c r="C15" s="356">
        <v>301800</v>
      </c>
      <c r="D15" s="356"/>
      <c r="E15" s="356">
        <f t="shared" si="2"/>
        <v>301800</v>
      </c>
      <c r="F15" s="356">
        <v>0</v>
      </c>
      <c r="G15" s="356"/>
      <c r="H15" s="356">
        <f t="shared" si="1"/>
        <v>0</v>
      </c>
      <c r="I15" s="358">
        <f>SUM(C15+F15)</f>
        <v>301800</v>
      </c>
      <c r="J15" s="358">
        <f t="shared" si="3"/>
        <v>0</v>
      </c>
      <c r="K15" s="358">
        <f t="shared" si="3"/>
        <v>301800</v>
      </c>
    </row>
    <row r="16" spans="1:256" ht="42" customHeight="1" x14ac:dyDescent="0.25">
      <c r="A16" s="352" t="s">
        <v>512</v>
      </c>
      <c r="B16" s="352" t="s">
        <v>301</v>
      </c>
      <c r="C16" s="356">
        <v>202654</v>
      </c>
      <c r="D16" s="356">
        <v>55594</v>
      </c>
      <c r="E16" s="356">
        <f t="shared" si="2"/>
        <v>258248</v>
      </c>
      <c r="F16" s="356">
        <v>0</v>
      </c>
      <c r="G16" s="356"/>
      <c r="H16" s="356">
        <f t="shared" si="1"/>
        <v>0</v>
      </c>
      <c r="I16" s="358">
        <f>SUM(C16+F16)</f>
        <v>202654</v>
      </c>
      <c r="J16" s="358">
        <f t="shared" si="3"/>
        <v>55594</v>
      </c>
      <c r="K16" s="358">
        <f t="shared" si="3"/>
        <v>258248</v>
      </c>
    </row>
    <row r="17" spans="1:11" s="362" customFormat="1" ht="31.5" x14ac:dyDescent="0.25">
      <c r="A17" s="360" t="s">
        <v>296</v>
      </c>
      <c r="B17" s="360" t="s">
        <v>302</v>
      </c>
      <c r="C17" s="361">
        <f>SUM(C9:C11,C12,C16)</f>
        <v>4871275</v>
      </c>
      <c r="D17" s="361">
        <f t="shared" ref="D17:H17" si="4">SUM(D9:D11,D12,D16)</f>
        <v>130481</v>
      </c>
      <c r="E17" s="361">
        <f t="shared" si="4"/>
        <v>5001756</v>
      </c>
      <c r="F17" s="361">
        <f>SUM(F9:F11,F12,F16)</f>
        <v>0</v>
      </c>
      <c r="G17" s="361">
        <f t="shared" si="4"/>
        <v>0</v>
      </c>
      <c r="H17" s="361">
        <f t="shared" si="4"/>
        <v>0</v>
      </c>
      <c r="I17" s="361">
        <f>SUM(I9:I11,I12,I16)</f>
        <v>4871275</v>
      </c>
      <c r="J17" s="361">
        <f t="shared" ref="J17:K17" si="5">SUM(J9:J11,J12,J16)</f>
        <v>130481</v>
      </c>
      <c r="K17" s="361">
        <f t="shared" si="5"/>
        <v>5001756</v>
      </c>
    </row>
    <row r="18" spans="1:11" s="362" customFormat="1" ht="31.5" x14ac:dyDescent="0.25">
      <c r="A18" s="360" t="s">
        <v>353</v>
      </c>
      <c r="B18" s="360" t="s">
        <v>354</v>
      </c>
      <c r="C18" s="361">
        <v>69090</v>
      </c>
      <c r="D18" s="361"/>
      <c r="E18" s="361">
        <f>SUM(C18:D18)</f>
        <v>69090</v>
      </c>
      <c r="F18" s="361">
        <v>1207977</v>
      </c>
      <c r="G18" s="361">
        <v>188419</v>
      </c>
      <c r="H18" s="361">
        <f>SUM(F18:G18)</f>
        <v>1396396</v>
      </c>
      <c r="I18" s="361">
        <f>SUM(C18+F18)</f>
        <v>1277067</v>
      </c>
      <c r="J18" s="361">
        <f>SUM(D18+G18)</f>
        <v>188419</v>
      </c>
      <c r="K18" s="361">
        <f>SUM(E18+H18)</f>
        <v>1465486</v>
      </c>
    </row>
    <row r="19" spans="1:11" ht="31.5" x14ac:dyDescent="0.25">
      <c r="A19" s="363" t="s">
        <v>355</v>
      </c>
      <c r="B19" s="363" t="s">
        <v>241</v>
      </c>
      <c r="C19" s="358">
        <f>SUM(C17+C18)</f>
        <v>4940365</v>
      </c>
      <c r="D19" s="358">
        <f t="shared" ref="D19:H19" si="6">SUM(D17+D18)</f>
        <v>130481</v>
      </c>
      <c r="E19" s="358">
        <f t="shared" si="6"/>
        <v>5070846</v>
      </c>
      <c r="F19" s="358">
        <f>SUM(F17+F18)</f>
        <v>1207977</v>
      </c>
      <c r="G19" s="358">
        <f t="shared" si="6"/>
        <v>188419</v>
      </c>
      <c r="H19" s="358">
        <f t="shared" si="6"/>
        <v>1396396</v>
      </c>
      <c r="I19" s="358">
        <f>SUM(I17+I18)</f>
        <v>6148342</v>
      </c>
      <c r="J19" s="358">
        <f t="shared" ref="J19:K19" si="7">SUM(J17+J18)</f>
        <v>318900</v>
      </c>
      <c r="K19" s="358">
        <f t="shared" si="7"/>
        <v>6467242</v>
      </c>
    </row>
    <row r="20" spans="1:11" s="368" customFormat="1" ht="31.5" x14ac:dyDescent="0.25">
      <c r="A20" s="360" t="s">
        <v>356</v>
      </c>
      <c r="B20" s="364" t="s">
        <v>303</v>
      </c>
      <c r="C20" s="543">
        <v>30000</v>
      </c>
      <c r="D20" s="543">
        <v>0</v>
      </c>
      <c r="E20" s="543">
        <f>SUM(C20:D20)</f>
        <v>30000</v>
      </c>
      <c r="F20" s="543">
        <v>0</v>
      </c>
      <c r="G20" s="543"/>
      <c r="H20" s="543">
        <f>SUM(F20:G20)</f>
        <v>0</v>
      </c>
      <c r="I20" s="361">
        <f>SUM(C20+F20)</f>
        <v>30000</v>
      </c>
      <c r="J20" s="361">
        <f t="shared" ref="J20:K21" si="8">SUM(D20+G20)</f>
        <v>0</v>
      </c>
      <c r="K20" s="361">
        <f t="shared" si="8"/>
        <v>30000</v>
      </c>
    </row>
    <row r="21" spans="1:11" s="368" customFormat="1" ht="31.5" x14ac:dyDescent="0.25">
      <c r="A21" s="360" t="s">
        <v>358</v>
      </c>
      <c r="B21" s="364" t="s">
        <v>357</v>
      </c>
      <c r="C21" s="543">
        <v>16505282</v>
      </c>
      <c r="D21" s="543">
        <v>195250</v>
      </c>
      <c r="E21" s="543">
        <f>SUM(C21:D21)</f>
        <v>16700532</v>
      </c>
      <c r="F21" s="543">
        <v>0</v>
      </c>
      <c r="G21" s="543"/>
      <c r="H21" s="543">
        <f>SUM(F21:G21)</f>
        <v>0</v>
      </c>
      <c r="I21" s="361">
        <f>SUM(C21+F21)</f>
        <v>16505282</v>
      </c>
      <c r="J21" s="361">
        <f t="shared" si="8"/>
        <v>195250</v>
      </c>
      <c r="K21" s="361">
        <f t="shared" si="8"/>
        <v>16700532</v>
      </c>
    </row>
    <row r="22" spans="1:11" s="371" customFormat="1" ht="31.5" x14ac:dyDescent="0.25">
      <c r="A22" s="363" t="s">
        <v>359</v>
      </c>
      <c r="B22" s="369" t="s">
        <v>242</v>
      </c>
      <c r="C22" s="370">
        <f>SUM(C20+C21)</f>
        <v>16535282</v>
      </c>
      <c r="D22" s="370">
        <f t="shared" ref="D22:H22" si="9">SUM(D20+D21)</f>
        <v>195250</v>
      </c>
      <c r="E22" s="370">
        <f t="shared" si="9"/>
        <v>16730532</v>
      </c>
      <c r="F22" s="370">
        <f>SUM(F20+F21)</f>
        <v>0</v>
      </c>
      <c r="G22" s="370">
        <f t="shared" si="9"/>
        <v>0</v>
      </c>
      <c r="H22" s="370">
        <f t="shared" si="9"/>
        <v>0</v>
      </c>
      <c r="I22" s="370">
        <f>SUM(I20+I21)</f>
        <v>16535282</v>
      </c>
      <c r="J22" s="370">
        <f t="shared" ref="J22:K22" si="10">SUM(J20+J21)</f>
        <v>195250</v>
      </c>
      <c r="K22" s="370">
        <f t="shared" si="10"/>
        <v>16730532</v>
      </c>
    </row>
    <row r="23" spans="1:11" x14ac:dyDescent="0.25">
      <c r="A23" s="352" t="s">
        <v>773</v>
      </c>
      <c r="B23" s="352" t="s">
        <v>304</v>
      </c>
      <c r="C23" s="372">
        <v>2000000</v>
      </c>
      <c r="D23" s="372"/>
      <c r="E23" s="372">
        <f>SUM(C23:D23)</f>
        <v>2000000</v>
      </c>
      <c r="F23" s="372">
        <v>0</v>
      </c>
      <c r="G23" s="372"/>
      <c r="H23" s="372">
        <f>SUM(F23:G23)</f>
        <v>0</v>
      </c>
      <c r="I23" s="358">
        <f>SUM(F23+C23)</f>
        <v>2000000</v>
      </c>
      <c r="J23" s="358">
        <f t="shared" ref="J23:K23" si="11">SUM(G23+D23)</f>
        <v>0</v>
      </c>
      <c r="K23" s="358">
        <f t="shared" si="11"/>
        <v>2000000</v>
      </c>
    </row>
    <row r="24" spans="1:11" s="362" customFormat="1" x14ac:dyDescent="0.25">
      <c r="A24" s="360" t="s">
        <v>774</v>
      </c>
      <c r="B24" s="360" t="s">
        <v>304</v>
      </c>
      <c r="C24" s="361">
        <f>SUM(C23:C23)</f>
        <v>2000000</v>
      </c>
      <c r="D24" s="361">
        <f t="shared" ref="D24:H24" si="12">SUM(D23:D23)</f>
        <v>0</v>
      </c>
      <c r="E24" s="361">
        <f t="shared" si="12"/>
        <v>2000000</v>
      </c>
      <c r="F24" s="361">
        <f>SUM(F23:F23)</f>
        <v>0</v>
      </c>
      <c r="G24" s="361">
        <f t="shared" si="12"/>
        <v>0</v>
      </c>
      <c r="H24" s="361">
        <f t="shared" si="12"/>
        <v>0</v>
      </c>
      <c r="I24" s="361">
        <f>SUM(I23:I23)</f>
        <v>2000000</v>
      </c>
      <c r="J24" s="361">
        <f t="shared" ref="J24:K24" si="13">SUM(J23:J23)</f>
        <v>0</v>
      </c>
      <c r="K24" s="361">
        <f t="shared" si="13"/>
        <v>2000000</v>
      </c>
    </row>
    <row r="25" spans="1:11" x14ac:dyDescent="0.25">
      <c r="A25" s="352" t="s">
        <v>775</v>
      </c>
      <c r="B25" s="352" t="s">
        <v>305</v>
      </c>
      <c r="C25" s="372">
        <v>19000000</v>
      </c>
      <c r="D25" s="372"/>
      <c r="E25" s="372">
        <f>SUM(C25:D25)</f>
        <v>19000000</v>
      </c>
      <c r="F25" s="372">
        <v>0</v>
      </c>
      <c r="G25" s="372"/>
      <c r="H25" s="372">
        <f>SUM(F25:G25)</f>
        <v>0</v>
      </c>
      <c r="I25" s="358">
        <f>SUM(F25+C25)</f>
        <v>19000000</v>
      </c>
      <c r="J25" s="358">
        <f t="shared" ref="J25:K25" si="14">SUM(G25+D25)</f>
        <v>0</v>
      </c>
      <c r="K25" s="358">
        <f t="shared" si="14"/>
        <v>19000000</v>
      </c>
    </row>
    <row r="26" spans="1:11" s="368" customFormat="1" x14ac:dyDescent="0.25">
      <c r="A26" s="360" t="s">
        <v>776</v>
      </c>
      <c r="B26" s="360" t="s">
        <v>305</v>
      </c>
      <c r="C26" s="361">
        <f>SUM(C25)</f>
        <v>19000000</v>
      </c>
      <c r="D26" s="361">
        <f t="shared" ref="D26:H26" si="15">SUM(D25)</f>
        <v>0</v>
      </c>
      <c r="E26" s="361">
        <f t="shared" si="15"/>
        <v>19000000</v>
      </c>
      <c r="F26" s="361">
        <f>SUM(F25)</f>
        <v>0</v>
      </c>
      <c r="G26" s="361">
        <f t="shared" si="15"/>
        <v>0</v>
      </c>
      <c r="H26" s="361">
        <f t="shared" si="15"/>
        <v>0</v>
      </c>
      <c r="I26" s="361">
        <f>SUM(I25)</f>
        <v>19000000</v>
      </c>
      <c r="J26" s="361">
        <f t="shared" ref="J26:K26" si="16">SUM(J25)</f>
        <v>0</v>
      </c>
      <c r="K26" s="361">
        <f t="shared" si="16"/>
        <v>19000000</v>
      </c>
    </row>
    <row r="27" spans="1:11" s="368" customFormat="1" x14ac:dyDescent="0.25">
      <c r="A27" s="360" t="s">
        <v>777</v>
      </c>
      <c r="B27" s="360" t="s">
        <v>306</v>
      </c>
      <c r="C27" s="361">
        <v>420000</v>
      </c>
      <c r="D27" s="361"/>
      <c r="E27" s="361">
        <f>SUM(C27:D27)</f>
        <v>420000</v>
      </c>
      <c r="F27" s="376">
        <v>0</v>
      </c>
      <c r="G27" s="376"/>
      <c r="H27" s="376">
        <f>SUM(F27:G27)</f>
        <v>0</v>
      </c>
      <c r="I27" s="361">
        <f>SUM(F27+C27)</f>
        <v>420000</v>
      </c>
      <c r="J27" s="361">
        <f t="shared" ref="J27:K28" si="17">SUM(G27+D27)</f>
        <v>0</v>
      </c>
      <c r="K27" s="361">
        <f t="shared" si="17"/>
        <v>420000</v>
      </c>
    </row>
    <row r="28" spans="1:11" x14ac:dyDescent="0.25">
      <c r="A28" s="352" t="s">
        <v>778</v>
      </c>
      <c r="B28" s="352" t="s">
        <v>307</v>
      </c>
      <c r="C28" s="372">
        <v>60000</v>
      </c>
      <c r="D28" s="372"/>
      <c r="E28" s="372">
        <f>SUM(C28:D28)</f>
        <v>60000</v>
      </c>
      <c r="F28" s="372"/>
      <c r="G28" s="372"/>
      <c r="H28" s="372">
        <f>SUM(F28:G28)</f>
        <v>0</v>
      </c>
      <c r="I28" s="358">
        <f>SUM(F28+C28)</f>
        <v>60000</v>
      </c>
      <c r="J28" s="358">
        <f t="shared" si="17"/>
        <v>0</v>
      </c>
      <c r="K28" s="358">
        <f t="shared" si="17"/>
        <v>60000</v>
      </c>
    </row>
    <row r="29" spans="1:11" s="368" customFormat="1" ht="31.5" x14ac:dyDescent="0.25">
      <c r="A29" s="360" t="s">
        <v>779</v>
      </c>
      <c r="B29" s="360" t="s">
        <v>307</v>
      </c>
      <c r="C29" s="361">
        <f>SUM(C28:C28)</f>
        <v>60000</v>
      </c>
      <c r="D29" s="361">
        <f t="shared" ref="D29:K29" si="18">SUM(D28:D28)</f>
        <v>0</v>
      </c>
      <c r="E29" s="361">
        <f t="shared" si="18"/>
        <v>60000</v>
      </c>
      <c r="F29" s="361">
        <f>SUM(F28:F28)</f>
        <v>0</v>
      </c>
      <c r="G29" s="361">
        <f t="shared" si="18"/>
        <v>0</v>
      </c>
      <c r="H29" s="361">
        <f t="shared" si="18"/>
        <v>0</v>
      </c>
      <c r="I29" s="361">
        <f t="shared" si="18"/>
        <v>60000</v>
      </c>
      <c r="J29" s="361">
        <f t="shared" si="18"/>
        <v>0</v>
      </c>
      <c r="K29" s="361">
        <f t="shared" si="18"/>
        <v>60000</v>
      </c>
    </row>
    <row r="30" spans="1:11" s="368" customFormat="1" ht="31.5" x14ac:dyDescent="0.25">
      <c r="A30" s="360" t="s">
        <v>780</v>
      </c>
      <c r="B30" s="360" t="s">
        <v>308</v>
      </c>
      <c r="C30" s="361">
        <f>SUM(C29+C27+C26)</f>
        <v>19480000</v>
      </c>
      <c r="D30" s="361">
        <f t="shared" ref="D30:K30" si="19">SUM(D29+D27+D26)</f>
        <v>0</v>
      </c>
      <c r="E30" s="361">
        <f t="shared" si="19"/>
        <v>19480000</v>
      </c>
      <c r="F30" s="361">
        <f>SUM(F29+F27+F26)</f>
        <v>0</v>
      </c>
      <c r="G30" s="361">
        <f t="shared" si="19"/>
        <v>0</v>
      </c>
      <c r="H30" s="361">
        <f t="shared" si="19"/>
        <v>0</v>
      </c>
      <c r="I30" s="361">
        <f t="shared" si="19"/>
        <v>19480000</v>
      </c>
      <c r="J30" s="361">
        <f t="shared" si="19"/>
        <v>0</v>
      </c>
      <c r="K30" s="361">
        <f t="shared" si="19"/>
        <v>19480000</v>
      </c>
    </row>
    <row r="31" spans="1:11" x14ac:dyDescent="0.25">
      <c r="A31" s="352" t="s">
        <v>781</v>
      </c>
      <c r="B31" s="352" t="s">
        <v>309</v>
      </c>
      <c r="C31" s="372">
        <v>10000</v>
      </c>
      <c r="D31" s="356"/>
      <c r="E31" s="356">
        <f>SUM(C31:D31)</f>
        <v>10000</v>
      </c>
      <c r="F31" s="372">
        <v>0</v>
      </c>
      <c r="G31" s="356"/>
      <c r="H31" s="356">
        <f>SUM(F31:G31)</f>
        <v>0</v>
      </c>
      <c r="I31" s="372">
        <f t="shared" ref="I31:K34" si="20">SUM(F31+C31)</f>
        <v>10000</v>
      </c>
      <c r="J31" s="372">
        <f t="shared" si="20"/>
        <v>0</v>
      </c>
      <c r="K31" s="372">
        <f t="shared" si="20"/>
        <v>10000</v>
      </c>
    </row>
    <row r="32" spans="1:11" x14ac:dyDescent="0.25">
      <c r="A32" s="352" t="s">
        <v>782</v>
      </c>
      <c r="B32" s="352" t="s">
        <v>309</v>
      </c>
      <c r="C32" s="372">
        <v>50000</v>
      </c>
      <c r="D32" s="372"/>
      <c r="E32" s="356">
        <f t="shared" ref="E32:E34" si="21">SUM(C32:D32)</f>
        <v>50000</v>
      </c>
      <c r="F32" s="372">
        <v>0</v>
      </c>
      <c r="G32" s="372"/>
      <c r="H32" s="356">
        <f t="shared" ref="H32:H34" si="22">SUM(F32:G32)</f>
        <v>0</v>
      </c>
      <c r="I32" s="372">
        <f t="shared" si="20"/>
        <v>50000</v>
      </c>
      <c r="J32" s="372">
        <f t="shared" si="20"/>
        <v>0</v>
      </c>
      <c r="K32" s="372">
        <f t="shared" si="20"/>
        <v>50000</v>
      </c>
    </row>
    <row r="33" spans="1:11" ht="31.5" x14ac:dyDescent="0.25">
      <c r="A33" s="352" t="s">
        <v>783</v>
      </c>
      <c r="B33" s="352" t="s">
        <v>309</v>
      </c>
      <c r="C33" s="372">
        <v>17500</v>
      </c>
      <c r="D33" s="372"/>
      <c r="E33" s="356">
        <f t="shared" si="21"/>
        <v>17500</v>
      </c>
      <c r="F33" s="372">
        <v>0</v>
      </c>
      <c r="G33" s="372"/>
      <c r="H33" s="356">
        <f t="shared" si="22"/>
        <v>0</v>
      </c>
      <c r="I33" s="372">
        <f t="shared" si="20"/>
        <v>17500</v>
      </c>
      <c r="J33" s="372">
        <f t="shared" si="20"/>
        <v>0</v>
      </c>
      <c r="K33" s="372">
        <f t="shared" si="20"/>
        <v>17500</v>
      </c>
    </row>
    <row r="34" spans="1:11" x14ac:dyDescent="0.25">
      <c r="A34" s="352" t="s">
        <v>784</v>
      </c>
      <c r="B34" s="352" t="s">
        <v>309</v>
      </c>
      <c r="C34" s="372">
        <v>5000</v>
      </c>
      <c r="D34" s="372">
        <v>5903</v>
      </c>
      <c r="E34" s="356">
        <f t="shared" si="21"/>
        <v>10903</v>
      </c>
      <c r="F34" s="372">
        <v>300</v>
      </c>
      <c r="G34" s="372"/>
      <c r="H34" s="356">
        <f t="shared" si="22"/>
        <v>300</v>
      </c>
      <c r="I34" s="372">
        <f t="shared" si="20"/>
        <v>5300</v>
      </c>
      <c r="J34" s="372">
        <f t="shared" si="20"/>
        <v>5903</v>
      </c>
      <c r="K34" s="372">
        <f t="shared" si="20"/>
        <v>11203</v>
      </c>
    </row>
    <row r="35" spans="1:11" s="368" customFormat="1" ht="31.5" x14ac:dyDescent="0.25">
      <c r="A35" s="360" t="s">
        <v>785</v>
      </c>
      <c r="B35" s="360" t="s">
        <v>309</v>
      </c>
      <c r="C35" s="361">
        <f>SUM(C31:C34)</f>
        <v>82500</v>
      </c>
      <c r="D35" s="361">
        <f t="shared" ref="D35:H35" si="23">SUM(D31:D34)</f>
        <v>5903</v>
      </c>
      <c r="E35" s="361">
        <f t="shared" si="23"/>
        <v>88403</v>
      </c>
      <c r="F35" s="361">
        <f>SUM(F31:F34)</f>
        <v>300</v>
      </c>
      <c r="G35" s="361">
        <f t="shared" si="23"/>
        <v>0</v>
      </c>
      <c r="H35" s="361">
        <f t="shared" si="23"/>
        <v>300</v>
      </c>
      <c r="I35" s="361">
        <f>SUM(I31:I34)</f>
        <v>82800</v>
      </c>
      <c r="J35" s="361">
        <f t="shared" ref="J35:K35" si="24">SUM(J31:J34)</f>
        <v>5903</v>
      </c>
      <c r="K35" s="361">
        <f t="shared" si="24"/>
        <v>88703</v>
      </c>
    </row>
    <row r="36" spans="1:11" ht="31.5" x14ac:dyDescent="0.25">
      <c r="A36" s="363" t="s">
        <v>786</v>
      </c>
      <c r="B36" s="363" t="s">
        <v>243</v>
      </c>
      <c r="C36" s="385">
        <f>SUM(C24+C30+C35)</f>
        <v>21562500</v>
      </c>
      <c r="D36" s="385">
        <f t="shared" ref="D36:K36" si="25">SUM(D24+D30+D35)</f>
        <v>5903</v>
      </c>
      <c r="E36" s="385">
        <f t="shared" si="25"/>
        <v>21568403</v>
      </c>
      <c r="F36" s="385">
        <f>SUM(F24+F30+F35)</f>
        <v>300</v>
      </c>
      <c r="G36" s="385">
        <f t="shared" si="25"/>
        <v>0</v>
      </c>
      <c r="H36" s="385">
        <f t="shared" si="25"/>
        <v>300</v>
      </c>
      <c r="I36" s="385">
        <f t="shared" si="25"/>
        <v>21562800</v>
      </c>
      <c r="J36" s="385">
        <f t="shared" si="25"/>
        <v>5903</v>
      </c>
      <c r="K36" s="385">
        <f t="shared" si="25"/>
        <v>21568703</v>
      </c>
    </row>
    <row r="37" spans="1:11" x14ac:dyDescent="0.25">
      <c r="A37" s="363" t="s">
        <v>787</v>
      </c>
      <c r="B37" s="363" t="s">
        <v>244</v>
      </c>
      <c r="C37" s="385">
        <v>2170582</v>
      </c>
      <c r="D37" s="385">
        <v>300</v>
      </c>
      <c r="E37" s="385">
        <f>SUM(C37:D37)</f>
        <v>2170882</v>
      </c>
      <c r="F37" s="385">
        <v>1458956</v>
      </c>
      <c r="G37" s="385">
        <v>11789</v>
      </c>
      <c r="H37" s="385">
        <f>SUM(F37:G37)</f>
        <v>1470745</v>
      </c>
      <c r="I37" s="385">
        <f t="shared" ref="I37:K41" si="26">SUM(C37+F37)</f>
        <v>3629538</v>
      </c>
      <c r="J37" s="385">
        <f t="shared" si="26"/>
        <v>12089</v>
      </c>
      <c r="K37" s="385">
        <f t="shared" si="26"/>
        <v>3641627</v>
      </c>
    </row>
    <row r="38" spans="1:11" x14ac:dyDescent="0.25">
      <c r="A38" s="352" t="s">
        <v>318</v>
      </c>
      <c r="B38" s="352" t="s">
        <v>310</v>
      </c>
      <c r="C38" s="356">
        <v>415354</v>
      </c>
      <c r="D38" s="356"/>
      <c r="E38" s="356">
        <f>SUM(C38:D38)</f>
        <v>415354</v>
      </c>
      <c r="F38" s="544"/>
      <c r="G38" s="545"/>
      <c r="H38" s="545">
        <f>SUM(F38:G38)</f>
        <v>0</v>
      </c>
      <c r="I38" s="357">
        <f t="shared" si="26"/>
        <v>415354</v>
      </c>
      <c r="J38" s="357">
        <f t="shared" si="26"/>
        <v>0</v>
      </c>
      <c r="K38" s="357">
        <f t="shared" si="26"/>
        <v>415354</v>
      </c>
    </row>
    <row r="39" spans="1:11" ht="31.5" x14ac:dyDescent="0.25">
      <c r="A39" s="387" t="s">
        <v>319</v>
      </c>
      <c r="B39" s="352" t="s">
        <v>320</v>
      </c>
      <c r="C39" s="372">
        <v>977701</v>
      </c>
      <c r="D39" s="372">
        <v>0</v>
      </c>
      <c r="E39" s="356">
        <f t="shared" ref="E39:E41" si="27">SUM(C39:D39)</f>
        <v>977701</v>
      </c>
      <c r="F39" s="372">
        <v>423314</v>
      </c>
      <c r="G39" s="381">
        <v>1358</v>
      </c>
      <c r="H39" s="545">
        <f t="shared" ref="H39:H41" si="28">SUM(F39:G39)</f>
        <v>424672</v>
      </c>
      <c r="I39" s="357">
        <f t="shared" si="26"/>
        <v>1401015</v>
      </c>
      <c r="J39" s="357">
        <f t="shared" si="26"/>
        <v>1358</v>
      </c>
      <c r="K39" s="357">
        <f t="shared" si="26"/>
        <v>1402373</v>
      </c>
    </row>
    <row r="40" spans="1:11" x14ac:dyDescent="0.25">
      <c r="A40" s="387" t="s">
        <v>321</v>
      </c>
      <c r="B40" s="352" t="s">
        <v>311</v>
      </c>
      <c r="C40" s="372">
        <v>102637</v>
      </c>
      <c r="D40" s="372">
        <v>3</v>
      </c>
      <c r="E40" s="356">
        <f t="shared" si="27"/>
        <v>102640</v>
      </c>
      <c r="F40" s="372"/>
      <c r="G40" s="381"/>
      <c r="H40" s="545">
        <f t="shared" si="28"/>
        <v>0</v>
      </c>
      <c r="I40" s="357">
        <f t="shared" si="26"/>
        <v>102637</v>
      </c>
      <c r="J40" s="357">
        <f t="shared" si="26"/>
        <v>3</v>
      </c>
      <c r="K40" s="357">
        <f t="shared" si="26"/>
        <v>102640</v>
      </c>
    </row>
    <row r="41" spans="1:11" ht="30.75" customHeight="1" x14ac:dyDescent="0.25">
      <c r="A41" s="388" t="s">
        <v>788</v>
      </c>
      <c r="B41" s="388" t="s">
        <v>312</v>
      </c>
      <c r="C41" s="389">
        <v>205000</v>
      </c>
      <c r="D41" s="389"/>
      <c r="E41" s="356">
        <f t="shared" si="27"/>
        <v>205000</v>
      </c>
      <c r="F41" s="389"/>
      <c r="G41" s="389"/>
      <c r="H41" s="545">
        <f t="shared" si="28"/>
        <v>0</v>
      </c>
      <c r="I41" s="357">
        <f t="shared" si="26"/>
        <v>205000</v>
      </c>
      <c r="J41" s="357">
        <f t="shared" si="26"/>
        <v>0</v>
      </c>
      <c r="K41" s="357">
        <f t="shared" si="26"/>
        <v>205000</v>
      </c>
    </row>
    <row r="42" spans="1:11" x14ac:dyDescent="0.25">
      <c r="A42" s="392" t="s">
        <v>789</v>
      </c>
      <c r="B42" s="392" t="s">
        <v>245</v>
      </c>
      <c r="C42" s="358">
        <f>SUM(C41:C41)</f>
        <v>205000</v>
      </c>
      <c r="D42" s="358">
        <f t="shared" ref="D42:H42" si="29">SUM(D41:D41)</f>
        <v>0</v>
      </c>
      <c r="E42" s="358">
        <f t="shared" si="29"/>
        <v>205000</v>
      </c>
      <c r="F42" s="358">
        <f>SUM(F41:F41)</f>
        <v>0</v>
      </c>
      <c r="G42" s="358">
        <f t="shared" si="29"/>
        <v>0</v>
      </c>
      <c r="H42" s="358">
        <f t="shared" si="29"/>
        <v>0</v>
      </c>
      <c r="I42" s="358">
        <f>SUM(I41:I41)</f>
        <v>205000</v>
      </c>
      <c r="J42" s="358">
        <f t="shared" ref="J42:K42" si="30">SUM(J41:J41)</f>
        <v>0</v>
      </c>
      <c r="K42" s="358">
        <f t="shared" si="30"/>
        <v>205000</v>
      </c>
    </row>
    <row r="43" spans="1:11" x14ac:dyDescent="0.25">
      <c r="A43" s="393" t="s">
        <v>790</v>
      </c>
      <c r="B43" s="393" t="s">
        <v>246</v>
      </c>
      <c r="C43" s="394">
        <v>403702</v>
      </c>
      <c r="D43" s="394">
        <v>0</v>
      </c>
      <c r="E43" s="394">
        <f>SUM(C43:D43)</f>
        <v>403702</v>
      </c>
      <c r="F43" s="394">
        <v>1192</v>
      </c>
      <c r="G43" s="394">
        <v>588</v>
      </c>
      <c r="H43" s="394">
        <f>SUM(F43:G43)</f>
        <v>1780</v>
      </c>
      <c r="I43" s="358">
        <f>SUM(C43+F43)</f>
        <v>404894</v>
      </c>
      <c r="J43" s="358">
        <f t="shared" ref="J43:K44" si="31">SUM(D43+G43)</f>
        <v>588</v>
      </c>
      <c r="K43" s="358">
        <f t="shared" si="31"/>
        <v>405482</v>
      </c>
    </row>
    <row r="44" spans="1:11" ht="16.5" thickBot="1" x14ac:dyDescent="0.3">
      <c r="A44" s="369" t="s">
        <v>791</v>
      </c>
      <c r="B44" s="369" t="s">
        <v>247</v>
      </c>
      <c r="C44" s="397">
        <v>345183</v>
      </c>
      <c r="D44" s="397">
        <v>0</v>
      </c>
      <c r="E44" s="394">
        <f>SUM(C44:D44)</f>
        <v>345183</v>
      </c>
      <c r="F44" s="397">
        <v>0</v>
      </c>
      <c r="G44" s="397"/>
      <c r="H44" s="394">
        <f>SUM(F44:G44)</f>
        <v>0</v>
      </c>
      <c r="I44" s="370">
        <f>SUM(C44+F44)</f>
        <v>345183</v>
      </c>
      <c r="J44" s="370">
        <f t="shared" si="31"/>
        <v>0</v>
      </c>
      <c r="K44" s="370">
        <f t="shared" si="31"/>
        <v>345183</v>
      </c>
    </row>
    <row r="45" spans="1:11" ht="33" thickTop="1" thickBot="1" x14ac:dyDescent="0.3">
      <c r="A45" s="401" t="s">
        <v>793</v>
      </c>
      <c r="B45" s="401"/>
      <c r="C45" s="402">
        <f t="shared" ref="C45:K45" si="32">SUM(C43+C37+C36+C19)</f>
        <v>29077149</v>
      </c>
      <c r="D45" s="402">
        <f t="shared" si="32"/>
        <v>136684</v>
      </c>
      <c r="E45" s="402">
        <f t="shared" si="32"/>
        <v>29213833</v>
      </c>
      <c r="F45" s="402">
        <f t="shared" si="32"/>
        <v>2668425</v>
      </c>
      <c r="G45" s="402">
        <f t="shared" si="32"/>
        <v>200796</v>
      </c>
      <c r="H45" s="402">
        <f t="shared" si="32"/>
        <v>2869221</v>
      </c>
      <c r="I45" s="402">
        <f t="shared" si="32"/>
        <v>31745574</v>
      </c>
      <c r="J45" s="402">
        <f t="shared" si="32"/>
        <v>337480</v>
      </c>
      <c r="K45" s="402">
        <f t="shared" si="32"/>
        <v>32083054</v>
      </c>
    </row>
    <row r="46" spans="1:11" ht="33" thickTop="1" thickBot="1" x14ac:dyDescent="0.3">
      <c r="A46" s="401" t="s">
        <v>794</v>
      </c>
      <c r="B46" s="401"/>
      <c r="C46" s="402">
        <f t="shared" ref="C46:K46" si="33">SUM(C22+C44+C42)</f>
        <v>17085465</v>
      </c>
      <c r="D46" s="402">
        <f t="shared" si="33"/>
        <v>195250</v>
      </c>
      <c r="E46" s="402">
        <f t="shared" si="33"/>
        <v>17280715</v>
      </c>
      <c r="F46" s="402">
        <f t="shared" si="33"/>
        <v>0</v>
      </c>
      <c r="G46" s="402">
        <f t="shared" si="33"/>
        <v>0</v>
      </c>
      <c r="H46" s="402">
        <f t="shared" si="33"/>
        <v>0</v>
      </c>
      <c r="I46" s="402">
        <f t="shared" si="33"/>
        <v>17085465</v>
      </c>
      <c r="J46" s="402">
        <f t="shared" si="33"/>
        <v>195250</v>
      </c>
      <c r="K46" s="402">
        <f t="shared" si="33"/>
        <v>17280715</v>
      </c>
    </row>
    <row r="47" spans="1:11" ht="33" thickTop="1" thickBot="1" x14ac:dyDescent="0.3">
      <c r="A47" s="401" t="s">
        <v>792</v>
      </c>
      <c r="B47" s="401" t="s">
        <v>444</v>
      </c>
      <c r="C47" s="403">
        <f>SUM(C45+C46)</f>
        <v>46162614</v>
      </c>
      <c r="D47" s="403">
        <f t="shared" ref="D47:H47" si="34">SUM(D45+D46)</f>
        <v>331934</v>
      </c>
      <c r="E47" s="403">
        <f t="shared" si="34"/>
        <v>46494548</v>
      </c>
      <c r="F47" s="403">
        <f t="shared" si="34"/>
        <v>2668425</v>
      </c>
      <c r="G47" s="403">
        <f t="shared" si="34"/>
        <v>200796</v>
      </c>
      <c r="H47" s="403">
        <f t="shared" si="34"/>
        <v>2869221</v>
      </c>
      <c r="I47" s="403">
        <f>SUM(I45+I46)</f>
        <v>48831039</v>
      </c>
      <c r="J47" s="403">
        <f t="shared" ref="J47:K47" si="35">SUM(J45+J46)</f>
        <v>532730</v>
      </c>
      <c r="K47" s="403">
        <f t="shared" si="35"/>
        <v>49363769</v>
      </c>
    </row>
    <row r="48" spans="1:11" ht="15.75" customHeight="1" thickTop="1" thickBot="1" x14ac:dyDescent="0.3">
      <c r="A48" s="546"/>
      <c r="B48" s="547"/>
      <c r="C48" s="548"/>
      <c r="D48" s="548"/>
      <c r="E48" s="548"/>
      <c r="F48" s="548"/>
      <c r="G48" s="548"/>
      <c r="H48" s="548"/>
      <c r="I48" s="474"/>
      <c r="J48" s="474"/>
      <c r="K48" s="474"/>
    </row>
    <row r="49" spans="1:13" ht="32.25" thickTop="1" x14ac:dyDescent="0.25">
      <c r="A49" s="409" t="s">
        <v>491</v>
      </c>
      <c r="B49" s="409"/>
      <c r="C49" s="549">
        <f>SUM(C50-C51)</f>
        <v>-8227042</v>
      </c>
      <c r="D49" s="550">
        <f t="shared" ref="D49:H49" si="36">SUM(D50-D51)</f>
        <v>152861</v>
      </c>
      <c r="E49" s="549">
        <f t="shared" si="36"/>
        <v>-8074181</v>
      </c>
      <c r="F49" s="551">
        <f t="shared" si="36"/>
        <v>-12480112</v>
      </c>
      <c r="G49" s="550">
        <f t="shared" si="36"/>
        <v>-152861</v>
      </c>
      <c r="H49" s="552">
        <f t="shared" si="36"/>
        <v>-12632973</v>
      </c>
      <c r="I49" s="553">
        <f>SUM(I50-I51)</f>
        <v>-20707154</v>
      </c>
      <c r="J49" s="552">
        <f t="shared" ref="J49:K49" si="37">SUM(J50-J51)</f>
        <v>0</v>
      </c>
      <c r="K49" s="552">
        <f t="shared" si="37"/>
        <v>-20707154</v>
      </c>
    </row>
    <row r="50" spans="1:13" s="362" customFormat="1" x14ac:dyDescent="0.25">
      <c r="A50" s="418" t="s">
        <v>342</v>
      </c>
      <c r="B50" s="418" t="s">
        <v>444</v>
      </c>
      <c r="C50" s="554">
        <f>SUM(C47)</f>
        <v>46162614</v>
      </c>
      <c r="D50" s="555">
        <f t="shared" ref="D50:H50" si="38">SUM(D47)</f>
        <v>331934</v>
      </c>
      <c r="E50" s="556">
        <f t="shared" si="38"/>
        <v>46494548</v>
      </c>
      <c r="F50" s="554">
        <f t="shared" si="38"/>
        <v>2668425</v>
      </c>
      <c r="G50" s="555">
        <f t="shared" si="38"/>
        <v>200796</v>
      </c>
      <c r="H50" s="556">
        <f t="shared" si="38"/>
        <v>2869221</v>
      </c>
      <c r="I50" s="557">
        <f>SUM(I47)</f>
        <v>48831039</v>
      </c>
      <c r="J50" s="556">
        <f t="shared" ref="J50:K50" si="39">SUM(J47)</f>
        <v>532730</v>
      </c>
      <c r="K50" s="556">
        <f t="shared" si="39"/>
        <v>49363769</v>
      </c>
    </row>
    <row r="51" spans="1:13" s="362" customFormat="1" x14ac:dyDescent="0.25">
      <c r="A51" s="418" t="s">
        <v>343</v>
      </c>
      <c r="B51" s="418" t="s">
        <v>440</v>
      </c>
      <c r="C51" s="558">
        <f>'[5]4 kiadás(szűkített)'!C22</f>
        <v>54389656</v>
      </c>
      <c r="D51" s="459">
        <f>'[5]4 kiadás(szűkített)'!D22</f>
        <v>179073</v>
      </c>
      <c r="E51" s="464">
        <f>'[5]4 kiadás(szűkített)'!E22</f>
        <v>54568729</v>
      </c>
      <c r="F51" s="559">
        <f>'[5]4 kiadás(szűkített)'!F22</f>
        <v>15148537</v>
      </c>
      <c r="G51" s="459">
        <f>'[5]4 kiadás(szűkített)'!G22</f>
        <v>353657</v>
      </c>
      <c r="H51" s="464">
        <f>'[5]4 kiadás(szűkített)'!H22</f>
        <v>15502194</v>
      </c>
      <c r="I51" s="560">
        <f>SUM(C51+F51)</f>
        <v>69538193</v>
      </c>
      <c r="J51" s="464">
        <f>SUM(D51+G51)</f>
        <v>532730</v>
      </c>
      <c r="K51" s="464">
        <f>SUM(E51+H51)</f>
        <v>70070923</v>
      </c>
    </row>
    <row r="52" spans="1:13" s="362" customFormat="1" x14ac:dyDescent="0.25">
      <c r="A52" s="418"/>
      <c r="B52" s="418"/>
      <c r="C52" s="559"/>
      <c r="D52" s="459"/>
      <c r="E52" s="464"/>
      <c r="F52" s="559"/>
      <c r="G52" s="561"/>
      <c r="H52" s="464"/>
      <c r="I52" s="560"/>
      <c r="J52" s="464"/>
      <c r="K52" s="464"/>
    </row>
    <row r="53" spans="1:13" x14ac:dyDescent="0.25">
      <c r="A53" s="432" t="s">
        <v>815</v>
      </c>
      <c r="B53" s="432"/>
      <c r="C53" s="436">
        <f>SUM(C59-C60)</f>
        <v>8227042</v>
      </c>
      <c r="D53" s="562">
        <f t="shared" ref="D53:K53" si="40">SUM(D59-D60)</f>
        <v>-152861</v>
      </c>
      <c r="E53" s="563">
        <f t="shared" si="40"/>
        <v>8074181</v>
      </c>
      <c r="F53" s="562">
        <f t="shared" si="40"/>
        <v>12480112</v>
      </c>
      <c r="G53" s="564">
        <f t="shared" si="40"/>
        <v>152861</v>
      </c>
      <c r="H53" s="565">
        <f t="shared" si="40"/>
        <v>12632973</v>
      </c>
      <c r="I53" s="563">
        <f t="shared" si="40"/>
        <v>20707154</v>
      </c>
      <c r="J53" s="563">
        <f t="shared" si="40"/>
        <v>0</v>
      </c>
      <c r="K53" s="563">
        <f t="shared" si="40"/>
        <v>20707154</v>
      </c>
    </row>
    <row r="54" spans="1:13" ht="31.5" x14ac:dyDescent="0.25">
      <c r="A54" s="444" t="s">
        <v>262</v>
      </c>
      <c r="B54" s="444"/>
      <c r="C54" s="448">
        <v>4506775</v>
      </c>
      <c r="D54" s="446"/>
      <c r="E54" s="447">
        <f>SUM(C54:D54)</f>
        <v>4506775</v>
      </c>
      <c r="F54" s="450">
        <v>765684</v>
      </c>
      <c r="G54" s="566"/>
      <c r="H54" s="447">
        <f>SUM(F54:G54)</f>
        <v>765684</v>
      </c>
      <c r="I54" s="427">
        <f>SUM(C54)+F54</f>
        <v>5272459</v>
      </c>
      <c r="J54" s="447">
        <f t="shared" ref="J54:K56" si="41">SUM(D54+G54)</f>
        <v>0</v>
      </c>
      <c r="K54" s="447">
        <f t="shared" si="41"/>
        <v>5272459</v>
      </c>
      <c r="M54" s="567"/>
    </row>
    <row r="55" spans="1:13" ht="31.5" x14ac:dyDescent="0.25">
      <c r="A55" s="444" t="s">
        <v>248</v>
      </c>
      <c r="B55" s="444"/>
      <c r="C55" s="448">
        <v>12969693</v>
      </c>
      <c r="D55" s="446"/>
      <c r="E55" s="447">
        <f>SUM(C55:D55)</f>
        <v>12969693</v>
      </c>
      <c r="F55" s="450"/>
      <c r="G55" s="566"/>
      <c r="H55" s="447">
        <f>SUM(F55:G55)</f>
        <v>0</v>
      </c>
      <c r="I55" s="427">
        <f>SUM(C55)+F55</f>
        <v>12969693</v>
      </c>
      <c r="J55" s="447">
        <f t="shared" si="41"/>
        <v>0</v>
      </c>
      <c r="K55" s="447">
        <f t="shared" si="41"/>
        <v>12969693</v>
      </c>
    </row>
    <row r="56" spans="1:13" x14ac:dyDescent="0.25">
      <c r="A56" s="444" t="s">
        <v>249</v>
      </c>
      <c r="B56" s="444" t="s">
        <v>322</v>
      </c>
      <c r="C56" s="448">
        <f t="shared" ref="C56:H56" si="42">SUM(C54:C55)</f>
        <v>17476468</v>
      </c>
      <c r="D56" s="446">
        <f t="shared" si="42"/>
        <v>0</v>
      </c>
      <c r="E56" s="447">
        <f t="shared" si="42"/>
        <v>17476468</v>
      </c>
      <c r="F56" s="450">
        <f t="shared" si="42"/>
        <v>765684</v>
      </c>
      <c r="G56" s="566">
        <f t="shared" si="42"/>
        <v>0</v>
      </c>
      <c r="H56" s="447">
        <f t="shared" si="42"/>
        <v>765684</v>
      </c>
      <c r="I56" s="427">
        <f>SUM(C56+F56)</f>
        <v>18242152</v>
      </c>
      <c r="J56" s="447">
        <f t="shared" si="41"/>
        <v>0</v>
      </c>
      <c r="K56" s="447">
        <f t="shared" si="41"/>
        <v>18242152</v>
      </c>
      <c r="M56" s="567"/>
    </row>
    <row r="57" spans="1:13" x14ac:dyDescent="0.25">
      <c r="A57" s="451" t="s">
        <v>492</v>
      </c>
      <c r="B57" s="451" t="s">
        <v>493</v>
      </c>
      <c r="C57" s="568"/>
      <c r="D57" s="569"/>
      <c r="E57" s="570"/>
      <c r="F57" s="571">
        <v>11714428</v>
      </c>
      <c r="G57" s="572">
        <v>152861</v>
      </c>
      <c r="H57" s="570">
        <f>SUM(F57:G57)</f>
        <v>11867289</v>
      </c>
      <c r="I57" s="573">
        <f t="shared" ref="I57:K58" si="43">SUM(C57+F57)</f>
        <v>11714428</v>
      </c>
      <c r="J57" s="570">
        <f t="shared" si="43"/>
        <v>152861</v>
      </c>
      <c r="K57" s="570">
        <f t="shared" si="43"/>
        <v>11867289</v>
      </c>
    </row>
    <row r="58" spans="1:13" ht="31.5" x14ac:dyDescent="0.25">
      <c r="A58" s="451" t="s">
        <v>1009</v>
      </c>
      <c r="B58" s="451" t="s">
        <v>582</v>
      </c>
      <c r="C58" s="568">
        <v>5305492</v>
      </c>
      <c r="D58" s="569"/>
      <c r="E58" s="570">
        <f>SUM(C58:D58)</f>
        <v>5305492</v>
      </c>
      <c r="F58" s="571"/>
      <c r="G58" s="572"/>
      <c r="H58" s="570"/>
      <c r="I58" s="573">
        <f t="shared" si="43"/>
        <v>5305492</v>
      </c>
      <c r="J58" s="570">
        <f t="shared" si="43"/>
        <v>0</v>
      </c>
      <c r="K58" s="570">
        <f t="shared" si="43"/>
        <v>5305492</v>
      </c>
    </row>
    <row r="59" spans="1:13" s="362" customFormat="1" ht="31.5" x14ac:dyDescent="0.25">
      <c r="A59" s="454" t="s">
        <v>795</v>
      </c>
      <c r="B59" s="454" t="s">
        <v>250</v>
      </c>
      <c r="C59" s="574">
        <f>SUM(C56+C57+C58)</f>
        <v>22781960</v>
      </c>
      <c r="D59" s="575">
        <f>SUM(D56:D58)</f>
        <v>0</v>
      </c>
      <c r="E59" s="576">
        <f>SUM(E56:E58)</f>
        <v>22781960</v>
      </c>
      <c r="F59" s="577">
        <f>SUM(F56+F57)</f>
        <v>12480112</v>
      </c>
      <c r="G59" s="578">
        <f>SUM(G56:G57)</f>
        <v>152861</v>
      </c>
      <c r="H59" s="576">
        <f>SUM(H56:H57)</f>
        <v>12632973</v>
      </c>
      <c r="I59" s="579">
        <f>SUM(I56+I57+I58)</f>
        <v>35262072</v>
      </c>
      <c r="J59" s="579">
        <f t="shared" ref="J59:K59" si="44">SUM(J56+J57+J58)</f>
        <v>152861</v>
      </c>
      <c r="K59" s="579">
        <f t="shared" si="44"/>
        <v>35414933</v>
      </c>
    </row>
    <row r="60" spans="1:13" s="362" customFormat="1" x14ac:dyDescent="0.25">
      <c r="A60" s="454" t="s">
        <v>796</v>
      </c>
      <c r="B60" s="454" t="s">
        <v>317</v>
      </c>
      <c r="C60" s="574">
        <f>'[5]4 kiadás(szűkített)'!C26</f>
        <v>14554918</v>
      </c>
      <c r="D60" s="575">
        <f>'[5]4 kiadás(szűkített)'!D26</f>
        <v>152861</v>
      </c>
      <c r="E60" s="556">
        <f>'[5]4 kiadás(szűkített)'!E26</f>
        <v>14707779</v>
      </c>
      <c r="F60" s="554">
        <f>'[5]4 kiadás(szűkített)'!F26</f>
        <v>0</v>
      </c>
      <c r="G60" s="555">
        <f>'[5]4 kiadás(szűkített)'!G26</f>
        <v>0</v>
      </c>
      <c r="H60" s="556">
        <f>'[5]4 kiadás(szűkített)'!H26</f>
        <v>0</v>
      </c>
      <c r="I60" s="557">
        <f>SUM(C60+F60)</f>
        <v>14554918</v>
      </c>
      <c r="J60" s="556">
        <f>SUM(D60+G60)</f>
        <v>152861</v>
      </c>
      <c r="K60" s="556">
        <f t="shared" ref="K60" si="45">SUM(E60:H60)</f>
        <v>14707779</v>
      </c>
    </row>
    <row r="61" spans="1:13" s="473" customFormat="1" ht="16.5" thickBot="1" x14ac:dyDescent="0.3">
      <c r="A61" s="465" t="s">
        <v>651</v>
      </c>
      <c r="B61" s="465"/>
      <c r="C61" s="471">
        <f>SUM(C49+C53)</f>
        <v>0</v>
      </c>
      <c r="D61" s="467">
        <f t="shared" ref="D61:K61" si="46">SUM(D49+D53)</f>
        <v>0</v>
      </c>
      <c r="E61" s="469">
        <f t="shared" si="46"/>
        <v>0</v>
      </c>
      <c r="F61" s="471">
        <f t="shared" si="46"/>
        <v>0</v>
      </c>
      <c r="G61" s="467">
        <f t="shared" si="46"/>
        <v>0</v>
      </c>
      <c r="H61" s="469">
        <f t="shared" si="46"/>
        <v>0</v>
      </c>
      <c r="I61" s="471">
        <f t="shared" si="46"/>
        <v>0</v>
      </c>
      <c r="J61" s="471">
        <f t="shared" si="46"/>
        <v>0</v>
      </c>
      <c r="K61" s="465">
        <f t="shared" si="46"/>
        <v>0</v>
      </c>
    </row>
    <row r="62" spans="1:13" s="473" customFormat="1" ht="16.5" thickTop="1" x14ac:dyDescent="0.25"/>
    <row r="63" spans="1:13" s="473" customFormat="1" x14ac:dyDescent="0.25"/>
    <row r="64" spans="1:13" s="473" customFormat="1" x14ac:dyDescent="0.25"/>
    <row r="65" spans="1:11" s="473" customFormat="1" x14ac:dyDescent="0.25"/>
    <row r="66" spans="1:11" s="475" customFormat="1" x14ac:dyDescent="0.25">
      <c r="A66" s="474"/>
      <c r="B66" s="474"/>
      <c r="C66" s="473"/>
      <c r="D66" s="473"/>
      <c r="E66" s="473"/>
      <c r="F66" s="473"/>
      <c r="G66" s="473"/>
      <c r="H66" s="473"/>
      <c r="I66" s="473"/>
      <c r="J66" s="473"/>
      <c r="K66" s="473"/>
    </row>
    <row r="67" spans="1:11" s="475" customFormat="1" x14ac:dyDescent="0.25">
      <c r="A67" s="476"/>
      <c r="B67" s="476"/>
      <c r="C67" s="473"/>
      <c r="D67" s="473"/>
      <c r="E67" s="473"/>
      <c r="F67" s="473"/>
      <c r="G67" s="473"/>
      <c r="H67" s="473"/>
      <c r="I67" s="473"/>
      <c r="J67" s="473"/>
      <c r="K67" s="473"/>
    </row>
    <row r="68" spans="1:11" s="475" customFormat="1" x14ac:dyDescent="0.25">
      <c r="A68" s="477"/>
      <c r="B68" s="477"/>
    </row>
    <row r="69" spans="1:11" s="475" customFormat="1" x14ac:dyDescent="0.25"/>
    <row r="70" spans="1:11" s="475" customFormat="1" x14ac:dyDescent="0.25">
      <c r="A70" s="478"/>
      <c r="B70" s="478"/>
    </row>
    <row r="71" spans="1:11" s="475" customFormat="1" x14ac:dyDescent="0.25">
      <c r="A71" s="477"/>
      <c r="B71" s="477"/>
    </row>
    <row r="72" spans="1:11" s="475" customFormat="1" x14ac:dyDescent="0.25"/>
    <row r="73" spans="1:11" s="475" customFormat="1" x14ac:dyDescent="0.25"/>
    <row r="74" spans="1:11" s="475" customFormat="1" x14ac:dyDescent="0.25">
      <c r="A74" s="477"/>
      <c r="B74" s="477"/>
    </row>
    <row r="75" spans="1:11" s="475" customFormat="1" x14ac:dyDescent="0.25"/>
    <row r="76" spans="1:11" s="475" customFormat="1" x14ac:dyDescent="0.25"/>
    <row r="77" spans="1:11" s="475" customFormat="1" x14ac:dyDescent="0.25"/>
    <row r="78" spans="1:11" s="475" customFormat="1" x14ac:dyDescent="0.25"/>
    <row r="79" spans="1:11" s="475" customFormat="1" x14ac:dyDescent="0.25">
      <c r="A79" s="477"/>
      <c r="B79" s="477"/>
    </row>
    <row r="80" spans="1:11" s="475" customFormat="1" x14ac:dyDescent="0.25"/>
    <row r="81" spans="1:11" s="475" customFormat="1" x14ac:dyDescent="0.25"/>
    <row r="82" spans="1:11" s="475" customFormat="1" x14ac:dyDescent="0.25"/>
    <row r="83" spans="1:11" s="475" customFormat="1" x14ac:dyDescent="0.25"/>
    <row r="84" spans="1:11" s="475" customFormat="1" x14ac:dyDescent="0.25"/>
    <row r="85" spans="1:11" x14ac:dyDescent="0.25">
      <c r="A85" s="475"/>
      <c r="B85" s="475"/>
      <c r="C85" s="475"/>
      <c r="D85" s="475"/>
      <c r="E85" s="475"/>
      <c r="F85" s="475"/>
      <c r="G85" s="475"/>
      <c r="H85" s="475"/>
      <c r="I85" s="475"/>
      <c r="J85" s="475"/>
      <c r="K85" s="475"/>
    </row>
    <row r="86" spans="1:11" x14ac:dyDescent="0.25">
      <c r="A86" s="475"/>
      <c r="B86" s="475"/>
      <c r="C86" s="475"/>
      <c r="D86" s="475"/>
      <c r="E86" s="475"/>
      <c r="F86" s="475"/>
      <c r="G86" s="475"/>
      <c r="H86" s="475"/>
      <c r="I86" s="475"/>
      <c r="J86" s="475"/>
      <c r="K86" s="475"/>
    </row>
  </sheetData>
  <mergeCells count="8">
    <mergeCell ref="A1:K1"/>
    <mergeCell ref="A2:K2"/>
    <mergeCell ref="A3:K3"/>
    <mergeCell ref="A6:A7"/>
    <mergeCell ref="B6:B7"/>
    <mergeCell ref="C6:E6"/>
    <mergeCell ref="F6:H6"/>
    <mergeCell ref="I6:K6"/>
  </mergeCells>
  <printOptions horizontalCentered="1"/>
  <pageMargins left="0.51181102362204722" right="0.51181102362204722" top="0.47244094488188981" bottom="0.74803149606299213" header="0.31496062992125984" footer="0.31496062992125984"/>
  <pageSetup paperSize="9" scale="68" orientation="landscape" r:id="rId1"/>
  <headerFooter>
    <oddHeader>&amp;R&amp;"Times New Roman CE,Dőlt"&amp;10 3. melléklet
az 5/2019.(II.15.) önkormányzati rendelethez&amp;X3</oddHeader>
    <oddFooter>&amp;L&amp;X3&amp;X Módosította a  28/2019.(XII.13.) önkormányzati rendelet 8.§ (3) bekezdése, hatályos 2019. december 16-tól.</oddFooter>
  </headerFooter>
  <rowBreaks count="2" manualBreakCount="2">
    <brk id="25" max="16383" man="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EB611-DE14-44DF-A6FB-6BB13F0B4EDA}">
  <sheetPr>
    <tabColor theme="7" tint="0.39997558519241921"/>
  </sheetPr>
  <dimension ref="A1:IT38"/>
  <sheetViews>
    <sheetView zoomScaleNormal="100" zoomScaleSheetLayoutView="90" workbookViewId="0">
      <pane xSplit="2" ySplit="8" topLeftCell="D9" activePane="bottomRight" state="frozen"/>
      <selection pane="topRight" activeCell="C1" sqref="C1"/>
      <selection pane="bottomLeft" activeCell="A9" sqref="A9"/>
      <selection pane="bottomRight" sqref="A1:K1"/>
    </sheetView>
  </sheetViews>
  <sheetFormatPr defaultRowHeight="15.75" x14ac:dyDescent="0.25"/>
  <cols>
    <col min="1" max="1" width="35.75" style="48" customWidth="1"/>
    <col min="2" max="2" width="11" style="48" customWidth="1"/>
    <col min="3" max="3" width="14.75" style="55" customWidth="1"/>
    <col min="4" max="4" width="14.5" style="55" customWidth="1"/>
    <col min="5" max="5" width="15" style="55" customWidth="1"/>
    <col min="6" max="6" width="14.375" style="55" customWidth="1"/>
    <col min="7" max="7" width="14.25" style="55" customWidth="1"/>
    <col min="8" max="8" width="14.625" style="55" customWidth="1"/>
    <col min="9" max="9" width="14.75" style="55" customWidth="1"/>
    <col min="10" max="10" width="14.375" style="55" customWidth="1"/>
    <col min="11" max="11" width="14.75" style="55" customWidth="1"/>
    <col min="12" max="254" width="9" style="48"/>
  </cols>
  <sheetData>
    <row r="1" spans="1:254" x14ac:dyDescent="0.25">
      <c r="A1" s="1033" t="s">
        <v>289</v>
      </c>
      <c r="B1" s="1033"/>
      <c r="C1" s="1033"/>
      <c r="D1" s="1033"/>
      <c r="E1" s="1033"/>
      <c r="F1" s="1033"/>
      <c r="G1" s="1033"/>
      <c r="H1" s="1033"/>
      <c r="I1" s="1033"/>
      <c r="J1" s="1033"/>
      <c r="K1" s="1033"/>
    </row>
    <row r="2" spans="1:254" x14ac:dyDescent="0.25">
      <c r="A2" s="1033" t="s">
        <v>808</v>
      </c>
      <c r="B2" s="1033"/>
      <c r="C2" s="1033"/>
      <c r="D2" s="1033"/>
      <c r="E2" s="1033"/>
      <c r="F2" s="1033"/>
      <c r="G2" s="1033"/>
      <c r="H2" s="1033"/>
      <c r="I2" s="1033"/>
      <c r="J2" s="1033"/>
      <c r="K2" s="1033"/>
    </row>
    <row r="3" spans="1:254" x14ac:dyDescent="0.25">
      <c r="A3" s="1033" t="s">
        <v>1228</v>
      </c>
      <c r="B3" s="1033"/>
      <c r="C3" s="1033"/>
      <c r="D3" s="1033"/>
      <c r="E3" s="1033"/>
      <c r="F3" s="1033"/>
      <c r="G3" s="1033"/>
      <c r="H3" s="1033"/>
      <c r="I3" s="1033"/>
      <c r="J3" s="1033"/>
      <c r="K3" s="1033"/>
    </row>
    <row r="5" spans="1:254" ht="16.5" thickBot="1" x14ac:dyDescent="0.3"/>
    <row r="6" spans="1:254" ht="46.5" customHeight="1" thickTop="1" thickBot="1" x14ac:dyDescent="0.3">
      <c r="A6" s="1041" t="s">
        <v>165</v>
      </c>
      <c r="B6" s="1041" t="s">
        <v>230</v>
      </c>
      <c r="C6" s="1025" t="s">
        <v>26</v>
      </c>
      <c r="D6" s="1026"/>
      <c r="E6" s="1027"/>
      <c r="F6" s="1035" t="s">
        <v>290</v>
      </c>
      <c r="G6" s="1036"/>
      <c r="H6" s="1037"/>
      <c r="I6" s="1043" t="s">
        <v>181</v>
      </c>
      <c r="J6" s="1044"/>
      <c r="K6" s="1045"/>
      <c r="L6" s="482"/>
      <c r="M6" s="482"/>
      <c r="N6" s="482"/>
      <c r="O6" s="482"/>
      <c r="P6" s="482"/>
      <c r="Q6" s="482"/>
      <c r="R6" s="482"/>
      <c r="S6" s="482"/>
      <c r="T6" s="482"/>
      <c r="U6" s="482"/>
      <c r="V6" s="482"/>
      <c r="W6" s="482"/>
      <c r="X6" s="482"/>
      <c r="Y6" s="482"/>
      <c r="Z6" s="482"/>
      <c r="AA6" s="482"/>
      <c r="AB6" s="482"/>
      <c r="AC6" s="482"/>
      <c r="AD6" s="482"/>
      <c r="AE6" s="482"/>
      <c r="AF6" s="482"/>
      <c r="AG6" s="482"/>
      <c r="AH6" s="482"/>
      <c r="AI6" s="482"/>
      <c r="AJ6" s="482"/>
      <c r="AK6" s="482"/>
      <c r="AL6" s="482"/>
      <c r="AM6" s="482"/>
      <c r="AN6" s="482"/>
      <c r="AO6" s="482"/>
      <c r="AP6" s="482"/>
      <c r="AQ6" s="482"/>
      <c r="AR6" s="482"/>
      <c r="AS6" s="482"/>
      <c r="AT6" s="482"/>
      <c r="AU6" s="482"/>
      <c r="AV6" s="482"/>
      <c r="AW6" s="482"/>
      <c r="AX6" s="482"/>
      <c r="AY6" s="482"/>
      <c r="AZ6" s="482"/>
      <c r="BA6" s="482"/>
      <c r="BB6" s="482"/>
      <c r="BC6" s="482"/>
      <c r="BD6" s="482"/>
      <c r="BE6" s="482"/>
      <c r="BF6" s="482"/>
      <c r="BG6" s="482"/>
      <c r="BH6" s="482"/>
      <c r="BI6" s="482"/>
      <c r="BJ6" s="482"/>
      <c r="BK6" s="482"/>
      <c r="BL6" s="482"/>
      <c r="BM6" s="482"/>
      <c r="BN6" s="482"/>
      <c r="BO6" s="482"/>
      <c r="BP6" s="482"/>
      <c r="BQ6" s="482"/>
      <c r="BR6" s="482"/>
      <c r="BS6" s="482"/>
      <c r="BT6" s="482"/>
      <c r="BU6" s="482"/>
      <c r="BV6" s="482"/>
      <c r="BW6" s="482"/>
      <c r="BX6" s="482"/>
      <c r="BY6" s="482"/>
      <c r="BZ6" s="482"/>
      <c r="CA6" s="482"/>
      <c r="CB6" s="482"/>
      <c r="CC6" s="482"/>
      <c r="CD6" s="482"/>
      <c r="CE6" s="482"/>
      <c r="CF6" s="482"/>
      <c r="CG6" s="482"/>
      <c r="CH6" s="482"/>
      <c r="CI6" s="482"/>
      <c r="CJ6" s="482"/>
      <c r="CK6" s="482"/>
      <c r="CL6" s="482"/>
      <c r="CM6" s="482"/>
      <c r="CN6" s="482"/>
      <c r="CO6" s="482"/>
      <c r="CP6" s="482"/>
      <c r="CQ6" s="482"/>
      <c r="CR6" s="482"/>
      <c r="CS6" s="482"/>
      <c r="CT6" s="482"/>
      <c r="CU6" s="482"/>
      <c r="CV6" s="482"/>
      <c r="CW6" s="482"/>
      <c r="CX6" s="482"/>
      <c r="CY6" s="482"/>
      <c r="CZ6" s="482"/>
      <c r="DA6" s="482"/>
      <c r="DB6" s="482"/>
      <c r="DC6" s="482"/>
      <c r="DD6" s="482"/>
      <c r="DE6" s="482"/>
      <c r="DF6" s="482"/>
      <c r="DG6" s="482"/>
      <c r="DH6" s="482"/>
      <c r="DI6" s="482"/>
      <c r="DJ6" s="482"/>
      <c r="DK6" s="482"/>
      <c r="DL6" s="482"/>
      <c r="DM6" s="482"/>
      <c r="DN6" s="482"/>
      <c r="DO6" s="482"/>
      <c r="DP6" s="482"/>
      <c r="DQ6" s="482"/>
      <c r="DR6" s="482"/>
      <c r="DS6" s="482"/>
      <c r="DT6" s="482"/>
      <c r="DU6" s="482"/>
      <c r="DV6" s="482"/>
      <c r="DW6" s="482"/>
      <c r="DX6" s="482"/>
      <c r="DY6" s="482"/>
      <c r="DZ6" s="482"/>
      <c r="EA6" s="482"/>
      <c r="EB6" s="482"/>
      <c r="EC6" s="482"/>
      <c r="ED6" s="482"/>
      <c r="EE6" s="482"/>
      <c r="EF6" s="482"/>
      <c r="EG6" s="482"/>
      <c r="EH6" s="482"/>
      <c r="EI6" s="482"/>
      <c r="EJ6" s="482"/>
      <c r="EK6" s="482"/>
      <c r="EL6" s="482"/>
      <c r="EM6" s="482"/>
      <c r="EN6" s="482"/>
      <c r="EO6" s="482"/>
      <c r="EP6" s="482"/>
      <c r="EQ6" s="482"/>
      <c r="ER6" s="482"/>
      <c r="ES6" s="482"/>
      <c r="ET6" s="482"/>
      <c r="EU6" s="482"/>
      <c r="EV6" s="482"/>
      <c r="EW6" s="482"/>
      <c r="EX6" s="482"/>
      <c r="EY6" s="482"/>
      <c r="EZ6" s="482"/>
      <c r="FA6" s="482"/>
      <c r="FB6" s="482"/>
      <c r="FC6" s="482"/>
      <c r="FD6" s="482"/>
      <c r="FE6" s="482"/>
      <c r="FF6" s="482"/>
      <c r="FG6" s="482"/>
      <c r="FH6" s="482"/>
      <c r="FI6" s="482"/>
      <c r="FJ6" s="482"/>
      <c r="FK6" s="482"/>
      <c r="FL6" s="482"/>
      <c r="FM6" s="482"/>
      <c r="FN6" s="482"/>
      <c r="FO6" s="482"/>
      <c r="FP6" s="482"/>
      <c r="FQ6" s="482"/>
      <c r="FR6" s="482"/>
      <c r="FS6" s="482"/>
      <c r="FT6" s="482"/>
      <c r="FU6" s="482"/>
      <c r="FV6" s="482"/>
      <c r="FW6" s="482"/>
      <c r="FX6" s="482"/>
      <c r="FY6" s="482"/>
      <c r="FZ6" s="482"/>
      <c r="GA6" s="482"/>
      <c r="GB6" s="482"/>
      <c r="GC6" s="482"/>
      <c r="GD6" s="482"/>
      <c r="GE6" s="482"/>
      <c r="GF6" s="482"/>
      <c r="GG6" s="482"/>
      <c r="GH6" s="482"/>
      <c r="GI6" s="482"/>
      <c r="GJ6" s="482"/>
      <c r="GK6" s="482"/>
      <c r="GL6" s="482"/>
      <c r="GM6" s="482"/>
      <c r="GN6" s="482"/>
      <c r="GO6" s="482"/>
      <c r="GP6" s="482"/>
      <c r="GQ6" s="482"/>
      <c r="GR6" s="482"/>
      <c r="GS6" s="482"/>
      <c r="GT6" s="482"/>
      <c r="GU6" s="482"/>
      <c r="GV6" s="482"/>
      <c r="GW6" s="482"/>
      <c r="GX6" s="482"/>
      <c r="GY6" s="482"/>
      <c r="GZ6" s="482"/>
      <c r="HA6" s="482"/>
      <c r="HB6" s="482"/>
      <c r="HC6" s="482"/>
      <c r="HD6" s="482"/>
      <c r="HE6" s="482"/>
      <c r="HF6" s="482"/>
      <c r="HG6" s="482"/>
      <c r="HH6" s="482"/>
      <c r="HI6" s="482"/>
      <c r="HJ6" s="482"/>
      <c r="HK6" s="482"/>
      <c r="HL6" s="482"/>
      <c r="HM6" s="482"/>
      <c r="HN6" s="482"/>
      <c r="HO6" s="482"/>
      <c r="HP6" s="482"/>
      <c r="HQ6" s="482"/>
      <c r="HR6" s="482"/>
      <c r="HS6" s="482"/>
      <c r="HT6" s="482"/>
      <c r="HU6" s="482"/>
      <c r="HV6" s="482"/>
      <c r="HW6" s="482"/>
      <c r="HX6" s="482"/>
      <c r="HY6" s="482"/>
      <c r="HZ6" s="482"/>
      <c r="IA6" s="482"/>
      <c r="IB6" s="482"/>
      <c r="IC6" s="482"/>
      <c r="ID6" s="482"/>
      <c r="IE6" s="482"/>
      <c r="IF6" s="482"/>
      <c r="IG6" s="482"/>
      <c r="IH6" s="482"/>
      <c r="II6" s="482"/>
      <c r="IJ6" s="482"/>
      <c r="IK6" s="482"/>
      <c r="IL6" s="482"/>
      <c r="IM6" s="482"/>
      <c r="IN6" s="482"/>
      <c r="IO6" s="482"/>
      <c r="IP6" s="482"/>
      <c r="IQ6" s="482"/>
      <c r="IR6" s="482"/>
      <c r="IS6" s="482"/>
      <c r="IT6" s="482"/>
    </row>
    <row r="7" spans="1:254" ht="33" thickTop="1" thickBot="1" x14ac:dyDescent="0.3">
      <c r="A7" s="1042"/>
      <c r="B7" s="1042"/>
      <c r="C7" s="1016" t="s">
        <v>998</v>
      </c>
      <c r="D7" s="1018" t="s">
        <v>997</v>
      </c>
      <c r="E7" s="1018" t="s">
        <v>1151</v>
      </c>
      <c r="F7" s="1018" t="s">
        <v>998</v>
      </c>
      <c r="G7" s="1018" t="s">
        <v>997</v>
      </c>
      <c r="H7" s="1018" t="s">
        <v>1151</v>
      </c>
      <c r="I7" s="1018" t="s">
        <v>998</v>
      </c>
      <c r="J7" s="1017" t="s">
        <v>997</v>
      </c>
      <c r="K7" s="1017" t="s">
        <v>1151</v>
      </c>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c r="BE7" s="488"/>
      <c r="BF7" s="488"/>
      <c r="BG7" s="488"/>
      <c r="BH7" s="488"/>
      <c r="BI7" s="488"/>
      <c r="BJ7" s="488"/>
      <c r="BK7" s="488"/>
      <c r="BL7" s="488"/>
      <c r="BM7" s="488"/>
      <c r="BN7" s="488"/>
      <c r="BO7" s="488"/>
      <c r="BP7" s="488"/>
      <c r="BQ7" s="488"/>
      <c r="BR7" s="488"/>
      <c r="BS7" s="488"/>
      <c r="BT7" s="488"/>
      <c r="BU7" s="488"/>
      <c r="BV7" s="488"/>
      <c r="BW7" s="488"/>
      <c r="BX7" s="488"/>
      <c r="BY7" s="488"/>
      <c r="BZ7" s="488"/>
      <c r="CA7" s="488"/>
      <c r="CB7" s="488"/>
      <c r="CC7" s="488"/>
      <c r="CD7" s="488"/>
      <c r="CE7" s="488"/>
      <c r="CF7" s="488"/>
      <c r="CG7" s="488"/>
      <c r="CH7" s="488"/>
      <c r="CI7" s="488"/>
      <c r="CJ7" s="488"/>
      <c r="CK7" s="488"/>
      <c r="CL7" s="488"/>
      <c r="CM7" s="488"/>
      <c r="CN7" s="488"/>
      <c r="CO7" s="488"/>
      <c r="CP7" s="488"/>
      <c r="CQ7" s="488"/>
      <c r="CR7" s="488"/>
      <c r="CS7" s="488"/>
      <c r="CT7" s="488"/>
      <c r="CU7" s="488"/>
      <c r="CV7" s="488"/>
      <c r="CW7" s="488"/>
      <c r="CX7" s="488"/>
      <c r="CY7" s="488"/>
      <c r="CZ7" s="488"/>
      <c r="DA7" s="488"/>
      <c r="DB7" s="488"/>
      <c r="DC7" s="488"/>
      <c r="DD7" s="488"/>
      <c r="DE7" s="488"/>
      <c r="DF7" s="488"/>
      <c r="DG7" s="488"/>
      <c r="DH7" s="488"/>
      <c r="DI7" s="488"/>
      <c r="DJ7" s="488"/>
      <c r="DK7" s="488"/>
      <c r="DL7" s="488"/>
      <c r="DM7" s="488"/>
      <c r="DN7" s="488"/>
      <c r="DO7" s="488"/>
      <c r="DP7" s="488"/>
      <c r="DQ7" s="488"/>
      <c r="DR7" s="488"/>
      <c r="DS7" s="488"/>
      <c r="DT7" s="488"/>
      <c r="DU7" s="488"/>
      <c r="DV7" s="488"/>
      <c r="DW7" s="488"/>
      <c r="DX7" s="488"/>
      <c r="DY7" s="488"/>
      <c r="DZ7" s="488"/>
      <c r="EA7" s="488"/>
      <c r="EB7" s="488"/>
      <c r="EC7" s="488"/>
      <c r="ED7" s="488"/>
      <c r="EE7" s="488"/>
      <c r="EF7" s="488"/>
      <c r="EG7" s="488"/>
      <c r="EH7" s="488"/>
      <c r="EI7" s="488"/>
      <c r="EJ7" s="488"/>
      <c r="EK7" s="488"/>
      <c r="EL7" s="488"/>
      <c r="EM7" s="488"/>
      <c r="EN7" s="488"/>
      <c r="EO7" s="488"/>
      <c r="EP7" s="488"/>
      <c r="EQ7" s="488"/>
      <c r="ER7" s="488"/>
      <c r="ES7" s="488"/>
      <c r="ET7" s="488"/>
      <c r="EU7" s="488"/>
      <c r="EV7" s="488"/>
      <c r="EW7" s="488"/>
      <c r="EX7" s="488"/>
      <c r="EY7" s="488"/>
      <c r="EZ7" s="488"/>
      <c r="FA7" s="488"/>
      <c r="FB7" s="488"/>
      <c r="FC7" s="488"/>
      <c r="FD7" s="488"/>
      <c r="FE7" s="488"/>
      <c r="FF7" s="488"/>
      <c r="FG7" s="488"/>
      <c r="FH7" s="488"/>
      <c r="FI7" s="488"/>
      <c r="FJ7" s="488"/>
      <c r="FK7" s="488"/>
      <c r="FL7" s="488"/>
      <c r="FM7" s="488"/>
      <c r="FN7" s="488"/>
      <c r="FO7" s="488"/>
      <c r="FP7" s="488"/>
      <c r="FQ7" s="488"/>
      <c r="FR7" s="488"/>
      <c r="FS7" s="488"/>
      <c r="FT7" s="488"/>
      <c r="FU7" s="488"/>
      <c r="FV7" s="488"/>
      <c r="FW7" s="488"/>
      <c r="FX7" s="488"/>
      <c r="FY7" s="488"/>
      <c r="FZ7" s="488"/>
      <c r="GA7" s="488"/>
      <c r="GB7" s="488"/>
      <c r="GC7" s="488"/>
      <c r="GD7" s="488"/>
      <c r="GE7" s="488"/>
      <c r="GF7" s="488"/>
      <c r="GG7" s="488"/>
      <c r="GH7" s="488"/>
      <c r="GI7" s="488"/>
      <c r="GJ7" s="488"/>
      <c r="GK7" s="488"/>
      <c r="GL7" s="488"/>
      <c r="GM7" s="488"/>
      <c r="GN7" s="488"/>
      <c r="GO7" s="488"/>
      <c r="GP7" s="488"/>
      <c r="GQ7" s="488"/>
      <c r="GR7" s="488"/>
      <c r="GS7" s="488"/>
      <c r="GT7" s="488"/>
      <c r="GU7" s="488"/>
      <c r="GV7" s="488"/>
      <c r="GW7" s="488"/>
      <c r="GX7" s="488"/>
      <c r="GY7" s="488"/>
      <c r="GZ7" s="488"/>
      <c r="HA7" s="488"/>
      <c r="HB7" s="488"/>
      <c r="HC7" s="488"/>
      <c r="HD7" s="488"/>
      <c r="HE7" s="488"/>
      <c r="HF7" s="488"/>
      <c r="HG7" s="488"/>
      <c r="HH7" s="488"/>
      <c r="HI7" s="488"/>
      <c r="HJ7" s="488"/>
      <c r="HK7" s="488"/>
      <c r="HL7" s="488"/>
      <c r="HM7" s="488"/>
      <c r="HN7" s="488"/>
      <c r="HO7" s="488"/>
      <c r="HP7" s="488"/>
      <c r="HQ7" s="488"/>
      <c r="HR7" s="488"/>
      <c r="HS7" s="488"/>
      <c r="HT7" s="488"/>
      <c r="HU7" s="488"/>
      <c r="HV7" s="488"/>
      <c r="HW7" s="488"/>
      <c r="HX7" s="488"/>
      <c r="HY7" s="488"/>
      <c r="HZ7" s="488"/>
      <c r="IA7" s="488"/>
      <c r="IB7" s="488"/>
      <c r="IC7" s="488"/>
      <c r="ID7" s="488"/>
      <c r="IE7" s="488"/>
      <c r="IF7" s="488"/>
      <c r="IG7" s="488"/>
      <c r="IH7" s="488"/>
      <c r="II7" s="488"/>
      <c r="IJ7" s="488"/>
      <c r="IK7" s="488"/>
      <c r="IL7" s="488"/>
      <c r="IM7" s="488"/>
      <c r="IN7" s="488"/>
      <c r="IO7" s="488"/>
      <c r="IP7" s="488"/>
      <c r="IQ7" s="488"/>
      <c r="IR7" s="488"/>
      <c r="IS7" s="488"/>
      <c r="IT7" s="488"/>
    </row>
    <row r="8" spans="1:254" ht="17.25" thickTop="1" thickBot="1" x14ac:dyDescent="0.3">
      <c r="A8" s="580" t="s">
        <v>168</v>
      </c>
      <c r="B8" s="581"/>
      <c r="C8" s="1014" t="s">
        <v>291</v>
      </c>
      <c r="D8" s="1014" t="s">
        <v>1014</v>
      </c>
      <c r="E8" s="1014" t="s">
        <v>1015</v>
      </c>
      <c r="F8" s="1013" t="s">
        <v>292</v>
      </c>
      <c r="G8" s="1013" t="s">
        <v>1016</v>
      </c>
      <c r="H8" s="1013" t="s">
        <v>1017</v>
      </c>
      <c r="I8" s="1014" t="s">
        <v>293</v>
      </c>
      <c r="J8" s="1014" t="s">
        <v>1021</v>
      </c>
      <c r="K8" s="1014" t="s">
        <v>1022</v>
      </c>
      <c r="L8" s="488"/>
      <c r="M8" s="488"/>
      <c r="N8" s="488"/>
      <c r="O8" s="488"/>
      <c r="P8" s="488"/>
      <c r="Q8" s="488"/>
      <c r="R8" s="488"/>
      <c r="S8" s="488"/>
      <c r="T8" s="488"/>
      <c r="U8" s="488"/>
      <c r="V8" s="488"/>
      <c r="W8" s="488"/>
      <c r="X8" s="488"/>
      <c r="Y8" s="488"/>
      <c r="Z8" s="488"/>
      <c r="AA8" s="488"/>
      <c r="AB8" s="488"/>
      <c r="AC8" s="488"/>
      <c r="AD8" s="488"/>
      <c r="AE8" s="488"/>
      <c r="AF8" s="488"/>
      <c r="AG8" s="488"/>
      <c r="AH8" s="488"/>
      <c r="AI8" s="488"/>
      <c r="AJ8" s="488"/>
      <c r="AK8" s="488"/>
      <c r="AL8" s="488"/>
      <c r="AM8" s="488"/>
      <c r="AN8" s="488"/>
      <c r="AO8" s="488"/>
      <c r="AP8" s="488"/>
      <c r="AQ8" s="488"/>
      <c r="AR8" s="488"/>
      <c r="AS8" s="488"/>
      <c r="AT8" s="488"/>
      <c r="AU8" s="488"/>
      <c r="AV8" s="488"/>
      <c r="AW8" s="488"/>
      <c r="AX8" s="488"/>
      <c r="AY8" s="488"/>
      <c r="AZ8" s="488"/>
      <c r="BA8" s="488"/>
      <c r="BB8" s="488"/>
      <c r="BC8" s="488"/>
      <c r="BD8" s="488"/>
      <c r="BE8" s="488"/>
      <c r="BF8" s="488"/>
      <c r="BG8" s="488"/>
      <c r="BH8" s="488"/>
      <c r="BI8" s="488"/>
      <c r="BJ8" s="488"/>
      <c r="BK8" s="488"/>
      <c r="BL8" s="488"/>
      <c r="BM8" s="488"/>
      <c r="BN8" s="488"/>
      <c r="BO8" s="488"/>
      <c r="BP8" s="488"/>
      <c r="BQ8" s="488"/>
      <c r="BR8" s="488"/>
      <c r="BS8" s="488"/>
      <c r="BT8" s="488"/>
      <c r="BU8" s="488"/>
      <c r="BV8" s="488"/>
      <c r="BW8" s="488"/>
      <c r="BX8" s="488"/>
      <c r="BY8" s="488"/>
      <c r="BZ8" s="488"/>
      <c r="CA8" s="488"/>
      <c r="CB8" s="488"/>
      <c r="CC8" s="488"/>
      <c r="CD8" s="488"/>
      <c r="CE8" s="488"/>
      <c r="CF8" s="488"/>
      <c r="CG8" s="488"/>
      <c r="CH8" s="488"/>
      <c r="CI8" s="488"/>
      <c r="CJ8" s="488"/>
      <c r="CK8" s="488"/>
      <c r="CL8" s="488"/>
      <c r="CM8" s="488"/>
      <c r="CN8" s="488"/>
      <c r="CO8" s="488"/>
      <c r="CP8" s="488"/>
      <c r="CQ8" s="488"/>
      <c r="CR8" s="488"/>
      <c r="CS8" s="488"/>
      <c r="CT8" s="488"/>
      <c r="CU8" s="488"/>
      <c r="CV8" s="488"/>
      <c r="CW8" s="488"/>
      <c r="CX8" s="488"/>
      <c r="CY8" s="488"/>
      <c r="CZ8" s="488"/>
      <c r="DA8" s="488"/>
      <c r="DB8" s="488"/>
      <c r="DC8" s="488"/>
      <c r="DD8" s="488"/>
      <c r="DE8" s="488"/>
      <c r="DF8" s="488"/>
      <c r="DG8" s="488"/>
      <c r="DH8" s="488"/>
      <c r="DI8" s="488"/>
      <c r="DJ8" s="488"/>
      <c r="DK8" s="488"/>
      <c r="DL8" s="488"/>
      <c r="DM8" s="488"/>
      <c r="DN8" s="488"/>
      <c r="DO8" s="488"/>
      <c r="DP8" s="488"/>
      <c r="DQ8" s="488"/>
      <c r="DR8" s="488"/>
      <c r="DS8" s="488"/>
      <c r="DT8" s="488"/>
      <c r="DU8" s="488"/>
      <c r="DV8" s="488"/>
      <c r="DW8" s="488"/>
      <c r="DX8" s="488"/>
      <c r="DY8" s="488"/>
      <c r="DZ8" s="488"/>
      <c r="EA8" s="488"/>
      <c r="EB8" s="488"/>
      <c r="EC8" s="488"/>
      <c r="ED8" s="488"/>
      <c r="EE8" s="488"/>
      <c r="EF8" s="488"/>
      <c r="EG8" s="488"/>
      <c r="EH8" s="488"/>
      <c r="EI8" s="488"/>
      <c r="EJ8" s="488"/>
      <c r="EK8" s="488"/>
      <c r="EL8" s="488"/>
      <c r="EM8" s="488"/>
      <c r="EN8" s="488"/>
      <c r="EO8" s="488"/>
      <c r="EP8" s="488"/>
      <c r="EQ8" s="488"/>
      <c r="ER8" s="488"/>
      <c r="ES8" s="488"/>
      <c r="ET8" s="488"/>
      <c r="EU8" s="488"/>
      <c r="EV8" s="488"/>
      <c r="EW8" s="488"/>
      <c r="EX8" s="488"/>
      <c r="EY8" s="488"/>
      <c r="EZ8" s="488"/>
      <c r="FA8" s="488"/>
      <c r="FB8" s="488"/>
      <c r="FC8" s="488"/>
      <c r="FD8" s="488"/>
      <c r="FE8" s="488"/>
      <c r="FF8" s="488"/>
      <c r="FG8" s="488"/>
      <c r="FH8" s="488"/>
      <c r="FI8" s="488"/>
      <c r="FJ8" s="488"/>
      <c r="FK8" s="488"/>
      <c r="FL8" s="488"/>
      <c r="FM8" s="488"/>
      <c r="FN8" s="488"/>
      <c r="FO8" s="488"/>
      <c r="FP8" s="488"/>
      <c r="FQ8" s="488"/>
      <c r="FR8" s="488"/>
      <c r="FS8" s="488"/>
      <c r="FT8" s="488"/>
      <c r="FU8" s="488"/>
      <c r="FV8" s="488"/>
      <c r="FW8" s="488"/>
      <c r="FX8" s="488"/>
      <c r="FY8" s="488"/>
      <c r="FZ8" s="488"/>
      <c r="GA8" s="488"/>
      <c r="GB8" s="488"/>
      <c r="GC8" s="488"/>
      <c r="GD8" s="488"/>
      <c r="GE8" s="488"/>
      <c r="GF8" s="488"/>
      <c r="GG8" s="488"/>
      <c r="GH8" s="488"/>
      <c r="GI8" s="488"/>
      <c r="GJ8" s="488"/>
      <c r="GK8" s="488"/>
      <c r="GL8" s="488"/>
      <c r="GM8" s="488"/>
      <c r="GN8" s="488"/>
      <c r="GO8" s="488"/>
      <c r="GP8" s="488"/>
      <c r="GQ8" s="488"/>
      <c r="GR8" s="488"/>
      <c r="GS8" s="488"/>
      <c r="GT8" s="488"/>
      <c r="GU8" s="488"/>
      <c r="GV8" s="488"/>
      <c r="GW8" s="488"/>
      <c r="GX8" s="488"/>
      <c r="GY8" s="488"/>
      <c r="GZ8" s="488"/>
      <c r="HA8" s="488"/>
      <c r="HB8" s="488"/>
      <c r="HC8" s="488"/>
      <c r="HD8" s="488"/>
      <c r="HE8" s="488"/>
      <c r="HF8" s="488"/>
      <c r="HG8" s="488"/>
      <c r="HH8" s="488"/>
      <c r="HI8" s="488"/>
      <c r="HJ8" s="488"/>
      <c r="HK8" s="488"/>
      <c r="HL8" s="488"/>
      <c r="HM8" s="488"/>
      <c r="HN8" s="488"/>
      <c r="HO8" s="488"/>
      <c r="HP8" s="488"/>
      <c r="HQ8" s="488"/>
      <c r="HR8" s="488"/>
      <c r="HS8" s="488"/>
      <c r="HT8" s="488"/>
      <c r="HU8" s="488"/>
      <c r="HV8" s="488"/>
      <c r="HW8" s="488"/>
      <c r="HX8" s="488"/>
      <c r="HY8" s="488"/>
      <c r="HZ8" s="488"/>
      <c r="IA8" s="488"/>
      <c r="IB8" s="488"/>
      <c r="IC8" s="488"/>
      <c r="ID8" s="488"/>
      <c r="IE8" s="488"/>
      <c r="IF8" s="488"/>
      <c r="IG8" s="488"/>
      <c r="IH8" s="488"/>
      <c r="II8" s="488"/>
      <c r="IJ8" s="488"/>
      <c r="IK8" s="488"/>
      <c r="IL8" s="488"/>
      <c r="IM8" s="488"/>
      <c r="IN8" s="488"/>
      <c r="IO8" s="488"/>
      <c r="IP8" s="488"/>
      <c r="IQ8" s="488"/>
      <c r="IR8" s="488"/>
      <c r="IS8" s="488"/>
      <c r="IT8" s="488"/>
    </row>
    <row r="9" spans="1:254" ht="16.5" thickTop="1" x14ac:dyDescent="0.25">
      <c r="A9" s="495" t="s">
        <v>1011</v>
      </c>
      <c r="B9" s="495" t="s">
        <v>231</v>
      </c>
      <c r="C9" s="500">
        <v>393676</v>
      </c>
      <c r="D9" s="500">
        <v>-25099</v>
      </c>
      <c r="E9" s="500">
        <f>SUM(C9:D9)</f>
        <v>368577</v>
      </c>
      <c r="F9" s="500">
        <v>7971511</v>
      </c>
      <c r="G9" s="500">
        <v>181009</v>
      </c>
      <c r="H9" s="500">
        <f>SUM(F9:G9)</f>
        <v>8152520</v>
      </c>
      <c r="I9" s="95">
        <f>SUM(C9+F9)</f>
        <v>8365187</v>
      </c>
      <c r="J9" s="95">
        <f t="shared" ref="J9:K13" si="0">SUM(D9+G9)</f>
        <v>155910</v>
      </c>
      <c r="K9" s="95">
        <f t="shared" si="0"/>
        <v>8521097</v>
      </c>
    </row>
    <row r="10" spans="1:254" ht="31.5" x14ac:dyDescent="0.25">
      <c r="A10" s="49" t="s">
        <v>30</v>
      </c>
      <c r="B10" s="49" t="s">
        <v>232</v>
      </c>
      <c r="C10" s="50">
        <v>88752</v>
      </c>
      <c r="D10" s="50">
        <v>3076</v>
      </c>
      <c r="E10" s="50">
        <f t="shared" ref="E10:E13" si="1">SUM(C10:D10)</f>
        <v>91828</v>
      </c>
      <c r="F10" s="50">
        <v>1674388</v>
      </c>
      <c r="G10" s="50">
        <v>38549</v>
      </c>
      <c r="H10" s="50">
        <f>SUM(F10:G10)</f>
        <v>1712937</v>
      </c>
      <c r="I10" s="51">
        <f>SUM(C10+F10)</f>
        <v>1763140</v>
      </c>
      <c r="J10" s="51">
        <f t="shared" si="0"/>
        <v>41625</v>
      </c>
      <c r="K10" s="51">
        <f t="shared" si="0"/>
        <v>1804765</v>
      </c>
    </row>
    <row r="11" spans="1:254" x14ac:dyDescent="0.25">
      <c r="A11" s="52" t="s">
        <v>1012</v>
      </c>
      <c r="B11" s="52" t="s">
        <v>233</v>
      </c>
      <c r="C11" s="50">
        <v>5262050</v>
      </c>
      <c r="D11" s="50">
        <v>198722</v>
      </c>
      <c r="E11" s="50">
        <f t="shared" si="1"/>
        <v>5460772</v>
      </c>
      <c r="F11" s="50">
        <v>5275528</v>
      </c>
      <c r="G11" s="50">
        <v>72134</v>
      </c>
      <c r="H11" s="50">
        <f t="shared" ref="H11:H17" si="2">SUM(F11:G11)</f>
        <v>5347662</v>
      </c>
      <c r="I11" s="51">
        <f>SUM(C11+F11)</f>
        <v>10537578</v>
      </c>
      <c r="J11" s="51">
        <f t="shared" si="0"/>
        <v>270856</v>
      </c>
      <c r="K11" s="51">
        <f t="shared" si="0"/>
        <v>10808434</v>
      </c>
    </row>
    <row r="12" spans="1:254" x14ac:dyDescent="0.25">
      <c r="A12" s="52" t="s">
        <v>647</v>
      </c>
      <c r="B12" s="52" t="s">
        <v>234</v>
      </c>
      <c r="C12" s="50">
        <v>223382</v>
      </c>
      <c r="D12" s="50">
        <v>297</v>
      </c>
      <c r="E12" s="50">
        <f t="shared" si="1"/>
        <v>223679</v>
      </c>
      <c r="F12" s="50">
        <v>26104</v>
      </c>
      <c r="G12" s="50">
        <v>12</v>
      </c>
      <c r="H12" s="50">
        <f t="shared" si="2"/>
        <v>26116</v>
      </c>
      <c r="I12" s="51">
        <f>SUM(C12+F12)</f>
        <v>249486</v>
      </c>
      <c r="J12" s="51">
        <f t="shared" si="0"/>
        <v>309</v>
      </c>
      <c r="K12" s="51">
        <f t="shared" si="0"/>
        <v>249795</v>
      </c>
    </row>
    <row r="13" spans="1:254" ht="31.5" x14ac:dyDescent="0.25">
      <c r="A13" s="49" t="s">
        <v>261</v>
      </c>
      <c r="B13" s="49" t="s">
        <v>509</v>
      </c>
      <c r="C13" s="50">
        <v>13830850</v>
      </c>
      <c r="D13" s="500">
        <v>623238</v>
      </c>
      <c r="E13" s="50">
        <f t="shared" si="1"/>
        <v>14454088</v>
      </c>
      <c r="F13" s="500">
        <v>0</v>
      </c>
      <c r="G13" s="500">
        <v>0</v>
      </c>
      <c r="H13" s="50">
        <f t="shared" si="2"/>
        <v>0</v>
      </c>
      <c r="I13" s="51">
        <f>SUM(C13+F13)</f>
        <v>13830850</v>
      </c>
      <c r="J13" s="51">
        <f t="shared" si="0"/>
        <v>623238</v>
      </c>
      <c r="K13" s="51">
        <f t="shared" si="0"/>
        <v>14454088</v>
      </c>
    </row>
    <row r="14" spans="1:254" ht="31.5" x14ac:dyDescent="0.25">
      <c r="A14" s="514" t="s">
        <v>572</v>
      </c>
      <c r="B14" s="53"/>
      <c r="C14" s="515">
        <f>SUM(C9+C10+C11+C12+C13)</f>
        <v>19798710</v>
      </c>
      <c r="D14" s="515">
        <f t="shared" ref="D14:E14" si="3">SUM(D9+D10+D11+D12+D13)</f>
        <v>800234</v>
      </c>
      <c r="E14" s="515">
        <f t="shared" si="3"/>
        <v>20598944</v>
      </c>
      <c r="F14" s="515">
        <f>SUM(F9+F10+F11+F12+F13)</f>
        <v>14947531</v>
      </c>
      <c r="G14" s="515">
        <f t="shared" ref="G14:H14" si="4">SUM(G9+G10+G11+G12+G13)</f>
        <v>291704</v>
      </c>
      <c r="H14" s="515">
        <f t="shared" si="4"/>
        <v>15239235</v>
      </c>
      <c r="I14" s="515">
        <f>SUM(I9:I12,I13)</f>
        <v>34746241</v>
      </c>
      <c r="J14" s="515">
        <f t="shared" ref="J14:K14" si="5">SUM(J9:J12,J13)</f>
        <v>1091938</v>
      </c>
      <c r="K14" s="515">
        <f t="shared" si="5"/>
        <v>35838179</v>
      </c>
    </row>
    <row r="15" spans="1:254" x14ac:dyDescent="0.25">
      <c r="A15" s="52" t="s">
        <v>238</v>
      </c>
      <c r="B15" s="52" t="s">
        <v>235</v>
      </c>
      <c r="C15" s="506">
        <v>28772091</v>
      </c>
      <c r="D15" s="506">
        <v>80567</v>
      </c>
      <c r="E15" s="506">
        <f>SUM(C15:D15)</f>
        <v>28852658</v>
      </c>
      <c r="F15" s="506">
        <v>189320</v>
      </c>
      <c r="G15" s="506">
        <v>54871</v>
      </c>
      <c r="H15" s="506">
        <f t="shared" si="2"/>
        <v>244191</v>
      </c>
      <c r="I15" s="51">
        <f>SUM(C15+F15)</f>
        <v>28961411</v>
      </c>
      <c r="J15" s="51">
        <f t="shared" ref="J15:K17" si="6">SUM(D15+G15)</f>
        <v>135438</v>
      </c>
      <c r="K15" s="51">
        <f t="shared" si="6"/>
        <v>29096849</v>
      </c>
    </row>
    <row r="16" spans="1:254" x14ac:dyDescent="0.25">
      <c r="A16" s="52" t="s">
        <v>239</v>
      </c>
      <c r="B16" s="52" t="s">
        <v>236</v>
      </c>
      <c r="C16" s="506">
        <v>1791550</v>
      </c>
      <c r="D16" s="506">
        <v>-653584</v>
      </c>
      <c r="E16" s="506">
        <f>SUM(C16:D16)</f>
        <v>1137966</v>
      </c>
      <c r="F16" s="506">
        <v>11686</v>
      </c>
      <c r="G16" s="506">
        <v>7082</v>
      </c>
      <c r="H16" s="506">
        <f t="shared" si="2"/>
        <v>18768</v>
      </c>
      <c r="I16" s="51">
        <f>SUM(C16+F16)</f>
        <v>1803236</v>
      </c>
      <c r="J16" s="51">
        <f t="shared" si="6"/>
        <v>-646502</v>
      </c>
      <c r="K16" s="51">
        <f t="shared" si="6"/>
        <v>1156734</v>
      </c>
    </row>
    <row r="17" spans="1:254" x14ac:dyDescent="0.25">
      <c r="A17" s="52" t="s">
        <v>438</v>
      </c>
      <c r="B17" s="52" t="s">
        <v>237</v>
      </c>
      <c r="C17" s="506">
        <v>1643401</v>
      </c>
      <c r="D17" s="506">
        <v>122350</v>
      </c>
      <c r="E17" s="506">
        <f>SUM(C17:D17)</f>
        <v>1765751</v>
      </c>
      <c r="F17" s="506">
        <v>0</v>
      </c>
      <c r="G17" s="506">
        <v>0</v>
      </c>
      <c r="H17" s="506">
        <f t="shared" si="2"/>
        <v>0</v>
      </c>
      <c r="I17" s="51">
        <f>SUM(C17+F17)</f>
        <v>1643401</v>
      </c>
      <c r="J17" s="51">
        <f t="shared" si="6"/>
        <v>122350</v>
      </c>
      <c r="K17" s="51">
        <f t="shared" si="6"/>
        <v>1765751</v>
      </c>
    </row>
    <row r="18" spans="1:254" ht="31.5" x14ac:dyDescent="0.25">
      <c r="A18" s="514" t="s">
        <v>573</v>
      </c>
      <c r="B18" s="517"/>
      <c r="C18" s="518">
        <f>SUM(C15:C17)</f>
        <v>32207042</v>
      </c>
      <c r="D18" s="518">
        <f t="shared" ref="D18:E18" si="7">SUM(D15:D17)</f>
        <v>-450667</v>
      </c>
      <c r="E18" s="518">
        <f t="shared" si="7"/>
        <v>31756375</v>
      </c>
      <c r="F18" s="515">
        <f>SUM(F15:F17)</f>
        <v>201006</v>
      </c>
      <c r="G18" s="515">
        <f t="shared" ref="G18:H18" si="8">SUM(G15:G17)</f>
        <v>61953</v>
      </c>
      <c r="H18" s="515">
        <f t="shared" si="8"/>
        <v>262959</v>
      </c>
      <c r="I18" s="515">
        <f>SUM(I15:I17)</f>
        <v>32408048</v>
      </c>
      <c r="J18" s="515">
        <f t="shared" ref="J18:K18" si="9">SUM(J15:J17)</f>
        <v>-388714</v>
      </c>
      <c r="K18" s="515">
        <f t="shared" si="9"/>
        <v>32019334</v>
      </c>
    </row>
    <row r="19" spans="1:254" x14ac:dyDescent="0.25">
      <c r="A19" s="52" t="s">
        <v>313</v>
      </c>
      <c r="B19" s="52"/>
      <c r="C19" s="506">
        <v>240200</v>
      </c>
      <c r="D19" s="506">
        <v>15218</v>
      </c>
      <c r="E19" s="506">
        <f>SUM(C19:D19)</f>
        <v>255418</v>
      </c>
      <c r="F19" s="506">
        <v>0</v>
      </c>
      <c r="G19" s="506">
        <v>0</v>
      </c>
      <c r="H19" s="506">
        <f>SUM(F19:G19)</f>
        <v>0</v>
      </c>
      <c r="I19" s="51">
        <f>SUM(C19+F19)</f>
        <v>240200</v>
      </c>
      <c r="J19" s="51">
        <f t="shared" ref="J19:K20" si="10">SUM(D19+G19)</f>
        <v>15218</v>
      </c>
      <c r="K19" s="51">
        <f t="shared" si="10"/>
        <v>255418</v>
      </c>
    </row>
    <row r="20" spans="1:254" x14ac:dyDescent="0.25">
      <c r="A20" s="52" t="s">
        <v>314</v>
      </c>
      <c r="B20" s="52"/>
      <c r="C20" s="506">
        <v>2143704</v>
      </c>
      <c r="D20" s="506">
        <v>-185712</v>
      </c>
      <c r="E20" s="506">
        <f>SUM(C20:D20)</f>
        <v>1957992</v>
      </c>
      <c r="F20" s="506">
        <v>0</v>
      </c>
      <c r="G20" s="506">
        <v>0</v>
      </c>
      <c r="H20" s="506">
        <f>SUM(F20:G20)</f>
        <v>0</v>
      </c>
      <c r="I20" s="51">
        <f>SUM(C20+F20)</f>
        <v>2143704</v>
      </c>
      <c r="J20" s="51">
        <f t="shared" si="10"/>
        <v>-185712</v>
      </c>
      <c r="K20" s="51">
        <f t="shared" si="10"/>
        <v>1957992</v>
      </c>
    </row>
    <row r="21" spans="1:254" s="584" customFormat="1" ht="16.5" thickBot="1" x14ac:dyDescent="0.3">
      <c r="A21" s="521" t="s">
        <v>315</v>
      </c>
      <c r="B21" s="522" t="s">
        <v>510</v>
      </c>
      <c r="C21" s="582">
        <f>SUM(C19:C20)</f>
        <v>2383904</v>
      </c>
      <c r="D21" s="582">
        <f t="shared" ref="D21:E21" si="11">SUM(D19:D20)</f>
        <v>-170494</v>
      </c>
      <c r="E21" s="582">
        <f t="shared" si="11"/>
        <v>2213410</v>
      </c>
      <c r="F21" s="582">
        <f>SUM(F19:F20)</f>
        <v>0</v>
      </c>
      <c r="G21" s="582">
        <f t="shared" ref="G21:H21" si="12">SUM(G19:G20)</f>
        <v>0</v>
      </c>
      <c r="H21" s="582">
        <f t="shared" si="12"/>
        <v>0</v>
      </c>
      <c r="I21" s="583">
        <f>SUM(I19:I20)</f>
        <v>2383904</v>
      </c>
      <c r="J21" s="583">
        <f t="shared" ref="J21:K21" si="13">SUM(J19:J20)</f>
        <v>-170494</v>
      </c>
      <c r="K21" s="583">
        <f t="shared" si="13"/>
        <v>2213410</v>
      </c>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4"/>
      <c r="AY21" s="524"/>
      <c r="AZ21" s="524"/>
      <c r="BA21" s="524"/>
      <c r="BB21" s="524"/>
      <c r="BC21" s="524"/>
      <c r="BD21" s="524"/>
      <c r="BE21" s="524"/>
      <c r="BF21" s="524"/>
      <c r="BG21" s="524"/>
      <c r="BH21" s="524"/>
      <c r="BI21" s="524"/>
      <c r="BJ21" s="524"/>
      <c r="BK21" s="524"/>
      <c r="BL21" s="524"/>
      <c r="BM21" s="524"/>
      <c r="BN21" s="524"/>
      <c r="BO21" s="524"/>
      <c r="BP21" s="524"/>
      <c r="BQ21" s="524"/>
      <c r="BR21" s="524"/>
      <c r="BS21" s="524"/>
      <c r="BT21" s="524"/>
      <c r="BU21" s="524"/>
      <c r="BV21" s="524"/>
      <c r="BW21" s="524"/>
      <c r="BX21" s="524"/>
      <c r="BY21" s="524"/>
      <c r="BZ21" s="524"/>
      <c r="CA21" s="524"/>
      <c r="CB21" s="524"/>
      <c r="CC21" s="524"/>
      <c r="CD21" s="524"/>
      <c r="CE21" s="524"/>
      <c r="CF21" s="524"/>
      <c r="CG21" s="524"/>
      <c r="CH21" s="524"/>
      <c r="CI21" s="524"/>
      <c r="CJ21" s="524"/>
      <c r="CK21" s="524"/>
      <c r="CL21" s="524"/>
      <c r="CM21" s="524"/>
      <c r="CN21" s="524"/>
      <c r="CO21" s="524"/>
      <c r="CP21" s="524"/>
      <c r="CQ21" s="524"/>
      <c r="CR21" s="524"/>
      <c r="CS21" s="524"/>
      <c r="CT21" s="524"/>
      <c r="CU21" s="524"/>
      <c r="CV21" s="524"/>
      <c r="CW21" s="524"/>
      <c r="CX21" s="524"/>
      <c r="CY21" s="524"/>
      <c r="CZ21" s="524"/>
      <c r="DA21" s="524"/>
      <c r="DB21" s="524"/>
      <c r="DC21" s="524"/>
      <c r="DD21" s="524"/>
      <c r="DE21" s="524"/>
      <c r="DF21" s="524"/>
      <c r="DG21" s="524"/>
      <c r="DH21" s="524"/>
      <c r="DI21" s="524"/>
      <c r="DJ21" s="524"/>
      <c r="DK21" s="524"/>
      <c r="DL21" s="524"/>
      <c r="DM21" s="524"/>
      <c r="DN21" s="524"/>
      <c r="DO21" s="524"/>
      <c r="DP21" s="524"/>
      <c r="DQ21" s="524"/>
      <c r="DR21" s="524"/>
      <c r="DS21" s="524"/>
      <c r="DT21" s="524"/>
      <c r="DU21" s="524"/>
      <c r="DV21" s="524"/>
      <c r="DW21" s="524"/>
      <c r="DX21" s="524"/>
      <c r="DY21" s="524"/>
      <c r="DZ21" s="524"/>
      <c r="EA21" s="524"/>
      <c r="EB21" s="524"/>
      <c r="EC21" s="524"/>
      <c r="ED21" s="524"/>
      <c r="EE21" s="524"/>
      <c r="EF21" s="524"/>
      <c r="EG21" s="524"/>
      <c r="EH21" s="524"/>
      <c r="EI21" s="524"/>
      <c r="EJ21" s="524"/>
      <c r="EK21" s="524"/>
      <c r="EL21" s="524"/>
      <c r="EM21" s="524"/>
      <c r="EN21" s="524"/>
      <c r="EO21" s="524"/>
      <c r="EP21" s="524"/>
      <c r="EQ21" s="524"/>
      <c r="ER21" s="524"/>
      <c r="ES21" s="524"/>
      <c r="ET21" s="524"/>
      <c r="EU21" s="524"/>
      <c r="EV21" s="524"/>
      <c r="EW21" s="524"/>
      <c r="EX21" s="524"/>
      <c r="EY21" s="524"/>
      <c r="EZ21" s="524"/>
      <c r="FA21" s="524"/>
      <c r="FB21" s="524"/>
      <c r="FC21" s="524"/>
      <c r="FD21" s="524"/>
      <c r="FE21" s="524"/>
      <c r="FF21" s="524"/>
      <c r="FG21" s="524"/>
      <c r="FH21" s="524"/>
      <c r="FI21" s="524"/>
      <c r="FJ21" s="524"/>
      <c r="FK21" s="524"/>
      <c r="FL21" s="524"/>
      <c r="FM21" s="524"/>
      <c r="FN21" s="524"/>
      <c r="FO21" s="524"/>
      <c r="FP21" s="524"/>
      <c r="FQ21" s="524"/>
      <c r="FR21" s="524"/>
      <c r="FS21" s="524"/>
      <c r="FT21" s="524"/>
      <c r="FU21" s="524"/>
      <c r="FV21" s="524"/>
      <c r="FW21" s="524"/>
      <c r="FX21" s="524"/>
      <c r="FY21" s="524"/>
      <c r="FZ21" s="524"/>
      <c r="GA21" s="524"/>
      <c r="GB21" s="524"/>
      <c r="GC21" s="524"/>
      <c r="GD21" s="524"/>
      <c r="GE21" s="524"/>
      <c r="GF21" s="524"/>
      <c r="GG21" s="524"/>
      <c r="GH21" s="524"/>
      <c r="GI21" s="524"/>
      <c r="GJ21" s="524"/>
      <c r="GK21" s="524"/>
      <c r="GL21" s="524"/>
      <c r="GM21" s="524"/>
      <c r="GN21" s="524"/>
      <c r="GO21" s="524"/>
      <c r="GP21" s="524"/>
      <c r="GQ21" s="524"/>
      <c r="GR21" s="524"/>
      <c r="GS21" s="524"/>
      <c r="GT21" s="524"/>
      <c r="GU21" s="524"/>
      <c r="GV21" s="524"/>
      <c r="GW21" s="524"/>
      <c r="GX21" s="524"/>
      <c r="GY21" s="524"/>
      <c r="GZ21" s="524"/>
      <c r="HA21" s="524"/>
      <c r="HB21" s="524"/>
      <c r="HC21" s="524"/>
      <c r="HD21" s="524"/>
      <c r="HE21" s="524"/>
      <c r="HF21" s="524"/>
      <c r="HG21" s="524"/>
      <c r="HH21" s="524"/>
      <c r="HI21" s="524"/>
      <c r="HJ21" s="524"/>
      <c r="HK21" s="524"/>
      <c r="HL21" s="524"/>
      <c r="HM21" s="524"/>
      <c r="HN21" s="524"/>
      <c r="HO21" s="524"/>
      <c r="HP21" s="524"/>
      <c r="HQ21" s="524"/>
      <c r="HR21" s="524"/>
      <c r="HS21" s="524"/>
      <c r="HT21" s="524"/>
      <c r="HU21" s="524"/>
      <c r="HV21" s="524"/>
      <c r="HW21" s="524"/>
      <c r="HX21" s="524"/>
      <c r="HY21" s="524"/>
      <c r="HZ21" s="524"/>
      <c r="IA21" s="524"/>
      <c r="IB21" s="524"/>
      <c r="IC21" s="524"/>
      <c r="ID21" s="524"/>
      <c r="IE21" s="524"/>
      <c r="IF21" s="524"/>
      <c r="IG21" s="524"/>
      <c r="IH21" s="524"/>
      <c r="II21" s="524"/>
      <c r="IJ21" s="524"/>
      <c r="IK21" s="524"/>
      <c r="IL21" s="524"/>
      <c r="IM21" s="524"/>
      <c r="IN21" s="524"/>
      <c r="IO21" s="524"/>
      <c r="IP21" s="524"/>
      <c r="IQ21" s="524"/>
      <c r="IR21" s="524"/>
      <c r="IS21" s="524"/>
      <c r="IT21" s="524"/>
    </row>
    <row r="22" spans="1:254" ht="17.25" thickTop="1" thickBot="1" x14ac:dyDescent="0.3">
      <c r="A22" s="525" t="s">
        <v>316</v>
      </c>
      <c r="B22" s="526" t="s">
        <v>443</v>
      </c>
      <c r="C22" s="527">
        <f>+C21+C18+C14</f>
        <v>54389656</v>
      </c>
      <c r="D22" s="527">
        <f t="shared" ref="D22:E22" si="14">+D21+D18+D14</f>
        <v>179073</v>
      </c>
      <c r="E22" s="527">
        <f t="shared" si="14"/>
        <v>54568729</v>
      </c>
      <c r="F22" s="527">
        <f>+F21+F18+F14</f>
        <v>15148537</v>
      </c>
      <c r="G22" s="527">
        <f t="shared" ref="G22:H22" si="15">+G21+G18+G14</f>
        <v>353657</v>
      </c>
      <c r="H22" s="527">
        <f t="shared" si="15"/>
        <v>15502194</v>
      </c>
      <c r="I22" s="527">
        <f>+I21+I18+I14</f>
        <v>69538193</v>
      </c>
      <c r="J22" s="527">
        <f t="shared" ref="J22:K22" si="16">+J21+J18+J14</f>
        <v>532730</v>
      </c>
      <c r="K22" s="527">
        <f t="shared" si="16"/>
        <v>70070923</v>
      </c>
    </row>
    <row r="23" spans="1:254" ht="32.25" thickTop="1" x14ac:dyDescent="0.25">
      <c r="A23" s="585" t="s">
        <v>583</v>
      </c>
      <c r="B23" s="586" t="s">
        <v>579</v>
      </c>
      <c r="C23" s="587">
        <v>2710038</v>
      </c>
      <c r="D23" s="587"/>
      <c r="E23" s="587">
        <f>SUM(C23:D23)</f>
        <v>2710038</v>
      </c>
      <c r="F23" s="587"/>
      <c r="G23" s="587"/>
      <c r="H23" s="587">
        <f>SUM(F23:G23)</f>
        <v>0</v>
      </c>
      <c r="I23" s="587">
        <f>SUM(C23+F23)</f>
        <v>2710038</v>
      </c>
      <c r="J23" s="587">
        <f>SUM(D23+G23)</f>
        <v>0</v>
      </c>
      <c r="K23" s="587">
        <f>SUM(E23+H23)</f>
        <v>2710038</v>
      </c>
      <c r="IS23"/>
      <c r="IT23"/>
    </row>
    <row r="24" spans="1:254" ht="31.5" x14ac:dyDescent="0.25">
      <c r="A24" s="531" t="s">
        <v>580</v>
      </c>
      <c r="B24" s="532" t="s">
        <v>581</v>
      </c>
      <c r="C24" s="534">
        <v>130452</v>
      </c>
      <c r="D24" s="534"/>
      <c r="E24" s="534">
        <f>SUM(C24:D24)</f>
        <v>130452</v>
      </c>
      <c r="F24" s="534"/>
      <c r="G24" s="534"/>
      <c r="H24" s="534"/>
      <c r="I24" s="587">
        <f>SUM(C24+F24)</f>
        <v>130452</v>
      </c>
      <c r="J24" s="587">
        <f t="shared" ref="J24:J25" si="17">SUM(D24+G24)</f>
        <v>0</v>
      </c>
      <c r="K24" s="534">
        <f t="shared" ref="K24:K25" si="18">SUM(E24:H24)</f>
        <v>130452</v>
      </c>
      <c r="IS24"/>
      <c r="IT24"/>
    </row>
    <row r="25" spans="1:254" ht="16.5" thickBot="1" x14ac:dyDescent="0.3">
      <c r="A25" s="535" t="s">
        <v>805</v>
      </c>
      <c r="B25" s="536" t="s">
        <v>495</v>
      </c>
      <c r="C25" s="537">
        <v>11714428</v>
      </c>
      <c r="D25" s="537">
        <v>152861</v>
      </c>
      <c r="E25" s="537">
        <f>SUM(C25:D25)</f>
        <v>11867289</v>
      </c>
      <c r="F25" s="537"/>
      <c r="G25" s="537"/>
      <c r="H25" s="537"/>
      <c r="I25" s="587">
        <f>SUM(C25+F25)</f>
        <v>11714428</v>
      </c>
      <c r="J25" s="587">
        <f t="shared" si="17"/>
        <v>152861</v>
      </c>
      <c r="K25" s="534">
        <f t="shared" si="18"/>
        <v>11867289</v>
      </c>
      <c r="IS25"/>
      <c r="IT25"/>
    </row>
    <row r="26" spans="1:254" ht="17.25" thickTop="1" thickBot="1" x14ac:dyDescent="0.3">
      <c r="A26" s="538" t="s">
        <v>806</v>
      </c>
      <c r="B26" s="539" t="s">
        <v>317</v>
      </c>
      <c r="C26" s="540">
        <f>SUM(C23:C25)</f>
        <v>14554918</v>
      </c>
      <c r="D26" s="540">
        <f>SUM(D23:D25)</f>
        <v>152861</v>
      </c>
      <c r="E26" s="540">
        <f>SUM(E23:E25)</f>
        <v>14707779</v>
      </c>
      <c r="F26" s="540">
        <f>SUM(F23:F24)</f>
        <v>0</v>
      </c>
      <c r="G26" s="540">
        <f>SUM(G23:G24)</f>
        <v>0</v>
      </c>
      <c r="H26" s="540">
        <f>SUM(H23:H24)</f>
        <v>0</v>
      </c>
      <c r="I26" s="540">
        <f>SUM(I23:I25)</f>
        <v>14554918</v>
      </c>
      <c r="J26" s="540">
        <f t="shared" ref="J26:K26" si="19">SUM(J23:J25)</f>
        <v>152861</v>
      </c>
      <c r="K26" s="540">
        <f t="shared" si="19"/>
        <v>14707779</v>
      </c>
      <c r="L26" s="588"/>
      <c r="M26" s="588"/>
      <c r="N26" s="588"/>
      <c r="O26" s="588"/>
      <c r="P26" s="588"/>
      <c r="Q26" s="588"/>
      <c r="R26" s="588"/>
      <c r="S26" s="588"/>
      <c r="T26" s="588"/>
      <c r="U26" s="588"/>
      <c r="V26" s="588"/>
      <c r="W26" s="588"/>
      <c r="X26" s="588"/>
      <c r="Y26" s="588"/>
      <c r="Z26" s="588"/>
      <c r="AA26" s="588"/>
      <c r="AB26" s="588"/>
      <c r="AC26" s="588"/>
      <c r="AD26" s="588"/>
      <c r="AE26" s="588"/>
      <c r="AF26" s="588"/>
      <c r="AG26" s="588"/>
      <c r="AH26" s="588"/>
      <c r="AI26" s="588"/>
      <c r="AJ26" s="588"/>
      <c r="AK26" s="588"/>
      <c r="AL26" s="588"/>
      <c r="AM26" s="588"/>
      <c r="AN26" s="588"/>
      <c r="AO26" s="588"/>
      <c r="AP26" s="588"/>
      <c r="AQ26" s="588"/>
      <c r="AR26" s="588"/>
      <c r="AS26" s="588"/>
      <c r="AT26" s="588"/>
      <c r="AU26" s="588"/>
      <c r="AV26" s="588"/>
      <c r="AW26" s="588"/>
      <c r="AX26" s="588"/>
      <c r="AY26" s="588"/>
      <c r="AZ26" s="588"/>
      <c r="BA26" s="588"/>
      <c r="BB26" s="588"/>
      <c r="BC26" s="588"/>
      <c r="BD26" s="588"/>
      <c r="BE26" s="588"/>
      <c r="BF26" s="588"/>
      <c r="BG26" s="588"/>
      <c r="BH26" s="588"/>
      <c r="BI26" s="588"/>
      <c r="BJ26" s="588"/>
      <c r="BK26" s="588"/>
      <c r="BL26" s="588"/>
      <c r="BM26" s="588"/>
      <c r="BN26" s="588"/>
      <c r="BO26" s="588"/>
      <c r="BP26" s="588"/>
      <c r="BQ26" s="588"/>
      <c r="BR26" s="588"/>
      <c r="BS26" s="588"/>
      <c r="BT26" s="588"/>
      <c r="BU26" s="588"/>
      <c r="BV26" s="588"/>
      <c r="BW26" s="588"/>
      <c r="BX26" s="588"/>
      <c r="BY26" s="588"/>
      <c r="BZ26" s="588"/>
      <c r="CA26" s="588"/>
      <c r="CB26" s="588"/>
      <c r="CC26" s="588"/>
      <c r="CD26" s="588"/>
      <c r="CE26" s="588"/>
      <c r="CF26" s="588"/>
      <c r="CG26" s="588"/>
      <c r="CH26" s="588"/>
      <c r="CI26" s="588"/>
      <c r="CJ26" s="588"/>
      <c r="CK26" s="588"/>
      <c r="CL26" s="588"/>
      <c r="CM26" s="588"/>
      <c r="CN26" s="588"/>
      <c r="CO26" s="588"/>
      <c r="CP26" s="588"/>
      <c r="CQ26" s="588"/>
      <c r="CR26" s="588"/>
      <c r="CS26" s="588"/>
      <c r="CT26" s="588"/>
      <c r="CU26" s="588"/>
      <c r="CV26" s="588"/>
      <c r="CW26" s="588"/>
      <c r="CX26" s="588"/>
      <c r="CY26" s="588"/>
      <c r="CZ26" s="588"/>
      <c r="DA26" s="588"/>
      <c r="DB26" s="588"/>
      <c r="DC26" s="588"/>
      <c r="DD26" s="588"/>
      <c r="DE26" s="588"/>
      <c r="DF26" s="588"/>
      <c r="DG26" s="588"/>
      <c r="DH26" s="588"/>
      <c r="DI26" s="588"/>
      <c r="DJ26" s="588"/>
      <c r="DK26" s="588"/>
      <c r="DL26" s="588"/>
      <c r="DM26" s="588"/>
      <c r="DN26" s="588"/>
      <c r="DO26" s="588"/>
      <c r="DP26" s="588"/>
      <c r="DQ26" s="588"/>
      <c r="DR26" s="588"/>
      <c r="DS26" s="588"/>
      <c r="DT26" s="588"/>
      <c r="DU26" s="588"/>
      <c r="DV26" s="588"/>
      <c r="DW26" s="588"/>
      <c r="DX26" s="588"/>
      <c r="DY26" s="588"/>
      <c r="DZ26" s="588"/>
      <c r="EA26" s="588"/>
      <c r="EB26" s="588"/>
      <c r="EC26" s="588"/>
      <c r="ED26" s="588"/>
      <c r="EE26" s="588"/>
      <c r="EF26" s="588"/>
      <c r="EG26" s="588"/>
      <c r="EH26" s="588"/>
      <c r="EI26" s="588"/>
      <c r="EJ26" s="588"/>
      <c r="EK26" s="588"/>
      <c r="EL26" s="588"/>
      <c r="EM26" s="588"/>
      <c r="EN26" s="588"/>
      <c r="EO26" s="588"/>
      <c r="EP26" s="588"/>
      <c r="EQ26" s="588"/>
      <c r="ER26" s="588"/>
      <c r="ES26" s="588"/>
      <c r="ET26" s="588"/>
      <c r="EU26" s="588"/>
      <c r="EV26" s="588"/>
      <c r="EW26" s="588"/>
      <c r="EX26" s="588"/>
      <c r="EY26" s="588"/>
      <c r="EZ26" s="588"/>
      <c r="FA26" s="588"/>
      <c r="FB26" s="588"/>
      <c r="FC26" s="588"/>
      <c r="FD26" s="588"/>
      <c r="FE26" s="588"/>
      <c r="FF26" s="588"/>
      <c r="FG26" s="588"/>
      <c r="FH26" s="588"/>
      <c r="FI26" s="588"/>
      <c r="FJ26" s="588"/>
      <c r="FK26" s="588"/>
      <c r="FL26" s="588"/>
      <c r="FM26" s="588"/>
      <c r="FN26" s="588"/>
      <c r="FO26" s="588"/>
      <c r="FP26" s="588"/>
      <c r="FQ26" s="588"/>
      <c r="FR26" s="588"/>
      <c r="FS26" s="588"/>
      <c r="FT26" s="588"/>
      <c r="FU26" s="588"/>
      <c r="FV26" s="588"/>
      <c r="FW26" s="588"/>
      <c r="FX26" s="588"/>
      <c r="FY26" s="588"/>
      <c r="FZ26" s="588"/>
      <c r="GA26" s="588"/>
      <c r="GB26" s="588"/>
      <c r="GC26" s="588"/>
      <c r="GD26" s="588"/>
      <c r="GE26" s="588"/>
      <c r="GF26" s="588"/>
      <c r="GG26" s="588"/>
      <c r="GH26" s="588"/>
      <c r="GI26" s="588"/>
      <c r="GJ26" s="588"/>
      <c r="GK26" s="588"/>
      <c r="GL26" s="588"/>
      <c r="GM26" s="588"/>
      <c r="GN26" s="588"/>
      <c r="GO26" s="588"/>
      <c r="GP26" s="588"/>
      <c r="GQ26" s="588"/>
      <c r="GR26" s="588"/>
      <c r="GS26" s="588"/>
      <c r="GT26" s="588"/>
      <c r="GU26" s="588"/>
      <c r="GV26" s="588"/>
      <c r="GW26" s="588"/>
      <c r="GX26" s="588"/>
      <c r="GY26" s="588"/>
      <c r="GZ26" s="588"/>
      <c r="HA26" s="588"/>
      <c r="HB26" s="588"/>
      <c r="HC26" s="588"/>
      <c r="HD26" s="588"/>
      <c r="HE26" s="588"/>
      <c r="HF26" s="588"/>
      <c r="HG26" s="588"/>
      <c r="HH26" s="588"/>
      <c r="HI26" s="588"/>
      <c r="HJ26" s="588"/>
      <c r="HK26" s="588"/>
      <c r="HL26" s="588"/>
      <c r="HM26" s="588"/>
      <c r="HN26" s="588"/>
      <c r="HO26" s="588"/>
      <c r="HP26" s="588"/>
      <c r="HQ26" s="588"/>
      <c r="HR26" s="588"/>
      <c r="HS26" s="588"/>
      <c r="HT26" s="588"/>
      <c r="HU26" s="588"/>
      <c r="HV26" s="588"/>
      <c r="HW26" s="588"/>
      <c r="HX26" s="588"/>
      <c r="HY26" s="588"/>
      <c r="HZ26" s="588"/>
      <c r="IA26" s="588"/>
      <c r="IB26" s="588"/>
      <c r="IC26" s="588"/>
      <c r="ID26" s="588"/>
      <c r="IE26" s="588"/>
      <c r="IF26" s="588"/>
      <c r="IG26" s="588"/>
      <c r="IH26" s="588"/>
      <c r="II26" s="588"/>
      <c r="IJ26" s="588"/>
      <c r="IK26" s="588"/>
      <c r="IL26" s="588"/>
      <c r="IM26" s="588"/>
      <c r="IN26" s="588"/>
      <c r="IO26" s="588"/>
      <c r="IP26" s="588"/>
      <c r="IQ26" s="588"/>
      <c r="IR26" s="588"/>
      <c r="IS26"/>
      <c r="IT26"/>
    </row>
    <row r="27" spans="1:254" ht="17.25" thickTop="1" thickBot="1" x14ac:dyDescent="0.3">
      <c r="A27" s="525" t="s">
        <v>569</v>
      </c>
      <c r="B27" s="541"/>
      <c r="C27" s="527"/>
      <c r="D27" s="527"/>
      <c r="E27" s="527">
        <v>0</v>
      </c>
      <c r="F27" s="542">
        <v>1968.93</v>
      </c>
      <c r="G27" s="542">
        <v>0</v>
      </c>
      <c r="H27" s="542">
        <f>SUM(F27:G27)</f>
        <v>1968.93</v>
      </c>
      <c r="I27" s="542">
        <f>F27</f>
        <v>1968.93</v>
      </c>
      <c r="J27" s="542">
        <f t="shared" ref="J27:K27" si="20">G27</f>
        <v>0</v>
      </c>
      <c r="K27" s="542">
        <f t="shared" si="20"/>
        <v>1968.93</v>
      </c>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c r="IP27" s="54"/>
      <c r="IQ27" s="54"/>
      <c r="IR27" s="54"/>
      <c r="IS27"/>
      <c r="IT27"/>
    </row>
    <row r="28" spans="1:254" ht="16.5" thickTop="1" x14ac:dyDescent="0.25">
      <c r="A28" s="55"/>
      <c r="B28" s="55"/>
      <c r="C28" s="48"/>
      <c r="D28" s="48"/>
      <c r="E28" s="48"/>
      <c r="F28" s="48"/>
      <c r="G28" s="48"/>
      <c r="H28" s="48"/>
    </row>
    <row r="29" spans="1:254" x14ac:dyDescent="0.25">
      <c r="A29" s="55"/>
      <c r="B29" s="55"/>
      <c r="C29" s="48"/>
      <c r="D29" s="48"/>
      <c r="E29" s="48"/>
      <c r="F29" s="48"/>
      <c r="G29" s="48"/>
      <c r="H29" s="48"/>
    </row>
    <row r="30" spans="1:254" x14ac:dyDescent="0.25">
      <c r="A30" s="55"/>
      <c r="B30" s="55"/>
      <c r="C30" s="48"/>
      <c r="D30" s="48"/>
      <c r="E30" s="48"/>
      <c r="F30" s="48"/>
      <c r="G30" s="48"/>
      <c r="H30" s="48"/>
    </row>
    <row r="31" spans="1:254" x14ac:dyDescent="0.25">
      <c r="A31" s="55"/>
      <c r="B31" s="55"/>
      <c r="C31" s="48"/>
      <c r="D31" s="48"/>
      <c r="E31" s="48"/>
      <c r="F31" s="48"/>
      <c r="G31" s="48"/>
      <c r="H31" s="48"/>
    </row>
    <row r="32" spans="1:254" x14ac:dyDescent="0.25">
      <c r="A32" s="55"/>
      <c r="B32" s="55"/>
      <c r="C32" s="48"/>
      <c r="D32" s="48"/>
      <c r="E32" s="48"/>
      <c r="F32" s="48"/>
      <c r="G32" s="48"/>
      <c r="H32" s="48"/>
    </row>
    <row r="33" spans="1:8" x14ac:dyDescent="0.25">
      <c r="A33" s="55"/>
      <c r="B33" s="55"/>
      <c r="C33" s="48"/>
      <c r="D33" s="48"/>
      <c r="E33" s="48"/>
      <c r="F33" s="48"/>
      <c r="G33" s="48"/>
      <c r="H33" s="48"/>
    </row>
    <row r="34" spans="1:8" x14ac:dyDescent="0.25">
      <c r="A34" s="55"/>
      <c r="B34" s="55"/>
      <c r="C34" s="48"/>
      <c r="D34" s="48"/>
      <c r="E34" s="48"/>
      <c r="F34" s="48"/>
      <c r="G34" s="48"/>
      <c r="H34" s="48"/>
    </row>
    <row r="35" spans="1:8" x14ac:dyDescent="0.25">
      <c r="A35" s="55"/>
      <c r="B35" s="55"/>
      <c r="C35" s="48"/>
      <c r="D35" s="48"/>
      <c r="E35" s="48"/>
      <c r="F35" s="48"/>
      <c r="G35" s="48"/>
      <c r="H35" s="48"/>
    </row>
    <row r="36" spans="1:8" x14ac:dyDescent="0.25">
      <c r="A36" s="55"/>
      <c r="B36" s="55"/>
      <c r="C36" s="48"/>
      <c r="D36" s="48"/>
      <c r="E36" s="48"/>
      <c r="F36" s="48"/>
      <c r="G36" s="48"/>
      <c r="H36" s="48"/>
    </row>
    <row r="37" spans="1:8" x14ac:dyDescent="0.25">
      <c r="A37" s="474"/>
      <c r="B37" s="474"/>
      <c r="C37" s="48"/>
      <c r="D37" s="48"/>
      <c r="E37" s="48"/>
      <c r="F37" s="48"/>
      <c r="G37" s="48"/>
      <c r="H37" s="48"/>
    </row>
    <row r="38" spans="1:8" x14ac:dyDescent="0.25">
      <c r="C38" s="473"/>
      <c r="D38" s="473"/>
      <c r="E38" s="473"/>
    </row>
  </sheetData>
  <mergeCells count="8">
    <mergeCell ref="A1:K1"/>
    <mergeCell ref="A2:K2"/>
    <mergeCell ref="A3:K3"/>
    <mergeCell ref="A6:A7"/>
    <mergeCell ref="B6:B7"/>
    <mergeCell ref="C6:E6"/>
    <mergeCell ref="F6:H6"/>
    <mergeCell ref="I6:K6"/>
  </mergeCells>
  <pageMargins left="0.51181102362204722" right="0.51181102362204722" top="0.94488188976377963" bottom="0.74803149606299213" header="0.31496062992125984" footer="0.31496062992125984"/>
  <pageSetup paperSize="9" scale="71" orientation="landscape" r:id="rId1"/>
  <headerFooter>
    <oddHeader>&amp;R&amp;"Times New Roman CE,Félkövér"&amp;11 &amp;"Times New Roman CE,Dőlt"&amp;10 4. melléklet
az 5/2019.(II.15.) önkormányzati rendelethez&amp;X4</oddHeader>
    <oddFooter>&amp;L&amp;X4&amp;X Módosította a  28/2019.(XII.13.) önkormányzati rendelet 8.§ (4) bekezdése, hatályos 2019. december 16-tól.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FBD77-B9D2-4F21-979C-E661A24F34B7}">
  <sheetPr>
    <tabColor theme="7" tint="0.39997558519241921"/>
  </sheetPr>
  <dimension ref="A1:C22"/>
  <sheetViews>
    <sheetView workbookViewId="0">
      <selection activeCell="F15" sqref="F15"/>
    </sheetView>
  </sheetViews>
  <sheetFormatPr defaultRowHeight="15.75" x14ac:dyDescent="0.25"/>
  <cols>
    <col min="1" max="1" width="44.5" style="48" customWidth="1"/>
    <col min="2" max="2" width="14.25" style="54" customWidth="1"/>
    <col min="3" max="3" width="16.125" style="55" customWidth="1"/>
  </cols>
  <sheetData>
    <row r="1" spans="1:3" x14ac:dyDescent="0.25">
      <c r="A1" s="1033" t="s">
        <v>349</v>
      </c>
      <c r="B1" s="1033"/>
      <c r="C1" s="1033"/>
    </row>
    <row r="2" spans="1:3" x14ac:dyDescent="0.25">
      <c r="A2" s="1033" t="s">
        <v>809</v>
      </c>
      <c r="B2" s="1033"/>
      <c r="C2" s="1033"/>
    </row>
    <row r="3" spans="1:3" x14ac:dyDescent="0.25">
      <c r="A3" s="1033" t="s">
        <v>1228</v>
      </c>
      <c r="B3" s="1033"/>
      <c r="C3" s="1033"/>
    </row>
    <row r="5" spans="1:3" ht="16.5" thickBot="1" x14ac:dyDescent="0.3"/>
    <row r="6" spans="1:3" ht="17.25" customHeight="1" thickTop="1" thickBot="1" x14ac:dyDescent="0.3">
      <c r="A6" s="96" t="s">
        <v>165</v>
      </c>
      <c r="B6" s="97" t="s">
        <v>230</v>
      </c>
      <c r="C6" s="1015" t="s">
        <v>181</v>
      </c>
    </row>
    <row r="7" spans="1:3" ht="16.5" thickTop="1" x14ac:dyDescent="0.25">
      <c r="A7" s="93" t="s">
        <v>344</v>
      </c>
      <c r="B7" s="94" t="s">
        <v>350</v>
      </c>
      <c r="C7" s="220">
        <f>'[5]3 bevétel(szűkített)'!K50</f>
        <v>49363769</v>
      </c>
    </row>
    <row r="8" spans="1:3" x14ac:dyDescent="0.25">
      <c r="A8" s="91" t="s">
        <v>351</v>
      </c>
      <c r="B8" s="92"/>
      <c r="C8" s="95">
        <f>'[5]3 bevétel(szűkített)'!K56</f>
        <v>18242152</v>
      </c>
    </row>
    <row r="9" spans="1:3" x14ac:dyDescent="0.25">
      <c r="A9" s="49" t="s">
        <v>488</v>
      </c>
      <c r="B9" s="88"/>
      <c r="C9" s="51">
        <f>'[5]3 bevétel(szűkített)'!K57</f>
        <v>11867289</v>
      </c>
    </row>
    <row r="10" spans="1:3" ht="31.5" x14ac:dyDescent="0.25">
      <c r="A10" s="49" t="s">
        <v>584</v>
      </c>
      <c r="B10" s="88"/>
      <c r="C10" s="51">
        <f>'[5]3 bevétel(szűkített)'!K58</f>
        <v>5305492</v>
      </c>
    </row>
    <row r="11" spans="1:3" s="85" customFormat="1" x14ac:dyDescent="0.25">
      <c r="A11" s="53" t="s">
        <v>649</v>
      </c>
      <c r="B11" s="87" t="s">
        <v>250</v>
      </c>
      <c r="C11" s="51">
        <f>SUM(C8:C10)</f>
        <v>35414933</v>
      </c>
    </row>
    <row r="12" spans="1:3" x14ac:dyDescent="0.25">
      <c r="A12" s="52"/>
      <c r="B12" s="53"/>
      <c r="C12" s="51"/>
    </row>
    <row r="13" spans="1:3" s="85" customFormat="1" x14ac:dyDescent="0.25">
      <c r="A13" s="53" t="s">
        <v>345</v>
      </c>
      <c r="B13" s="53" t="s">
        <v>240</v>
      </c>
      <c r="C13" s="51">
        <f>'[5]4 kiadás(szűkített)'!K22</f>
        <v>70070923</v>
      </c>
    </row>
    <row r="14" spans="1:3" x14ac:dyDescent="0.25">
      <c r="A14" s="49" t="s">
        <v>1023</v>
      </c>
      <c r="B14" s="53"/>
      <c r="C14" s="51">
        <f>'[5]4 kiadás(szűkített)'!K23</f>
        <v>2710038</v>
      </c>
    </row>
    <row r="15" spans="1:3" ht="31.5" x14ac:dyDescent="0.25">
      <c r="A15" s="125" t="s">
        <v>1024</v>
      </c>
      <c r="B15" s="589"/>
      <c r="C15" s="51">
        <f>'[5]4 kiadás(szűkített)'!K24</f>
        <v>130452</v>
      </c>
    </row>
    <row r="16" spans="1:3" x14ac:dyDescent="0.25">
      <c r="A16" s="125" t="s">
        <v>1025</v>
      </c>
      <c r="B16" s="589"/>
      <c r="C16" s="51">
        <f>'[5]4 kiadás(szűkített)'!K25</f>
        <v>11867289</v>
      </c>
    </row>
    <row r="17" spans="1:3" x14ac:dyDescent="0.25">
      <c r="A17" s="589" t="s">
        <v>585</v>
      </c>
      <c r="B17" s="589" t="s">
        <v>317</v>
      </c>
      <c r="C17" s="89">
        <f>SUM(C14+C15+C16)</f>
        <v>14707779</v>
      </c>
    </row>
    <row r="18" spans="1:3" x14ac:dyDescent="0.25">
      <c r="A18" s="52"/>
      <c r="B18" s="53"/>
      <c r="C18" s="50"/>
    </row>
    <row r="19" spans="1:3" s="85" customFormat="1" x14ac:dyDescent="0.25">
      <c r="A19" s="53" t="s">
        <v>346</v>
      </c>
      <c r="B19" s="53"/>
      <c r="C19" s="51">
        <f>SUM(C7-C13)</f>
        <v>-20707154</v>
      </c>
    </row>
    <row r="20" spans="1:3" s="85" customFormat="1" x14ac:dyDescent="0.25">
      <c r="A20" s="53" t="s">
        <v>347</v>
      </c>
      <c r="B20" s="53"/>
      <c r="C20" s="51">
        <f>SUM(C11-C17)</f>
        <v>20707154</v>
      </c>
    </row>
    <row r="21" spans="1:3" s="85" customFormat="1" ht="16.5" thickBot="1" x14ac:dyDescent="0.3">
      <c r="A21" s="90" t="s">
        <v>348</v>
      </c>
      <c r="B21" s="90"/>
      <c r="C21" s="86">
        <f>SUM(C19+C20)</f>
        <v>0</v>
      </c>
    </row>
    <row r="22" spans="1:3" ht="16.5" thickTop="1" x14ac:dyDescent="0.25"/>
  </sheetData>
  <mergeCells count="3">
    <mergeCell ref="A1:C1"/>
    <mergeCell ref="A2:C2"/>
    <mergeCell ref="A3:C3"/>
  </mergeCells>
  <pageMargins left="0.70866141732283472" right="0.70866141732283472" top="1.1417322834645669" bottom="0.74803149606299213" header="0.31496062992125984" footer="0.31496062992125984"/>
  <pageSetup paperSize="9" orientation="portrait" r:id="rId1"/>
  <headerFooter>
    <oddHeader>&amp;R&amp;"Times New Roman CE,Félkövér"&amp;10 &amp;"Times New Roman CE,Dőlt"5. melléklet
az 5/2019.(II.15.) önkormányzati rendelethez&amp;X5</oddHeader>
    <oddFooter>&amp;L&amp;X5&amp;X Módosította a  28/2019.(XII.13.) önkormányzati rendelet 8.§ (5) bekezdése, hatályos 2019. december 16-tól.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E30"/>
  <sheetViews>
    <sheetView zoomScaleNormal="100" workbookViewId="0">
      <selection activeCell="C35" sqref="C35"/>
    </sheetView>
  </sheetViews>
  <sheetFormatPr defaultRowHeight="15.75" x14ac:dyDescent="0.25"/>
  <cols>
    <col min="1" max="1" width="20" style="147" customWidth="1"/>
    <col min="2" max="2" width="39.875" style="147" customWidth="1"/>
    <col min="3" max="3" width="10.75" style="147" customWidth="1"/>
    <col min="4" max="4" width="12.625" style="147" customWidth="1"/>
    <col min="5" max="5" width="13" style="147" customWidth="1"/>
    <col min="6" max="7" width="9" style="147"/>
    <col min="8" max="8" width="9.875" style="147" bestFit="1" customWidth="1"/>
    <col min="9" max="16384" width="9" style="147"/>
  </cols>
  <sheetData>
    <row r="1" spans="1:5" ht="16.5" thickBot="1" x14ac:dyDescent="0.3">
      <c r="A1" s="1046" t="s">
        <v>263</v>
      </c>
      <c r="B1" s="1046"/>
      <c r="C1" s="1047" t="s">
        <v>837</v>
      </c>
      <c r="D1" s="1047"/>
      <c r="E1" s="1047"/>
    </row>
    <row r="2" spans="1:5" ht="48" thickBot="1" x14ac:dyDescent="0.3">
      <c r="A2" s="148" t="s">
        <v>838</v>
      </c>
      <c r="B2" s="148" t="s">
        <v>165</v>
      </c>
      <c r="C2" s="148" t="s">
        <v>264</v>
      </c>
      <c r="D2" s="148" t="s">
        <v>265</v>
      </c>
      <c r="E2" s="148" t="s">
        <v>266</v>
      </c>
    </row>
    <row r="3" spans="1:5" ht="31.5" x14ac:dyDescent="0.25">
      <c r="A3" s="149" t="s">
        <v>499</v>
      </c>
      <c r="B3" s="150" t="s">
        <v>267</v>
      </c>
      <c r="C3" s="151">
        <v>100</v>
      </c>
      <c r="D3" s="209" t="s">
        <v>839</v>
      </c>
      <c r="E3" s="161">
        <v>140</v>
      </c>
    </row>
    <row r="4" spans="1:5" ht="31.5" x14ac:dyDescent="0.25">
      <c r="A4" s="149" t="s">
        <v>268</v>
      </c>
      <c r="B4" s="150" t="s">
        <v>661</v>
      </c>
      <c r="C4" s="151"/>
      <c r="D4" s="151"/>
      <c r="E4" s="161">
        <v>1565039</v>
      </c>
    </row>
    <row r="5" spans="1:5" x14ac:dyDescent="0.25">
      <c r="A5" s="149" t="s">
        <v>269</v>
      </c>
      <c r="B5" s="150" t="s">
        <v>270</v>
      </c>
      <c r="C5" s="152">
        <v>81700</v>
      </c>
      <c r="D5" s="151"/>
      <c r="E5" s="161">
        <v>288889</v>
      </c>
    </row>
    <row r="6" spans="1:5" ht="47.25" x14ac:dyDescent="0.25">
      <c r="A6" s="149" t="s">
        <v>539</v>
      </c>
      <c r="B6" s="150" t="s">
        <v>662</v>
      </c>
      <c r="C6" s="152"/>
      <c r="D6" s="151"/>
      <c r="E6" s="161">
        <v>45555</v>
      </c>
    </row>
    <row r="7" spans="1:5" x14ac:dyDescent="0.25">
      <c r="A7" s="149" t="s">
        <v>840</v>
      </c>
      <c r="B7" s="150" t="s">
        <v>841</v>
      </c>
      <c r="C7" s="152"/>
      <c r="D7" s="151"/>
      <c r="E7" s="161">
        <v>1689</v>
      </c>
    </row>
    <row r="8" spans="1:5" x14ac:dyDescent="0.25">
      <c r="A8" s="149" t="s">
        <v>540</v>
      </c>
      <c r="B8" s="150" t="s">
        <v>663</v>
      </c>
      <c r="C8" s="152">
        <v>3400000</v>
      </c>
      <c r="D8" s="151"/>
      <c r="E8" s="161">
        <v>42160</v>
      </c>
    </row>
    <row r="9" spans="1:5" x14ac:dyDescent="0.25">
      <c r="A9" s="149" t="s">
        <v>496</v>
      </c>
      <c r="B9" s="150" t="s">
        <v>664</v>
      </c>
      <c r="C9" s="152">
        <v>3300000</v>
      </c>
      <c r="D9" s="151"/>
      <c r="E9" s="161">
        <v>76890</v>
      </c>
    </row>
    <row r="10" spans="1:5" x14ac:dyDescent="0.25">
      <c r="A10" s="149" t="s">
        <v>497</v>
      </c>
      <c r="B10" s="150" t="s">
        <v>271</v>
      </c>
      <c r="C10" s="152">
        <v>55360</v>
      </c>
      <c r="D10" s="151">
        <v>472</v>
      </c>
      <c r="E10" s="161">
        <v>26130</v>
      </c>
    </row>
    <row r="11" spans="1:5" x14ac:dyDescent="0.25">
      <c r="A11" s="149" t="s">
        <v>502</v>
      </c>
      <c r="B11" s="150" t="s">
        <v>665</v>
      </c>
      <c r="C11" s="152">
        <v>25000</v>
      </c>
      <c r="D11" s="151">
        <v>5</v>
      </c>
      <c r="E11" s="161">
        <v>125</v>
      </c>
    </row>
    <row r="12" spans="1:5" x14ac:dyDescent="0.25">
      <c r="A12" s="149" t="s">
        <v>502</v>
      </c>
      <c r="B12" s="150" t="s">
        <v>586</v>
      </c>
      <c r="C12" s="152">
        <v>330000</v>
      </c>
      <c r="D12" s="151">
        <v>109</v>
      </c>
      <c r="E12" s="161">
        <v>35970</v>
      </c>
    </row>
    <row r="13" spans="1:5" x14ac:dyDescent="0.25">
      <c r="A13" s="149" t="s">
        <v>272</v>
      </c>
      <c r="B13" s="153" t="s">
        <v>273</v>
      </c>
      <c r="C13" s="152">
        <v>109000</v>
      </c>
      <c r="D13" s="151">
        <v>78</v>
      </c>
      <c r="E13" s="161">
        <v>8502</v>
      </c>
    </row>
    <row r="14" spans="1:5" ht="31.5" x14ac:dyDescent="0.25">
      <c r="A14" s="149" t="s">
        <v>274</v>
      </c>
      <c r="B14" s="153" t="s">
        <v>275</v>
      </c>
      <c r="C14" s="152">
        <v>500000</v>
      </c>
      <c r="D14" s="151">
        <v>18</v>
      </c>
      <c r="E14" s="161">
        <v>9000</v>
      </c>
    </row>
    <row r="15" spans="1:5" x14ac:dyDescent="0.25">
      <c r="A15" s="149" t="s">
        <v>276</v>
      </c>
      <c r="B15" s="153" t="s">
        <v>277</v>
      </c>
      <c r="C15" s="152">
        <v>206100</v>
      </c>
      <c r="D15" s="151">
        <v>60</v>
      </c>
      <c r="E15" s="161">
        <v>12366</v>
      </c>
    </row>
    <row r="16" spans="1:5" x14ac:dyDescent="0.25">
      <c r="A16" s="149" t="s">
        <v>278</v>
      </c>
      <c r="B16" s="153" t="s">
        <v>279</v>
      </c>
      <c r="C16" s="152">
        <v>490000</v>
      </c>
      <c r="D16" s="151">
        <v>113</v>
      </c>
      <c r="E16" s="161">
        <v>55370</v>
      </c>
    </row>
    <row r="17" spans="1:5" ht="31.5" x14ac:dyDescent="0.25">
      <c r="A17" s="149" t="s">
        <v>842</v>
      </c>
      <c r="B17" s="153" t="s">
        <v>843</v>
      </c>
      <c r="C17" s="152"/>
      <c r="D17" s="151"/>
      <c r="E17" s="161">
        <v>102297</v>
      </c>
    </row>
    <row r="18" spans="1:5" ht="94.5" x14ac:dyDescent="0.25">
      <c r="A18" s="149" t="s">
        <v>280</v>
      </c>
      <c r="B18" s="153" t="s">
        <v>587</v>
      </c>
      <c r="C18" s="152">
        <v>2848000</v>
      </c>
      <c r="D18" s="151">
        <v>74</v>
      </c>
      <c r="E18" s="161">
        <v>210752</v>
      </c>
    </row>
    <row r="19" spans="1:5" ht="78.75" x14ac:dyDescent="0.25">
      <c r="A19" s="149" t="s">
        <v>281</v>
      </c>
      <c r="B19" s="153" t="s">
        <v>666</v>
      </c>
      <c r="C19" s="152"/>
      <c r="D19" s="151"/>
      <c r="E19" s="161">
        <v>192963</v>
      </c>
    </row>
    <row r="20" spans="1:5" ht="47.25" x14ac:dyDescent="0.25">
      <c r="A20" s="149" t="s">
        <v>282</v>
      </c>
      <c r="B20" s="153" t="s">
        <v>667</v>
      </c>
      <c r="C20" s="152">
        <v>1900000</v>
      </c>
      <c r="D20" s="154">
        <v>160.41</v>
      </c>
      <c r="E20" s="161">
        <v>304779</v>
      </c>
    </row>
    <row r="21" spans="1:5" ht="47.25" x14ac:dyDescent="0.25">
      <c r="A21" s="149" t="s">
        <v>498</v>
      </c>
      <c r="B21" s="153" t="s">
        <v>668</v>
      </c>
      <c r="C21" s="152"/>
      <c r="D21" s="151"/>
      <c r="E21" s="161">
        <v>378003</v>
      </c>
    </row>
    <row r="22" spans="1:5" ht="31.5" x14ac:dyDescent="0.25">
      <c r="A22" s="149" t="s">
        <v>588</v>
      </c>
      <c r="B22" s="153" t="s">
        <v>669</v>
      </c>
      <c r="C22" s="152">
        <v>285</v>
      </c>
      <c r="D22" s="151">
        <v>69</v>
      </c>
      <c r="E22" s="162">
        <v>19</v>
      </c>
    </row>
    <row r="23" spans="1:5" x14ac:dyDescent="0.25">
      <c r="A23" s="149" t="s">
        <v>589</v>
      </c>
      <c r="B23" s="153" t="s">
        <v>670</v>
      </c>
      <c r="C23" s="152"/>
      <c r="D23" s="151"/>
      <c r="E23" s="161">
        <v>284309</v>
      </c>
    </row>
    <row r="24" spans="1:5" ht="31.5" x14ac:dyDescent="0.25">
      <c r="A24" s="149" t="s">
        <v>283</v>
      </c>
      <c r="B24" s="153" t="s">
        <v>284</v>
      </c>
      <c r="C24" s="152"/>
      <c r="D24" s="151"/>
      <c r="E24" s="161">
        <v>231000</v>
      </c>
    </row>
    <row r="25" spans="1:5" ht="31.5" x14ac:dyDescent="0.25">
      <c r="A25" s="149" t="s">
        <v>285</v>
      </c>
      <c r="B25" s="153" t="s">
        <v>671</v>
      </c>
      <c r="C25" s="152"/>
      <c r="D25" s="151"/>
      <c r="E25" s="161">
        <v>176100</v>
      </c>
    </row>
    <row r="26" spans="1:5" ht="31.5" x14ac:dyDescent="0.25">
      <c r="A26" s="149" t="s">
        <v>286</v>
      </c>
      <c r="B26" s="153" t="s">
        <v>500</v>
      </c>
      <c r="C26" s="152">
        <v>454</v>
      </c>
      <c r="D26" s="155">
        <v>97190</v>
      </c>
      <c r="E26" s="161">
        <v>44124</v>
      </c>
    </row>
    <row r="27" spans="1:5" ht="31.5" x14ac:dyDescent="0.25">
      <c r="A27" s="149" t="s">
        <v>339</v>
      </c>
      <c r="B27" s="153" t="s">
        <v>672</v>
      </c>
      <c r="C27" s="152"/>
      <c r="D27" s="151"/>
      <c r="E27" s="161">
        <v>71047</v>
      </c>
    </row>
    <row r="28" spans="1:5" ht="48" thickBot="1" x14ac:dyDescent="0.3">
      <c r="A28" s="149" t="s">
        <v>501</v>
      </c>
      <c r="B28" s="153" t="s">
        <v>287</v>
      </c>
      <c r="C28" s="152"/>
      <c r="D28" s="151"/>
      <c r="E28" s="161">
        <v>301800</v>
      </c>
    </row>
    <row r="29" spans="1:5" ht="16.5" thickBot="1" x14ac:dyDescent="0.3">
      <c r="A29" s="156" t="s">
        <v>288</v>
      </c>
      <c r="B29" s="157"/>
      <c r="C29" s="158"/>
      <c r="D29" s="158"/>
      <c r="E29" s="159">
        <f>SUM(E3:E28)</f>
        <v>4465018</v>
      </c>
    </row>
    <row r="30" spans="1:5" x14ac:dyDescent="0.25">
      <c r="B30" s="160"/>
    </row>
  </sheetData>
  <mergeCells count="2">
    <mergeCell ref="A1:B1"/>
    <mergeCell ref="C1:E1"/>
  </mergeCells>
  <pageMargins left="0.70866141732283472" right="0.70866141732283472" top="1.1417322834645669" bottom="0.6692913385826772" header="0.31496062992125984" footer="0.31496062992125984"/>
  <pageSetup paperSize="9" scale="82" orientation="portrait" r:id="rId1"/>
  <headerFooter>
    <oddHeader>&amp;C&amp;"Times New Roman CE,Félkövér"
2019. évi központi költségvetésből
 származó  állami hozzájárulás (eFt-ban)&amp;R&amp;"Times New Roman CE,Félkövér"6. melléklet
 az 5/2019.(II.15.) önkormányzati rendelethez</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D4F5F-5DAE-49D2-8903-1AE2AAE6EF09}">
  <sheetPr>
    <tabColor theme="7" tint="0.39997558519241921"/>
  </sheetPr>
  <dimension ref="A1:P529"/>
  <sheetViews>
    <sheetView view="pageBreakPreview" zoomScale="60" zoomScaleNormal="77" workbookViewId="0">
      <selection sqref="A1:O1"/>
    </sheetView>
  </sheetViews>
  <sheetFormatPr defaultRowHeight="15.75" x14ac:dyDescent="0.25"/>
  <cols>
    <col min="1" max="1" width="3.125" style="1110" customWidth="1"/>
    <col min="2" max="2" width="38.25" style="254" customWidth="1"/>
    <col min="3" max="3" width="15.75" style="1104" customWidth="1"/>
    <col min="4" max="4" width="16.875" style="1104" customWidth="1"/>
    <col min="5" max="5" width="11.75" style="1104" customWidth="1"/>
    <col min="6" max="6" width="10.125" style="1104" customWidth="1"/>
    <col min="7" max="7" width="12.625" style="1104" customWidth="1"/>
    <col min="8" max="8" width="13.25" style="1104" customWidth="1"/>
    <col min="9" max="9" width="12.375" style="1104" customWidth="1"/>
    <col min="10" max="10" width="13.75" style="1104" customWidth="1"/>
    <col min="11" max="11" width="13.375" style="1104" customWidth="1"/>
    <col min="12" max="12" width="14" style="1104" customWidth="1"/>
    <col min="13" max="13" width="14.875" style="1104" customWidth="1"/>
    <col min="14" max="14" width="12.5" style="1104" customWidth="1"/>
    <col min="15" max="15" width="11.125" style="1104" customWidth="1"/>
    <col min="16" max="16" width="10.25" style="1104" customWidth="1"/>
    <col min="17" max="17" width="9.25" style="1104" bestFit="1" customWidth="1"/>
    <col min="18" max="16384" width="9" style="1104"/>
  </cols>
  <sheetData>
    <row r="1" spans="1:15" s="147" customFormat="1" x14ac:dyDescent="0.25">
      <c r="A1" s="1056" t="s">
        <v>1420</v>
      </c>
      <c r="B1" s="1056"/>
      <c r="C1" s="1056"/>
      <c r="D1" s="1056"/>
      <c r="E1" s="1056"/>
      <c r="F1" s="1056"/>
      <c r="G1" s="1056"/>
      <c r="H1" s="1056"/>
      <c r="I1" s="1056"/>
      <c r="J1" s="1056"/>
      <c r="K1" s="1056"/>
      <c r="L1" s="1056"/>
      <c r="M1" s="1056"/>
      <c r="N1" s="1056"/>
      <c r="O1" s="1056"/>
    </row>
    <row r="2" spans="1:15" s="147" customFormat="1" ht="48" customHeight="1" thickBot="1" x14ac:dyDescent="0.3">
      <c r="A2" s="1102" t="s">
        <v>1228</v>
      </c>
      <c r="B2" s="1102"/>
      <c r="C2" s="1102"/>
      <c r="D2" s="1102"/>
      <c r="E2" s="1102"/>
      <c r="F2" s="1102"/>
      <c r="G2" s="1102"/>
      <c r="H2" s="1102"/>
      <c r="I2" s="1102"/>
      <c r="J2" s="1102"/>
      <c r="K2" s="1102"/>
      <c r="L2" s="1102"/>
      <c r="M2" s="1102"/>
      <c r="N2" s="1102"/>
      <c r="O2" s="1102"/>
    </row>
    <row r="3" spans="1:15" ht="21.75" customHeight="1" thickBot="1" x14ac:dyDescent="0.3">
      <c r="A3" s="1103" t="s">
        <v>1026</v>
      </c>
      <c r="B3" s="1048" t="s">
        <v>454</v>
      </c>
      <c r="C3" s="1048" t="s">
        <v>417</v>
      </c>
      <c r="D3" s="1048" t="s">
        <v>418</v>
      </c>
      <c r="E3" s="1048" t="s">
        <v>419</v>
      </c>
      <c r="F3" s="1048" t="s">
        <v>79</v>
      </c>
      <c r="G3" s="1048" t="s">
        <v>85</v>
      </c>
      <c r="H3" s="1048" t="s">
        <v>420</v>
      </c>
      <c r="I3" s="1048" t="s">
        <v>421</v>
      </c>
      <c r="J3" s="1048" t="s">
        <v>1027</v>
      </c>
      <c r="K3" s="1048" t="s">
        <v>1028</v>
      </c>
      <c r="L3" s="1048" t="s">
        <v>422</v>
      </c>
      <c r="M3" s="1050" t="s">
        <v>1029</v>
      </c>
      <c r="N3" s="1051"/>
      <c r="O3" s="1048" t="s">
        <v>1030</v>
      </c>
    </row>
    <row r="4" spans="1:15" ht="33.75" customHeight="1" thickBot="1" x14ac:dyDescent="0.3">
      <c r="A4" s="1105"/>
      <c r="B4" s="1049"/>
      <c r="C4" s="1049"/>
      <c r="D4" s="1049"/>
      <c r="E4" s="1049"/>
      <c r="F4" s="1049"/>
      <c r="G4" s="1049"/>
      <c r="H4" s="1049"/>
      <c r="I4" s="1049"/>
      <c r="J4" s="1049"/>
      <c r="K4" s="1049"/>
      <c r="L4" s="1049"/>
      <c r="M4" s="221" t="s">
        <v>423</v>
      </c>
      <c r="N4" s="222" t="s">
        <v>424</v>
      </c>
      <c r="O4" s="1049"/>
    </row>
    <row r="5" spans="1:15" thickBot="1" x14ac:dyDescent="0.3">
      <c r="A5" s="1106"/>
      <c r="B5" s="1019"/>
      <c r="C5" s="1020" t="s">
        <v>241</v>
      </c>
      <c r="D5" s="1020" t="s">
        <v>242</v>
      </c>
      <c r="E5" s="1020" t="s">
        <v>243</v>
      </c>
      <c r="F5" s="1020" t="s">
        <v>244</v>
      </c>
      <c r="G5" s="1020" t="s">
        <v>245</v>
      </c>
      <c r="H5" s="1020" t="s">
        <v>246</v>
      </c>
      <c r="I5" s="1020" t="s">
        <v>247</v>
      </c>
      <c r="J5" s="104" t="s">
        <v>425</v>
      </c>
      <c r="K5" s="105" t="s">
        <v>426</v>
      </c>
      <c r="L5" s="1020" t="s">
        <v>1031</v>
      </c>
      <c r="M5" s="1052" t="s">
        <v>250</v>
      </c>
      <c r="N5" s="1053"/>
      <c r="O5" s="223" t="s">
        <v>1032</v>
      </c>
    </row>
    <row r="6" spans="1:15" ht="17.25" thickTop="1" thickBot="1" x14ac:dyDescent="0.3">
      <c r="A6" s="224"/>
      <c r="B6" s="225" t="s">
        <v>169</v>
      </c>
      <c r="C6" s="106" t="s">
        <v>170</v>
      </c>
      <c r="D6" s="106" t="s">
        <v>171</v>
      </c>
      <c r="E6" s="106" t="s">
        <v>172</v>
      </c>
      <c r="F6" s="106" t="s">
        <v>173</v>
      </c>
      <c r="G6" s="106" t="s">
        <v>388</v>
      </c>
      <c r="H6" s="106" t="s">
        <v>37</v>
      </c>
      <c r="I6" s="106" t="s">
        <v>38</v>
      </c>
      <c r="J6" s="106" t="s">
        <v>427</v>
      </c>
      <c r="K6" s="106" t="s">
        <v>428</v>
      </c>
      <c r="L6" s="106" t="s">
        <v>429</v>
      </c>
      <c r="M6" s="1054" t="s">
        <v>42</v>
      </c>
      <c r="N6" s="1055"/>
      <c r="O6" s="107" t="s">
        <v>430</v>
      </c>
    </row>
    <row r="7" spans="1:15" ht="16.5" thickTop="1" x14ac:dyDescent="0.25">
      <c r="A7" s="226" t="s">
        <v>221</v>
      </c>
      <c r="B7" s="590" t="s">
        <v>393</v>
      </c>
      <c r="C7" s="590"/>
      <c r="D7" s="590"/>
      <c r="E7" s="590"/>
      <c r="F7" s="590"/>
      <c r="G7" s="590"/>
      <c r="H7" s="590"/>
      <c r="I7" s="590"/>
      <c r="J7" s="590"/>
      <c r="K7" s="590"/>
      <c r="L7" s="590"/>
      <c r="M7" s="590"/>
      <c r="N7" s="590"/>
      <c r="O7" s="590"/>
    </row>
    <row r="8" spans="1:15" x14ac:dyDescent="0.25">
      <c r="A8" s="226"/>
      <c r="B8" s="591" t="s">
        <v>998</v>
      </c>
      <c r="C8" s="591">
        <v>442806</v>
      </c>
      <c r="D8" s="591"/>
      <c r="E8" s="591"/>
      <c r="F8" s="591">
        <v>22081</v>
      </c>
      <c r="G8" s="591"/>
      <c r="H8" s="591"/>
      <c r="I8" s="591"/>
      <c r="J8" s="591">
        <f>SUM(C8+E8+F8+H8)</f>
        <v>464887</v>
      </c>
      <c r="K8" s="591">
        <f>SUM(D8+G8+I8)</f>
        <v>0</v>
      </c>
      <c r="L8" s="591">
        <f>SUM(J8:K8)</f>
        <v>464887</v>
      </c>
      <c r="M8" s="591">
        <v>307550</v>
      </c>
      <c r="N8" s="591">
        <v>115033</v>
      </c>
      <c r="O8" s="591">
        <f>SUM(L8:N8)</f>
        <v>887470</v>
      </c>
    </row>
    <row r="9" spans="1:15" s="1107" customFormat="1" x14ac:dyDescent="0.25">
      <c r="A9" s="227"/>
      <c r="B9" s="228" t="s">
        <v>1033</v>
      </c>
      <c r="C9" s="228">
        <v>341118</v>
      </c>
      <c r="D9" s="228"/>
      <c r="E9" s="228"/>
      <c r="F9" s="228">
        <v>21606</v>
      </c>
      <c r="G9" s="228"/>
      <c r="H9" s="228"/>
      <c r="I9" s="229"/>
      <c r="J9" s="229">
        <f>SUM(C9+E9+F9+H9)</f>
        <v>362724</v>
      </c>
      <c r="K9" s="229">
        <f>SUM(D9+G9+I9)</f>
        <v>0</v>
      </c>
      <c r="L9" s="229">
        <f>SUM(J9:K9)</f>
        <v>362724</v>
      </c>
      <c r="M9" s="229">
        <v>199670</v>
      </c>
      <c r="N9" s="229">
        <v>115033</v>
      </c>
      <c r="O9" s="229">
        <f>SUM(L9:N9)</f>
        <v>677427</v>
      </c>
    </row>
    <row r="10" spans="1:15" s="1107" customFormat="1" x14ac:dyDescent="0.25">
      <c r="A10" s="227"/>
      <c r="B10" s="228" t="s">
        <v>1034</v>
      </c>
      <c r="C10" s="228">
        <v>101688</v>
      </c>
      <c r="D10" s="228"/>
      <c r="E10" s="228"/>
      <c r="F10" s="228">
        <v>475</v>
      </c>
      <c r="G10" s="228"/>
      <c r="H10" s="228"/>
      <c r="I10" s="229"/>
      <c r="J10" s="229">
        <f>SUM(C10+E10+F10+H10)</f>
        <v>102163</v>
      </c>
      <c r="K10" s="229">
        <f>SUM(D10+G10+I10)</f>
        <v>0</v>
      </c>
      <c r="L10" s="229">
        <f>SUM(J10:K10)</f>
        <v>102163</v>
      </c>
      <c r="M10" s="229">
        <v>107880</v>
      </c>
      <c r="N10" s="229"/>
      <c r="O10" s="229">
        <f>SUM(L10:N10)</f>
        <v>210043</v>
      </c>
    </row>
    <row r="11" spans="1:15" s="1107" customFormat="1" x14ac:dyDescent="0.25">
      <c r="A11" s="227"/>
      <c r="B11" s="228" t="s">
        <v>160</v>
      </c>
      <c r="C11" s="230"/>
      <c r="D11" s="230"/>
      <c r="E11" s="230"/>
      <c r="F11" s="230"/>
      <c r="G11" s="230"/>
      <c r="H11" s="230"/>
      <c r="I11" s="230"/>
      <c r="J11" s="229"/>
      <c r="K11" s="229"/>
      <c r="L11" s="229"/>
      <c r="M11" s="230"/>
      <c r="N11" s="230"/>
      <c r="O11" s="229"/>
    </row>
    <row r="12" spans="1:15" x14ac:dyDescent="0.25">
      <c r="A12" s="226"/>
      <c r="B12" s="230" t="s">
        <v>1229</v>
      </c>
      <c r="C12" s="230"/>
      <c r="D12" s="230"/>
      <c r="E12" s="230"/>
      <c r="F12" s="230"/>
      <c r="G12" s="230"/>
      <c r="H12" s="230"/>
      <c r="I12" s="230"/>
      <c r="J12" s="229">
        <f t="shared" ref="J12:J17" si="0">SUM(C12+E12+F12+H12)</f>
        <v>0</v>
      </c>
      <c r="K12" s="230">
        <f t="shared" ref="K12:K17" si="1">SUM(D12+G12+I12)</f>
        <v>0</v>
      </c>
      <c r="L12" s="230">
        <f t="shared" ref="L12:L17" si="2">SUM(J12:K12)</f>
        <v>0</v>
      </c>
      <c r="M12" s="230">
        <v>1524</v>
      </c>
      <c r="N12" s="230"/>
      <c r="O12" s="230">
        <f t="shared" ref="O12:O17" si="3">SUM(L12:N12)</f>
        <v>1524</v>
      </c>
    </row>
    <row r="13" spans="1:15" ht="47.25" x14ac:dyDescent="0.25">
      <c r="A13" s="226"/>
      <c r="B13" s="230" t="s">
        <v>1230</v>
      </c>
      <c r="C13" s="230"/>
      <c r="D13" s="230"/>
      <c r="E13" s="230"/>
      <c r="F13" s="230"/>
      <c r="G13" s="230"/>
      <c r="H13" s="230"/>
      <c r="I13" s="230"/>
      <c r="J13" s="229">
        <f t="shared" si="0"/>
        <v>0</v>
      </c>
      <c r="K13" s="230">
        <f t="shared" si="1"/>
        <v>0</v>
      </c>
      <c r="L13" s="230">
        <f t="shared" si="2"/>
        <v>0</v>
      </c>
      <c r="M13" s="230">
        <v>2068</v>
      </c>
      <c r="N13" s="230"/>
      <c r="O13" s="230">
        <f t="shared" si="3"/>
        <v>2068</v>
      </c>
    </row>
    <row r="14" spans="1:15" ht="31.5" x14ac:dyDescent="0.25">
      <c r="A14" s="226"/>
      <c r="B14" s="230" t="s">
        <v>1153</v>
      </c>
      <c r="C14" s="230">
        <v>34316</v>
      </c>
      <c r="D14" s="230"/>
      <c r="E14" s="230"/>
      <c r="F14" s="230">
        <v>9438</v>
      </c>
      <c r="G14" s="230"/>
      <c r="H14" s="230"/>
      <c r="I14" s="230"/>
      <c r="J14" s="229">
        <f t="shared" si="0"/>
        <v>43754</v>
      </c>
      <c r="K14" s="230">
        <f t="shared" si="1"/>
        <v>0</v>
      </c>
      <c r="L14" s="230">
        <f t="shared" si="2"/>
        <v>43754</v>
      </c>
      <c r="M14" s="230"/>
      <c r="N14" s="230"/>
      <c r="O14" s="230">
        <f t="shared" si="3"/>
        <v>43754</v>
      </c>
    </row>
    <row r="15" spans="1:15" s="1107" customFormat="1" x14ac:dyDescent="0.25">
      <c r="A15" s="227"/>
      <c r="B15" s="228" t="s">
        <v>161</v>
      </c>
      <c r="C15" s="230"/>
      <c r="D15" s="230"/>
      <c r="E15" s="230"/>
      <c r="F15" s="230"/>
      <c r="G15" s="230"/>
      <c r="H15" s="230"/>
      <c r="I15" s="230"/>
      <c r="J15" s="229"/>
      <c r="K15" s="230"/>
      <c r="L15" s="230"/>
      <c r="M15" s="230"/>
      <c r="N15" s="230"/>
      <c r="O15" s="230"/>
    </row>
    <row r="16" spans="1:15" x14ac:dyDescent="0.25">
      <c r="A16" s="226"/>
      <c r="B16" s="230" t="s">
        <v>1231</v>
      </c>
      <c r="C16" s="230"/>
      <c r="D16" s="230"/>
      <c r="E16" s="230"/>
      <c r="F16" s="230"/>
      <c r="G16" s="230"/>
      <c r="H16" s="230"/>
      <c r="I16" s="230"/>
      <c r="J16" s="229">
        <f t="shared" si="0"/>
        <v>0</v>
      </c>
      <c r="K16" s="230">
        <f t="shared" si="1"/>
        <v>0</v>
      </c>
      <c r="L16" s="230">
        <f t="shared" si="2"/>
        <v>0</v>
      </c>
      <c r="M16" s="230">
        <v>4032</v>
      </c>
      <c r="N16" s="230"/>
      <c r="O16" s="230">
        <f t="shared" si="3"/>
        <v>4032</v>
      </c>
    </row>
    <row r="17" spans="1:16" ht="32.25" thickBot="1" x14ac:dyDescent="0.3">
      <c r="A17" s="226"/>
      <c r="B17" s="230" t="s">
        <v>1232</v>
      </c>
      <c r="C17" s="230"/>
      <c r="D17" s="230"/>
      <c r="E17" s="230"/>
      <c r="F17" s="230"/>
      <c r="G17" s="230"/>
      <c r="H17" s="230"/>
      <c r="I17" s="230"/>
      <c r="J17" s="229">
        <f t="shared" si="0"/>
        <v>0</v>
      </c>
      <c r="K17" s="230">
        <f t="shared" si="1"/>
        <v>0</v>
      </c>
      <c r="L17" s="230">
        <f t="shared" si="2"/>
        <v>0</v>
      </c>
      <c r="M17" s="230">
        <v>159</v>
      </c>
      <c r="N17" s="230"/>
      <c r="O17" s="230">
        <f t="shared" si="3"/>
        <v>159</v>
      </c>
    </row>
    <row r="18" spans="1:16" ht="17.25" thickTop="1" thickBot="1" x14ac:dyDescent="0.3">
      <c r="A18" s="224"/>
      <c r="B18" s="231" t="s">
        <v>1035</v>
      </c>
      <c r="C18" s="231">
        <f>+C8+C12+C16+C17+C13+C14</f>
        <v>477122</v>
      </c>
      <c r="D18" s="231">
        <f t="shared" ref="D18:O18" si="4">+D8+D12+D16+D17+D13+D14</f>
        <v>0</v>
      </c>
      <c r="E18" s="231">
        <f t="shared" si="4"/>
        <v>0</v>
      </c>
      <c r="F18" s="231">
        <f t="shared" si="4"/>
        <v>31519</v>
      </c>
      <c r="G18" s="231">
        <f t="shared" si="4"/>
        <v>0</v>
      </c>
      <c r="H18" s="231">
        <f t="shared" si="4"/>
        <v>0</v>
      </c>
      <c r="I18" s="231">
        <f t="shared" si="4"/>
        <v>0</v>
      </c>
      <c r="J18" s="231">
        <f t="shared" si="4"/>
        <v>508641</v>
      </c>
      <c r="K18" s="231">
        <f t="shared" si="4"/>
        <v>0</v>
      </c>
      <c r="L18" s="231">
        <f t="shared" si="4"/>
        <v>508641</v>
      </c>
      <c r="M18" s="231">
        <f t="shared" si="4"/>
        <v>315333</v>
      </c>
      <c r="N18" s="231">
        <f t="shared" si="4"/>
        <v>115033</v>
      </c>
      <c r="O18" s="231">
        <f t="shared" si="4"/>
        <v>939007</v>
      </c>
      <c r="P18" s="1104">
        <f>O19+O20</f>
        <v>939007</v>
      </c>
    </row>
    <row r="19" spans="1:16" ht="17.25" thickTop="1" thickBot="1" x14ac:dyDescent="0.3">
      <c r="A19" s="224"/>
      <c r="B19" s="231" t="s">
        <v>1036</v>
      </c>
      <c r="C19" s="231">
        <f>+C9+C12+C13+C14</f>
        <v>375434</v>
      </c>
      <c r="D19" s="231">
        <f t="shared" ref="D19:O19" si="5">+D9+D12+D13+D14</f>
        <v>0</v>
      </c>
      <c r="E19" s="231">
        <f t="shared" si="5"/>
        <v>0</v>
      </c>
      <c r="F19" s="231">
        <f t="shared" si="5"/>
        <v>31044</v>
      </c>
      <c r="G19" s="231">
        <f t="shared" si="5"/>
        <v>0</v>
      </c>
      <c r="H19" s="231">
        <f t="shared" si="5"/>
        <v>0</v>
      </c>
      <c r="I19" s="231">
        <f t="shared" si="5"/>
        <v>0</v>
      </c>
      <c r="J19" s="231">
        <f t="shared" si="5"/>
        <v>406478</v>
      </c>
      <c r="K19" s="231">
        <f t="shared" si="5"/>
        <v>0</v>
      </c>
      <c r="L19" s="231">
        <f t="shared" si="5"/>
        <v>406478</v>
      </c>
      <c r="M19" s="231">
        <f t="shared" si="5"/>
        <v>203262</v>
      </c>
      <c r="N19" s="231">
        <f t="shared" si="5"/>
        <v>115033</v>
      </c>
      <c r="O19" s="231">
        <f t="shared" si="5"/>
        <v>724773</v>
      </c>
    </row>
    <row r="20" spans="1:16" ht="17.25" thickTop="1" thickBot="1" x14ac:dyDescent="0.3">
      <c r="A20" s="224"/>
      <c r="B20" s="231" t="s">
        <v>1037</v>
      </c>
      <c r="C20" s="231">
        <f>+C10+C16+C17</f>
        <v>101688</v>
      </c>
      <c r="D20" s="231">
        <f t="shared" ref="D20:O20" si="6">+D10+D16+D17</f>
        <v>0</v>
      </c>
      <c r="E20" s="231">
        <f t="shared" si="6"/>
        <v>0</v>
      </c>
      <c r="F20" s="231">
        <f t="shared" si="6"/>
        <v>475</v>
      </c>
      <c r="G20" s="231">
        <f t="shared" si="6"/>
        <v>0</v>
      </c>
      <c r="H20" s="231">
        <f t="shared" si="6"/>
        <v>0</v>
      </c>
      <c r="I20" s="231">
        <f t="shared" si="6"/>
        <v>0</v>
      </c>
      <c r="J20" s="231">
        <f t="shared" si="6"/>
        <v>102163</v>
      </c>
      <c r="K20" s="231">
        <f t="shared" si="6"/>
        <v>0</v>
      </c>
      <c r="L20" s="231">
        <f t="shared" si="6"/>
        <v>102163</v>
      </c>
      <c r="M20" s="231">
        <f t="shared" si="6"/>
        <v>112071</v>
      </c>
      <c r="N20" s="231">
        <f t="shared" si="6"/>
        <v>0</v>
      </c>
      <c r="O20" s="231">
        <f t="shared" si="6"/>
        <v>214234</v>
      </c>
    </row>
    <row r="21" spans="1:16" ht="32.25" thickTop="1" x14ac:dyDescent="0.25">
      <c r="A21" s="226" t="s">
        <v>222</v>
      </c>
      <c r="B21" s="590" t="s">
        <v>394</v>
      </c>
      <c r="C21" s="590"/>
      <c r="D21" s="590"/>
      <c r="E21" s="590"/>
      <c r="F21" s="590"/>
      <c r="G21" s="590"/>
      <c r="H21" s="590"/>
      <c r="I21" s="590"/>
      <c r="J21" s="591"/>
      <c r="K21" s="591"/>
      <c r="L21" s="591"/>
      <c r="M21" s="591"/>
      <c r="N21" s="591"/>
      <c r="O21" s="591"/>
    </row>
    <row r="22" spans="1:16" x14ac:dyDescent="0.25">
      <c r="A22" s="226"/>
      <c r="B22" s="591" t="s">
        <v>998</v>
      </c>
      <c r="C22" s="591">
        <v>7446</v>
      </c>
      <c r="D22" s="591"/>
      <c r="E22" s="591"/>
      <c r="F22" s="591">
        <v>14282</v>
      </c>
      <c r="G22" s="591"/>
      <c r="H22" s="591"/>
      <c r="I22" s="591"/>
      <c r="J22" s="591">
        <f>SUM(C22+E22+F22+H22)</f>
        <v>21728</v>
      </c>
      <c r="K22" s="591">
        <f>SUM(D22+G22+I22)</f>
        <v>0</v>
      </c>
      <c r="L22" s="591">
        <f>SUM(J22:K22)</f>
        <v>21728</v>
      </c>
      <c r="M22" s="591">
        <v>116759</v>
      </c>
      <c r="N22" s="591">
        <v>1048</v>
      </c>
      <c r="O22" s="591">
        <f>SUM(L22:N22)</f>
        <v>139535</v>
      </c>
    </row>
    <row r="23" spans="1:16" s="1107" customFormat="1" x14ac:dyDescent="0.25">
      <c r="A23" s="227"/>
      <c r="B23" s="228" t="s">
        <v>1033</v>
      </c>
      <c r="C23" s="228">
        <v>7446</v>
      </c>
      <c r="D23" s="228"/>
      <c r="E23" s="228"/>
      <c r="F23" s="228">
        <v>5713</v>
      </c>
      <c r="G23" s="228"/>
      <c r="H23" s="228"/>
      <c r="I23" s="228"/>
      <c r="J23" s="229">
        <f>SUM(C23+E23+F23+H23)</f>
        <v>13159</v>
      </c>
      <c r="K23" s="229">
        <f>SUM(D23+G23+I23)</f>
        <v>0</v>
      </c>
      <c r="L23" s="229">
        <f>SUM(J23:K23)</f>
        <v>13159</v>
      </c>
      <c r="M23" s="229">
        <v>55176</v>
      </c>
      <c r="N23" s="229">
        <v>1048</v>
      </c>
      <c r="O23" s="229">
        <f>SUM(L23:N23)</f>
        <v>69383</v>
      </c>
    </row>
    <row r="24" spans="1:16" s="1107" customFormat="1" x14ac:dyDescent="0.25">
      <c r="A24" s="227"/>
      <c r="B24" s="228" t="s">
        <v>1034</v>
      </c>
      <c r="C24" s="228"/>
      <c r="D24" s="228"/>
      <c r="E24" s="228"/>
      <c r="F24" s="228">
        <v>8569</v>
      </c>
      <c r="G24" s="228"/>
      <c r="H24" s="228"/>
      <c r="I24" s="228"/>
      <c r="J24" s="229">
        <f>SUM(C24+E24+F24+H24)</f>
        <v>8569</v>
      </c>
      <c r="K24" s="229">
        <f>SUM(D24+G24+I24)</f>
        <v>0</v>
      </c>
      <c r="L24" s="229">
        <f>SUM(J24:K24)</f>
        <v>8569</v>
      </c>
      <c r="M24" s="229">
        <v>61583</v>
      </c>
      <c r="N24" s="229"/>
      <c r="O24" s="229">
        <f>SUM(L24:N24)</f>
        <v>70152</v>
      </c>
    </row>
    <row r="25" spans="1:16" s="1107" customFormat="1" x14ac:dyDescent="0.25">
      <c r="A25" s="227"/>
      <c r="B25" s="228" t="s">
        <v>1038</v>
      </c>
      <c r="C25" s="230"/>
      <c r="D25" s="230"/>
      <c r="E25" s="230"/>
      <c r="F25" s="230"/>
      <c r="G25" s="230"/>
      <c r="H25" s="230"/>
      <c r="I25" s="230"/>
      <c r="J25" s="230"/>
      <c r="K25" s="230"/>
      <c r="L25" s="230"/>
      <c r="M25" s="230"/>
      <c r="N25" s="230"/>
      <c r="O25" s="230"/>
    </row>
    <row r="26" spans="1:16" s="1107" customFormat="1" x14ac:dyDescent="0.25">
      <c r="A26" s="227"/>
      <c r="B26" s="230" t="s">
        <v>1229</v>
      </c>
      <c r="C26" s="230"/>
      <c r="D26" s="230"/>
      <c r="E26" s="230"/>
      <c r="F26" s="230"/>
      <c r="G26" s="230"/>
      <c r="H26" s="230"/>
      <c r="I26" s="230"/>
      <c r="J26" s="230">
        <f t="shared" ref="J26:J31" si="7">SUM(C26+E26+F26+H26)</f>
        <v>0</v>
      </c>
      <c r="K26" s="230">
        <f t="shared" ref="K26:K31" si="8">SUM(D26+G26+I26)</f>
        <v>0</v>
      </c>
      <c r="L26" s="230">
        <f t="shared" ref="L26:L31" si="9">SUM(J26:K26)</f>
        <v>0</v>
      </c>
      <c r="M26" s="230">
        <v>204</v>
      </c>
      <c r="N26" s="230"/>
      <c r="O26" s="230">
        <f t="shared" ref="O26:O31" si="10">SUM(L26:N26)</f>
        <v>204</v>
      </c>
    </row>
    <row r="27" spans="1:16" s="1107" customFormat="1" ht="31.5" x14ac:dyDescent="0.25">
      <c r="A27" s="227"/>
      <c r="B27" s="230" t="s">
        <v>1233</v>
      </c>
      <c r="C27" s="230"/>
      <c r="D27" s="230"/>
      <c r="E27" s="230"/>
      <c r="F27" s="230"/>
      <c r="G27" s="230"/>
      <c r="H27" s="230"/>
      <c r="I27" s="230"/>
      <c r="J27" s="230">
        <f t="shared" si="7"/>
        <v>0</v>
      </c>
      <c r="K27" s="230">
        <f t="shared" si="8"/>
        <v>0</v>
      </c>
      <c r="L27" s="230">
        <f t="shared" si="9"/>
        <v>0</v>
      </c>
      <c r="M27" s="230">
        <v>3543</v>
      </c>
      <c r="N27" s="230"/>
      <c r="O27" s="230">
        <f t="shared" si="10"/>
        <v>3543</v>
      </c>
    </row>
    <row r="28" spans="1:16" s="1107" customFormat="1" x14ac:dyDescent="0.25">
      <c r="A28" s="227"/>
      <c r="B28" s="228" t="s">
        <v>161</v>
      </c>
      <c r="C28" s="230"/>
      <c r="D28" s="230"/>
      <c r="E28" s="230"/>
      <c r="F28" s="230"/>
      <c r="G28" s="230"/>
      <c r="H28" s="230"/>
      <c r="I28" s="230"/>
      <c r="J28" s="230"/>
      <c r="K28" s="230"/>
      <c r="L28" s="230"/>
      <c r="M28" s="230"/>
      <c r="N28" s="230"/>
      <c r="O28" s="230"/>
    </row>
    <row r="29" spans="1:16" s="1107" customFormat="1" x14ac:dyDescent="0.25">
      <c r="A29" s="227"/>
      <c r="B29" s="230" t="s">
        <v>1231</v>
      </c>
      <c r="C29" s="230"/>
      <c r="D29" s="230"/>
      <c r="E29" s="230"/>
      <c r="F29" s="230"/>
      <c r="G29" s="230"/>
      <c r="H29" s="230"/>
      <c r="I29" s="230"/>
      <c r="J29" s="230">
        <f t="shared" si="7"/>
        <v>0</v>
      </c>
      <c r="K29" s="230">
        <f t="shared" si="8"/>
        <v>0</v>
      </c>
      <c r="L29" s="230">
        <f t="shared" si="9"/>
        <v>0</v>
      </c>
      <c r="M29" s="230">
        <v>864</v>
      </c>
      <c r="N29" s="230"/>
      <c r="O29" s="230">
        <f t="shared" si="10"/>
        <v>864</v>
      </c>
    </row>
    <row r="30" spans="1:16" s="1107" customFormat="1" ht="31.5" x14ac:dyDescent="0.25">
      <c r="A30" s="227"/>
      <c r="B30" s="230" t="s">
        <v>1232</v>
      </c>
      <c r="C30" s="230"/>
      <c r="D30" s="230"/>
      <c r="E30" s="230"/>
      <c r="F30" s="230"/>
      <c r="G30" s="230"/>
      <c r="H30" s="230"/>
      <c r="I30" s="230"/>
      <c r="J30" s="230">
        <f t="shared" si="7"/>
        <v>0</v>
      </c>
      <c r="K30" s="230">
        <f t="shared" si="8"/>
        <v>0</v>
      </c>
      <c r="L30" s="230">
        <f t="shared" si="9"/>
        <v>0</v>
      </c>
      <c r="M30" s="230">
        <v>80</v>
      </c>
      <c r="N30" s="230"/>
      <c r="O30" s="230">
        <f t="shared" si="10"/>
        <v>80</v>
      </c>
    </row>
    <row r="31" spans="1:16" s="1107" customFormat="1" ht="79.5" thickBot="1" x14ac:dyDescent="0.3">
      <c r="A31" s="227"/>
      <c r="B31" s="230" t="s">
        <v>1234</v>
      </c>
      <c r="C31" s="230"/>
      <c r="D31" s="230"/>
      <c r="E31" s="230"/>
      <c r="F31" s="230"/>
      <c r="G31" s="230"/>
      <c r="H31" s="230"/>
      <c r="I31" s="230"/>
      <c r="J31" s="230">
        <f t="shared" si="7"/>
        <v>0</v>
      </c>
      <c r="K31" s="230">
        <f t="shared" si="8"/>
        <v>0</v>
      </c>
      <c r="L31" s="230">
        <f t="shared" si="9"/>
        <v>0</v>
      </c>
      <c r="M31" s="230">
        <v>400</v>
      </c>
      <c r="N31" s="230"/>
      <c r="O31" s="230">
        <f t="shared" si="10"/>
        <v>400</v>
      </c>
    </row>
    <row r="32" spans="1:16" ht="17.25" thickTop="1" thickBot="1" x14ac:dyDescent="0.3">
      <c r="A32" s="224"/>
      <c r="B32" s="231" t="s">
        <v>1035</v>
      </c>
      <c r="C32" s="231">
        <f>+C22+C26+C29+C27+C30+C31</f>
        <v>7446</v>
      </c>
      <c r="D32" s="231">
        <f t="shared" ref="D32:O32" si="11">+D22+D26+D29+D27+D30+D31</f>
        <v>0</v>
      </c>
      <c r="E32" s="231">
        <f t="shared" si="11"/>
        <v>0</v>
      </c>
      <c r="F32" s="231">
        <f t="shared" si="11"/>
        <v>14282</v>
      </c>
      <c r="G32" s="231">
        <f t="shared" si="11"/>
        <v>0</v>
      </c>
      <c r="H32" s="231">
        <f t="shared" si="11"/>
        <v>0</v>
      </c>
      <c r="I32" s="231">
        <f t="shared" si="11"/>
        <v>0</v>
      </c>
      <c r="J32" s="231">
        <f t="shared" si="11"/>
        <v>21728</v>
      </c>
      <c r="K32" s="231">
        <f t="shared" si="11"/>
        <v>0</v>
      </c>
      <c r="L32" s="231">
        <f t="shared" si="11"/>
        <v>21728</v>
      </c>
      <c r="M32" s="231">
        <f t="shared" si="11"/>
        <v>121850</v>
      </c>
      <c r="N32" s="231">
        <f t="shared" si="11"/>
        <v>1048</v>
      </c>
      <c r="O32" s="231">
        <f t="shared" si="11"/>
        <v>144626</v>
      </c>
      <c r="P32" s="1104">
        <f>O33+O34</f>
        <v>144626</v>
      </c>
    </row>
    <row r="33" spans="1:16" ht="17.25" thickTop="1" thickBot="1" x14ac:dyDescent="0.3">
      <c r="A33" s="224"/>
      <c r="B33" s="231" t="s">
        <v>1036</v>
      </c>
      <c r="C33" s="231">
        <f>+C23+C26+C27</f>
        <v>7446</v>
      </c>
      <c r="D33" s="231">
        <f t="shared" ref="D33:O33" si="12">+D23+D26+D27</f>
        <v>0</v>
      </c>
      <c r="E33" s="231">
        <f t="shared" si="12"/>
        <v>0</v>
      </c>
      <c r="F33" s="231">
        <f t="shared" si="12"/>
        <v>5713</v>
      </c>
      <c r="G33" s="231">
        <f t="shared" si="12"/>
        <v>0</v>
      </c>
      <c r="H33" s="231">
        <f t="shared" si="12"/>
        <v>0</v>
      </c>
      <c r="I33" s="231">
        <f t="shared" si="12"/>
        <v>0</v>
      </c>
      <c r="J33" s="231">
        <f t="shared" si="12"/>
        <v>13159</v>
      </c>
      <c r="K33" s="231">
        <f t="shared" si="12"/>
        <v>0</v>
      </c>
      <c r="L33" s="231">
        <f t="shared" si="12"/>
        <v>13159</v>
      </c>
      <c r="M33" s="231">
        <f t="shared" si="12"/>
        <v>58923</v>
      </c>
      <c r="N33" s="231">
        <f t="shared" si="12"/>
        <v>1048</v>
      </c>
      <c r="O33" s="231">
        <f t="shared" si="12"/>
        <v>73130</v>
      </c>
    </row>
    <row r="34" spans="1:16" ht="17.25" thickTop="1" thickBot="1" x14ac:dyDescent="0.3">
      <c r="A34" s="224"/>
      <c r="B34" s="231" t="s">
        <v>1037</v>
      </c>
      <c r="C34" s="231">
        <f t="shared" ref="C34:O34" si="13">+C24+C29+C30+C31</f>
        <v>0</v>
      </c>
      <c r="D34" s="231">
        <f t="shared" si="13"/>
        <v>0</v>
      </c>
      <c r="E34" s="231">
        <f t="shared" si="13"/>
        <v>0</v>
      </c>
      <c r="F34" s="231">
        <f t="shared" si="13"/>
        <v>8569</v>
      </c>
      <c r="G34" s="231">
        <f t="shared" si="13"/>
        <v>0</v>
      </c>
      <c r="H34" s="231">
        <f t="shared" si="13"/>
        <v>0</v>
      </c>
      <c r="I34" s="231">
        <f t="shared" si="13"/>
        <v>0</v>
      </c>
      <c r="J34" s="231">
        <f t="shared" si="13"/>
        <v>8569</v>
      </c>
      <c r="K34" s="231">
        <f t="shared" si="13"/>
        <v>0</v>
      </c>
      <c r="L34" s="231">
        <f t="shared" si="13"/>
        <v>8569</v>
      </c>
      <c r="M34" s="231">
        <f t="shared" si="13"/>
        <v>62927</v>
      </c>
      <c r="N34" s="231">
        <f t="shared" si="13"/>
        <v>0</v>
      </c>
      <c r="O34" s="231">
        <f t="shared" si="13"/>
        <v>71496</v>
      </c>
    </row>
    <row r="35" spans="1:16" ht="17.25" thickTop="1" thickBot="1" x14ac:dyDescent="0.3">
      <c r="A35" s="224"/>
      <c r="B35" s="231" t="s">
        <v>395</v>
      </c>
      <c r="C35" s="231">
        <f t="shared" ref="C35:O35" si="14">SUM(C18+C32)</f>
        <v>484568</v>
      </c>
      <c r="D35" s="231">
        <f t="shared" si="14"/>
        <v>0</v>
      </c>
      <c r="E35" s="231">
        <f t="shared" si="14"/>
        <v>0</v>
      </c>
      <c r="F35" s="231">
        <f t="shared" si="14"/>
        <v>45801</v>
      </c>
      <c r="G35" s="231">
        <f t="shared" si="14"/>
        <v>0</v>
      </c>
      <c r="H35" s="231">
        <f t="shared" si="14"/>
        <v>0</v>
      </c>
      <c r="I35" s="231">
        <f t="shared" si="14"/>
        <v>0</v>
      </c>
      <c r="J35" s="231">
        <f t="shared" si="14"/>
        <v>530369</v>
      </c>
      <c r="K35" s="231">
        <f t="shared" si="14"/>
        <v>0</v>
      </c>
      <c r="L35" s="231">
        <f t="shared" si="14"/>
        <v>530369</v>
      </c>
      <c r="M35" s="231">
        <f t="shared" si="14"/>
        <v>437183</v>
      </c>
      <c r="N35" s="231">
        <f t="shared" si="14"/>
        <v>116081</v>
      </c>
      <c r="O35" s="231">
        <f t="shared" si="14"/>
        <v>1083633</v>
      </c>
    </row>
    <row r="36" spans="1:16" ht="16.5" thickTop="1" x14ac:dyDescent="0.25">
      <c r="A36" s="226" t="s">
        <v>223</v>
      </c>
      <c r="B36" s="593" t="s">
        <v>396</v>
      </c>
      <c r="C36" s="593"/>
      <c r="D36" s="593"/>
      <c r="E36" s="593"/>
      <c r="F36" s="593"/>
      <c r="G36" s="593"/>
      <c r="H36" s="593"/>
      <c r="I36" s="593"/>
      <c r="J36" s="593"/>
      <c r="K36" s="593"/>
      <c r="L36" s="593"/>
      <c r="M36" s="593"/>
      <c r="N36" s="593"/>
      <c r="O36" s="593"/>
    </row>
    <row r="37" spans="1:16" x14ac:dyDescent="0.25">
      <c r="A37" s="226"/>
      <c r="B37" s="591" t="s">
        <v>1152</v>
      </c>
      <c r="C37" s="591">
        <v>5585</v>
      </c>
      <c r="D37" s="591"/>
      <c r="E37" s="591"/>
      <c r="F37" s="591">
        <v>1702</v>
      </c>
      <c r="G37" s="591"/>
      <c r="H37" s="591"/>
      <c r="I37" s="591"/>
      <c r="J37" s="591">
        <f>SUM(C37+E37+F37+H37)</f>
        <v>7287</v>
      </c>
      <c r="K37" s="591">
        <f>SUM(D37+G37+I37)</f>
        <v>0</v>
      </c>
      <c r="L37" s="591">
        <f>SUM(J37:K37)</f>
        <v>7287</v>
      </c>
      <c r="M37" s="591">
        <v>97051</v>
      </c>
      <c r="N37" s="591">
        <v>628</v>
      </c>
      <c r="O37" s="591">
        <f>SUM(L37:N37)</f>
        <v>104966</v>
      </c>
    </row>
    <row r="38" spans="1:16" s="1107" customFormat="1" x14ac:dyDescent="0.25">
      <c r="A38" s="227"/>
      <c r="B38" s="228" t="s">
        <v>1033</v>
      </c>
      <c r="C38" s="228">
        <v>5585</v>
      </c>
      <c r="D38" s="228"/>
      <c r="E38" s="228"/>
      <c r="F38" s="228">
        <v>1702</v>
      </c>
      <c r="G38" s="228"/>
      <c r="H38" s="228"/>
      <c r="I38" s="228"/>
      <c r="J38" s="229">
        <f>SUM(C38+E38+F38+H38)</f>
        <v>7287</v>
      </c>
      <c r="K38" s="229">
        <f>SUM(D38+G38+I38)</f>
        <v>0</v>
      </c>
      <c r="L38" s="229">
        <f>SUM(J38:K38)</f>
        <v>7287</v>
      </c>
      <c r="M38" s="229">
        <v>95055</v>
      </c>
      <c r="N38" s="229">
        <v>628</v>
      </c>
      <c r="O38" s="229">
        <f>SUM(L38:N38)</f>
        <v>102970</v>
      </c>
    </row>
    <row r="39" spans="1:16" s="1107" customFormat="1" x14ac:dyDescent="0.25">
      <c r="A39" s="232"/>
      <c r="B39" s="233" t="s">
        <v>1034</v>
      </c>
      <c r="C39" s="233"/>
      <c r="D39" s="233"/>
      <c r="E39" s="233"/>
      <c r="F39" s="233"/>
      <c r="G39" s="233"/>
      <c r="H39" s="233"/>
      <c r="I39" s="233"/>
      <c r="J39" s="234">
        <f>SUM(C39+E39+F39+H39)</f>
        <v>0</v>
      </c>
      <c r="K39" s="234">
        <f>SUM(D39+G39+I39)</f>
        <v>0</v>
      </c>
      <c r="L39" s="234">
        <f>SUM(J39:K39)</f>
        <v>0</v>
      </c>
      <c r="M39" s="234">
        <v>1996</v>
      </c>
      <c r="N39" s="234"/>
      <c r="O39" s="234">
        <f>SUM(L39:N39)</f>
        <v>1996</v>
      </c>
    </row>
    <row r="40" spans="1:16" s="1107" customFormat="1" x14ac:dyDescent="0.25">
      <c r="A40" s="232"/>
      <c r="B40" s="233" t="s">
        <v>160</v>
      </c>
      <c r="C40" s="235"/>
      <c r="D40" s="235"/>
      <c r="E40" s="235"/>
      <c r="F40" s="235"/>
      <c r="G40" s="235"/>
      <c r="H40" s="235"/>
      <c r="I40" s="235"/>
      <c r="J40" s="235"/>
      <c r="K40" s="235"/>
      <c r="L40" s="235"/>
      <c r="M40" s="235"/>
      <c r="N40" s="235"/>
      <c r="O40" s="235"/>
    </row>
    <row r="41" spans="1:16" s="1107" customFormat="1" x14ac:dyDescent="0.25">
      <c r="A41" s="232"/>
      <c r="B41" s="230" t="s">
        <v>1229</v>
      </c>
      <c r="C41" s="235"/>
      <c r="D41" s="235"/>
      <c r="E41" s="235"/>
      <c r="F41" s="235"/>
      <c r="G41" s="235"/>
      <c r="H41" s="235"/>
      <c r="I41" s="235"/>
      <c r="J41" s="235">
        <f t="shared" ref="J41:J47" si="15">SUM(C41+E41+F41+H41)</f>
        <v>0</v>
      </c>
      <c r="K41" s="235">
        <f t="shared" ref="K41:K47" si="16">SUM(D41+G41+I41)</f>
        <v>0</v>
      </c>
      <c r="L41" s="235">
        <f t="shared" ref="L41:L47" si="17">SUM(J41:K41)</f>
        <v>0</v>
      </c>
      <c r="M41" s="235">
        <v>43</v>
      </c>
      <c r="N41" s="235"/>
      <c r="O41" s="235">
        <f t="shared" ref="O41:O47" si="18">SUM(L41:N41)</f>
        <v>43</v>
      </c>
    </row>
    <row r="42" spans="1:16" s="1107" customFormat="1" ht="31.5" x14ac:dyDescent="0.25">
      <c r="A42" s="232"/>
      <c r="B42" s="230" t="s">
        <v>1233</v>
      </c>
      <c r="C42" s="235"/>
      <c r="D42" s="235"/>
      <c r="E42" s="235"/>
      <c r="F42" s="235"/>
      <c r="G42" s="235"/>
      <c r="H42" s="235"/>
      <c r="I42" s="235"/>
      <c r="J42" s="235">
        <f>SUM(C42+E42+F42+H42)</f>
        <v>0</v>
      </c>
      <c r="K42" s="235">
        <f t="shared" si="16"/>
        <v>0</v>
      </c>
      <c r="L42" s="235">
        <f t="shared" si="17"/>
        <v>0</v>
      </c>
      <c r="M42" s="235">
        <v>376</v>
      </c>
      <c r="N42" s="235"/>
      <c r="O42" s="235">
        <f t="shared" si="18"/>
        <v>376</v>
      </c>
    </row>
    <row r="43" spans="1:16" s="1107" customFormat="1" x14ac:dyDescent="0.25">
      <c r="A43" s="232"/>
      <c r="B43" s="233" t="s">
        <v>1039</v>
      </c>
      <c r="C43" s="235"/>
      <c r="D43" s="235"/>
      <c r="E43" s="235"/>
      <c r="F43" s="235"/>
      <c r="G43" s="235"/>
      <c r="H43" s="235"/>
      <c r="I43" s="235"/>
      <c r="J43" s="235"/>
      <c r="K43" s="235"/>
      <c r="L43" s="235"/>
      <c r="M43" s="235"/>
      <c r="N43" s="235"/>
      <c r="O43" s="235"/>
    </row>
    <row r="44" spans="1:16" s="1107" customFormat="1" x14ac:dyDescent="0.25">
      <c r="A44" s="232"/>
      <c r="B44" s="230" t="s">
        <v>1231</v>
      </c>
      <c r="C44" s="235"/>
      <c r="D44" s="235"/>
      <c r="E44" s="235"/>
      <c r="F44" s="235"/>
      <c r="G44" s="235"/>
      <c r="H44" s="235"/>
      <c r="I44" s="235"/>
      <c r="J44" s="235">
        <f t="shared" si="15"/>
        <v>0</v>
      </c>
      <c r="K44" s="235">
        <f t="shared" si="16"/>
        <v>0</v>
      </c>
      <c r="L44" s="235">
        <f t="shared" si="17"/>
        <v>0</v>
      </c>
      <c r="M44" s="235">
        <v>836</v>
      </c>
      <c r="N44" s="235"/>
      <c r="O44" s="235">
        <f t="shared" si="18"/>
        <v>836</v>
      </c>
    </row>
    <row r="45" spans="1:16" s="1107" customFormat="1" ht="31.5" x14ac:dyDescent="0.25">
      <c r="A45" s="232"/>
      <c r="B45" s="230" t="s">
        <v>1232</v>
      </c>
      <c r="C45" s="235"/>
      <c r="D45" s="235"/>
      <c r="E45" s="235"/>
      <c r="F45" s="235"/>
      <c r="G45" s="235"/>
      <c r="H45" s="235"/>
      <c r="I45" s="235"/>
      <c r="J45" s="235">
        <f t="shared" si="15"/>
        <v>0</v>
      </c>
      <c r="K45" s="235">
        <f t="shared" si="16"/>
        <v>0</v>
      </c>
      <c r="L45" s="235">
        <f t="shared" si="17"/>
        <v>0</v>
      </c>
      <c r="M45" s="235">
        <v>27</v>
      </c>
      <c r="N45" s="235"/>
      <c r="O45" s="235">
        <f t="shared" si="18"/>
        <v>27</v>
      </c>
    </row>
    <row r="46" spans="1:16" s="1108" customFormat="1" ht="63" x14ac:dyDescent="0.25">
      <c r="A46" s="232"/>
      <c r="B46" s="235" t="s">
        <v>1235</v>
      </c>
      <c r="C46" s="235"/>
      <c r="D46" s="235"/>
      <c r="E46" s="235"/>
      <c r="F46" s="235"/>
      <c r="G46" s="235"/>
      <c r="H46" s="235"/>
      <c r="I46" s="235"/>
      <c r="J46" s="235">
        <f t="shared" si="15"/>
        <v>0</v>
      </c>
      <c r="K46" s="235">
        <f t="shared" si="16"/>
        <v>0</v>
      </c>
      <c r="L46" s="235">
        <f t="shared" si="17"/>
        <v>0</v>
      </c>
      <c r="M46" s="235">
        <v>15</v>
      </c>
      <c r="N46" s="235"/>
      <c r="O46" s="235">
        <f t="shared" si="18"/>
        <v>15</v>
      </c>
    </row>
    <row r="47" spans="1:16" s="1107" customFormat="1" ht="79.5" thickBot="1" x14ac:dyDescent="0.3">
      <c r="A47" s="227"/>
      <c r="B47" s="601" t="s">
        <v>1234</v>
      </c>
      <c r="C47" s="602"/>
      <c r="D47" s="602"/>
      <c r="E47" s="602"/>
      <c r="F47" s="602"/>
      <c r="G47" s="602"/>
      <c r="H47" s="602"/>
      <c r="I47" s="602"/>
      <c r="J47" s="602">
        <f t="shared" si="15"/>
        <v>0</v>
      </c>
      <c r="K47" s="602">
        <f t="shared" si="16"/>
        <v>0</v>
      </c>
      <c r="L47" s="602">
        <f t="shared" si="17"/>
        <v>0</v>
      </c>
      <c r="M47" s="602">
        <v>65</v>
      </c>
      <c r="N47" s="602"/>
      <c r="O47" s="602">
        <f t="shared" si="18"/>
        <v>65</v>
      </c>
    </row>
    <row r="48" spans="1:16" ht="17.25" thickTop="1" thickBot="1" x14ac:dyDescent="0.3">
      <c r="A48" s="224"/>
      <c r="B48" s="231" t="s">
        <v>1035</v>
      </c>
      <c r="C48" s="231">
        <f>+C37+C41+C44+C42+C45+C46+C47</f>
        <v>5585</v>
      </c>
      <c r="D48" s="231">
        <f t="shared" ref="D48:O48" si="19">+D37+D41+D44+D42+D45+D46+D47</f>
        <v>0</v>
      </c>
      <c r="E48" s="231">
        <f t="shared" si="19"/>
        <v>0</v>
      </c>
      <c r="F48" s="231">
        <f t="shared" si="19"/>
        <v>1702</v>
      </c>
      <c r="G48" s="231">
        <f t="shared" si="19"/>
        <v>0</v>
      </c>
      <c r="H48" s="231">
        <f t="shared" si="19"/>
        <v>0</v>
      </c>
      <c r="I48" s="231">
        <f t="shared" si="19"/>
        <v>0</v>
      </c>
      <c r="J48" s="231">
        <f t="shared" si="19"/>
        <v>7287</v>
      </c>
      <c r="K48" s="231">
        <f t="shared" si="19"/>
        <v>0</v>
      </c>
      <c r="L48" s="231">
        <f t="shared" si="19"/>
        <v>7287</v>
      </c>
      <c r="M48" s="231">
        <f t="shared" si="19"/>
        <v>98413</v>
      </c>
      <c r="N48" s="231">
        <f t="shared" si="19"/>
        <v>628</v>
      </c>
      <c r="O48" s="231">
        <f t="shared" si="19"/>
        <v>106328</v>
      </c>
      <c r="P48" s="1104">
        <f>O49+O50</f>
        <v>106328</v>
      </c>
    </row>
    <row r="49" spans="1:16" ht="17.25" thickTop="1" thickBot="1" x14ac:dyDescent="0.3">
      <c r="A49" s="224"/>
      <c r="B49" s="231" t="s">
        <v>1036</v>
      </c>
      <c r="C49" s="231">
        <f>+C38+C41+C42</f>
        <v>5585</v>
      </c>
      <c r="D49" s="231">
        <f t="shared" ref="D49:O49" si="20">+D38+D41+D42</f>
        <v>0</v>
      </c>
      <c r="E49" s="231">
        <f t="shared" si="20"/>
        <v>0</v>
      </c>
      <c r="F49" s="231">
        <f t="shared" si="20"/>
        <v>1702</v>
      </c>
      <c r="G49" s="231">
        <f t="shared" si="20"/>
        <v>0</v>
      </c>
      <c r="H49" s="231">
        <f t="shared" si="20"/>
        <v>0</v>
      </c>
      <c r="I49" s="231">
        <f t="shared" si="20"/>
        <v>0</v>
      </c>
      <c r="J49" s="231">
        <f t="shared" si="20"/>
        <v>7287</v>
      </c>
      <c r="K49" s="231">
        <f t="shared" si="20"/>
        <v>0</v>
      </c>
      <c r="L49" s="231">
        <f t="shared" si="20"/>
        <v>7287</v>
      </c>
      <c r="M49" s="231">
        <f t="shared" si="20"/>
        <v>95474</v>
      </c>
      <c r="N49" s="231">
        <f t="shared" si="20"/>
        <v>628</v>
      </c>
      <c r="O49" s="231">
        <f t="shared" si="20"/>
        <v>103389</v>
      </c>
    </row>
    <row r="50" spans="1:16" ht="17.25" thickTop="1" thickBot="1" x14ac:dyDescent="0.3">
      <c r="A50" s="224"/>
      <c r="B50" s="231" t="s">
        <v>1037</v>
      </c>
      <c r="C50" s="231">
        <f t="shared" ref="C50:O50" si="21">+C39+C44+C45+C46+C47</f>
        <v>0</v>
      </c>
      <c r="D50" s="231">
        <f t="shared" si="21"/>
        <v>0</v>
      </c>
      <c r="E50" s="231">
        <f t="shared" si="21"/>
        <v>0</v>
      </c>
      <c r="F50" s="231">
        <f t="shared" si="21"/>
        <v>0</v>
      </c>
      <c r="G50" s="231">
        <f t="shared" si="21"/>
        <v>0</v>
      </c>
      <c r="H50" s="231">
        <f t="shared" si="21"/>
        <v>0</v>
      </c>
      <c r="I50" s="231">
        <f t="shared" si="21"/>
        <v>0</v>
      </c>
      <c r="J50" s="231">
        <f t="shared" si="21"/>
        <v>0</v>
      </c>
      <c r="K50" s="231">
        <f t="shared" si="21"/>
        <v>0</v>
      </c>
      <c r="L50" s="231">
        <f t="shared" si="21"/>
        <v>0</v>
      </c>
      <c r="M50" s="231">
        <f t="shared" si="21"/>
        <v>2939</v>
      </c>
      <c r="N50" s="231">
        <f t="shared" si="21"/>
        <v>0</v>
      </c>
      <c r="O50" s="231">
        <f t="shared" si="21"/>
        <v>2939</v>
      </c>
    </row>
    <row r="51" spans="1:16" ht="16.5" thickTop="1" x14ac:dyDescent="0.25">
      <c r="A51" s="226" t="s">
        <v>224</v>
      </c>
      <c r="B51" s="590" t="s">
        <v>1040</v>
      </c>
      <c r="C51" s="590"/>
      <c r="D51" s="590"/>
      <c r="E51" s="590"/>
      <c r="F51" s="590"/>
      <c r="G51" s="590"/>
      <c r="H51" s="590"/>
      <c r="I51" s="590"/>
      <c r="J51" s="590"/>
      <c r="K51" s="590"/>
      <c r="L51" s="590"/>
      <c r="M51" s="590"/>
      <c r="N51" s="590"/>
      <c r="O51" s="590"/>
    </row>
    <row r="52" spans="1:16" x14ac:dyDescent="0.25">
      <c r="A52" s="226"/>
      <c r="B52" s="591" t="s">
        <v>998</v>
      </c>
      <c r="C52" s="591">
        <v>6373</v>
      </c>
      <c r="D52" s="591"/>
      <c r="E52" s="591"/>
      <c r="F52" s="591">
        <v>1882</v>
      </c>
      <c r="G52" s="591"/>
      <c r="H52" s="591"/>
      <c r="I52" s="591"/>
      <c r="J52" s="591">
        <f>SUM(C52+E52+F52+H52)</f>
        <v>8255</v>
      </c>
      <c r="K52" s="591">
        <f>SUM(D52+G52+I52)</f>
        <v>0</v>
      </c>
      <c r="L52" s="591">
        <f>SUM(J52:K52)</f>
        <v>8255</v>
      </c>
      <c r="M52" s="591">
        <v>103378</v>
      </c>
      <c r="N52" s="591">
        <v>304</v>
      </c>
      <c r="O52" s="591">
        <f>SUM(L52:N52)</f>
        <v>111937</v>
      </c>
    </row>
    <row r="53" spans="1:16" s="1107" customFormat="1" x14ac:dyDescent="0.25">
      <c r="A53" s="227"/>
      <c r="B53" s="228" t="s">
        <v>1033</v>
      </c>
      <c r="C53" s="228">
        <v>6373</v>
      </c>
      <c r="D53" s="228"/>
      <c r="E53" s="228"/>
      <c r="F53" s="228">
        <v>1882</v>
      </c>
      <c r="G53" s="228"/>
      <c r="H53" s="228"/>
      <c r="I53" s="228"/>
      <c r="J53" s="229">
        <f>SUM(C53+E53+F53+H53)</f>
        <v>8255</v>
      </c>
      <c r="K53" s="229">
        <f>SUM(D53+G53+I53)</f>
        <v>0</v>
      </c>
      <c r="L53" s="229">
        <f>SUM(J53:K53)</f>
        <v>8255</v>
      </c>
      <c r="M53" s="229">
        <v>101329</v>
      </c>
      <c r="N53" s="229">
        <v>304</v>
      </c>
      <c r="O53" s="229">
        <f>SUM(L53:N53)</f>
        <v>109888</v>
      </c>
    </row>
    <row r="54" spans="1:16" s="1107" customFormat="1" x14ac:dyDescent="0.25">
      <c r="A54" s="227"/>
      <c r="B54" s="228" t="s">
        <v>1034</v>
      </c>
      <c r="C54" s="228"/>
      <c r="D54" s="228"/>
      <c r="E54" s="228"/>
      <c r="F54" s="228"/>
      <c r="G54" s="228"/>
      <c r="H54" s="228"/>
      <c r="I54" s="228"/>
      <c r="J54" s="229">
        <f>SUM(C54+E54+F54+H54)</f>
        <v>0</v>
      </c>
      <c r="K54" s="229">
        <f>SUM(D54+G54+I54)</f>
        <v>0</v>
      </c>
      <c r="L54" s="229">
        <f>SUM(J54:K54)</f>
        <v>0</v>
      </c>
      <c r="M54" s="229">
        <v>2049</v>
      </c>
      <c r="N54" s="229"/>
      <c r="O54" s="229">
        <f>SUM(L54:N54)</f>
        <v>2049</v>
      </c>
    </row>
    <row r="55" spans="1:16" s="1107" customFormat="1" x14ac:dyDescent="0.25">
      <c r="A55" s="227"/>
      <c r="B55" s="228" t="s">
        <v>160</v>
      </c>
      <c r="C55" s="230"/>
      <c r="D55" s="230"/>
      <c r="E55" s="230"/>
      <c r="F55" s="230"/>
      <c r="G55" s="230"/>
      <c r="H55" s="230"/>
      <c r="I55" s="230"/>
      <c r="J55" s="230"/>
      <c r="K55" s="230"/>
      <c r="L55" s="230"/>
      <c r="M55" s="230"/>
      <c r="N55" s="230"/>
      <c r="O55" s="230"/>
    </row>
    <row r="56" spans="1:16" s="1107" customFormat="1" x14ac:dyDescent="0.25">
      <c r="A56" s="227"/>
      <c r="B56" s="230" t="s">
        <v>1229</v>
      </c>
      <c r="C56" s="230"/>
      <c r="D56" s="230"/>
      <c r="E56" s="230"/>
      <c r="F56" s="230"/>
      <c r="G56" s="230"/>
      <c r="H56" s="230"/>
      <c r="I56" s="230"/>
      <c r="J56" s="230">
        <f t="shared" ref="J56:J62" si="22">SUM(C56+E56+F56+H56)</f>
        <v>0</v>
      </c>
      <c r="K56" s="230">
        <f t="shared" ref="K56:K62" si="23">SUM(D56+G56+I56)</f>
        <v>0</v>
      </c>
      <c r="L56" s="230">
        <f t="shared" ref="L56:L62" si="24">SUM(J56:K56)</f>
        <v>0</v>
      </c>
      <c r="M56" s="230">
        <v>133</v>
      </c>
      <c r="N56" s="230"/>
      <c r="O56" s="230">
        <f t="shared" ref="O56:O62" si="25">SUM(L56:N56)</f>
        <v>133</v>
      </c>
    </row>
    <row r="57" spans="1:16" s="1107" customFormat="1" ht="31.5" x14ac:dyDescent="0.25">
      <c r="A57" s="227"/>
      <c r="B57" s="230" t="s">
        <v>1233</v>
      </c>
      <c r="C57" s="230"/>
      <c r="D57" s="230"/>
      <c r="E57" s="230"/>
      <c r="F57" s="230"/>
      <c r="G57" s="230"/>
      <c r="H57" s="230"/>
      <c r="I57" s="230"/>
      <c r="J57" s="230">
        <f t="shared" si="22"/>
        <v>0</v>
      </c>
      <c r="K57" s="230">
        <f t="shared" si="23"/>
        <v>0</v>
      </c>
      <c r="L57" s="230">
        <f t="shared" si="24"/>
        <v>0</v>
      </c>
      <c r="M57" s="230">
        <v>481</v>
      </c>
      <c r="N57" s="230"/>
      <c r="O57" s="230">
        <f t="shared" si="25"/>
        <v>481</v>
      </c>
    </row>
    <row r="58" spans="1:16" s="1107" customFormat="1" x14ac:dyDescent="0.25">
      <c r="A58" s="227"/>
      <c r="B58" s="230" t="s">
        <v>1236</v>
      </c>
      <c r="C58" s="230"/>
      <c r="D58" s="230"/>
      <c r="E58" s="230"/>
      <c r="F58" s="230"/>
      <c r="G58" s="230"/>
      <c r="H58" s="230"/>
      <c r="I58" s="230"/>
      <c r="J58" s="230">
        <f t="shared" si="22"/>
        <v>0</v>
      </c>
      <c r="K58" s="230">
        <f t="shared" si="23"/>
        <v>0</v>
      </c>
      <c r="L58" s="230">
        <f t="shared" si="24"/>
        <v>0</v>
      </c>
      <c r="M58" s="230">
        <v>57</v>
      </c>
      <c r="N58" s="230"/>
      <c r="O58" s="230">
        <f t="shared" si="25"/>
        <v>57</v>
      </c>
    </row>
    <row r="59" spans="1:16" s="1107" customFormat="1" x14ac:dyDescent="0.25">
      <c r="A59" s="227"/>
      <c r="B59" s="228" t="s">
        <v>161</v>
      </c>
      <c r="C59" s="230"/>
      <c r="D59" s="230"/>
      <c r="E59" s="230"/>
      <c r="F59" s="230"/>
      <c r="G59" s="230"/>
      <c r="H59" s="230"/>
      <c r="I59" s="230"/>
      <c r="J59" s="230"/>
      <c r="K59" s="230"/>
      <c r="L59" s="230"/>
      <c r="M59" s="230"/>
      <c r="N59" s="230"/>
      <c r="O59" s="230"/>
    </row>
    <row r="60" spans="1:16" s="1107" customFormat="1" x14ac:dyDescent="0.25">
      <c r="A60" s="227"/>
      <c r="B60" s="230" t="s">
        <v>1231</v>
      </c>
      <c r="C60" s="230"/>
      <c r="D60" s="230"/>
      <c r="E60" s="230"/>
      <c r="F60" s="230"/>
      <c r="G60" s="230"/>
      <c r="H60" s="230"/>
      <c r="I60" s="230"/>
      <c r="J60" s="230">
        <f t="shared" si="22"/>
        <v>0</v>
      </c>
      <c r="K60" s="230">
        <f t="shared" si="23"/>
        <v>0</v>
      </c>
      <c r="L60" s="230">
        <f t="shared" si="24"/>
        <v>0</v>
      </c>
      <c r="M60" s="230">
        <v>863</v>
      </c>
      <c r="N60" s="230"/>
      <c r="O60" s="230">
        <f t="shared" si="25"/>
        <v>863</v>
      </c>
    </row>
    <row r="61" spans="1:16" s="1107" customFormat="1" ht="31.5" x14ac:dyDescent="0.25">
      <c r="A61" s="227"/>
      <c r="B61" s="230" t="s">
        <v>1232</v>
      </c>
      <c r="C61" s="230"/>
      <c r="D61" s="230"/>
      <c r="E61" s="230"/>
      <c r="F61" s="230"/>
      <c r="G61" s="230"/>
      <c r="H61" s="230"/>
      <c r="I61" s="230"/>
      <c r="J61" s="230">
        <f t="shared" si="22"/>
        <v>0</v>
      </c>
      <c r="K61" s="230">
        <f t="shared" si="23"/>
        <v>0</v>
      </c>
      <c r="L61" s="230">
        <f t="shared" si="24"/>
        <v>0</v>
      </c>
      <c r="M61" s="230">
        <v>53</v>
      </c>
      <c r="N61" s="230"/>
      <c r="O61" s="230">
        <f t="shared" si="25"/>
        <v>53</v>
      </c>
    </row>
    <row r="62" spans="1:16" s="1107" customFormat="1" ht="79.5" thickBot="1" x14ac:dyDescent="0.3">
      <c r="A62" s="227"/>
      <c r="B62" s="230" t="s">
        <v>1234</v>
      </c>
      <c r="C62" s="230"/>
      <c r="D62" s="230"/>
      <c r="E62" s="230"/>
      <c r="F62" s="230"/>
      <c r="G62" s="230"/>
      <c r="H62" s="230"/>
      <c r="I62" s="230"/>
      <c r="J62" s="230">
        <f t="shared" si="22"/>
        <v>0</v>
      </c>
      <c r="K62" s="230">
        <f t="shared" si="23"/>
        <v>0</v>
      </c>
      <c r="L62" s="230">
        <f t="shared" si="24"/>
        <v>0</v>
      </c>
      <c r="M62" s="230">
        <v>65</v>
      </c>
      <c r="N62" s="230"/>
      <c r="O62" s="230">
        <f t="shared" si="25"/>
        <v>65</v>
      </c>
    </row>
    <row r="63" spans="1:16" ht="17.25" thickTop="1" thickBot="1" x14ac:dyDescent="0.3">
      <c r="A63" s="224"/>
      <c r="B63" s="231" t="s">
        <v>1035</v>
      </c>
      <c r="C63" s="231">
        <f>+C52+C56+C60+C57+C58+C61+C62</f>
        <v>6373</v>
      </c>
      <c r="D63" s="231">
        <f t="shared" ref="D63:O63" si="26">+D52+D56+D60+D57+D58+D61+D62</f>
        <v>0</v>
      </c>
      <c r="E63" s="231">
        <f t="shared" si="26"/>
        <v>0</v>
      </c>
      <c r="F63" s="231">
        <f t="shared" si="26"/>
        <v>1882</v>
      </c>
      <c r="G63" s="231">
        <f t="shared" si="26"/>
        <v>0</v>
      </c>
      <c r="H63" s="231">
        <f t="shared" si="26"/>
        <v>0</v>
      </c>
      <c r="I63" s="231">
        <f t="shared" si="26"/>
        <v>0</v>
      </c>
      <c r="J63" s="231">
        <f t="shared" si="26"/>
        <v>8255</v>
      </c>
      <c r="K63" s="231">
        <f t="shared" si="26"/>
        <v>0</v>
      </c>
      <c r="L63" s="231">
        <f t="shared" si="26"/>
        <v>8255</v>
      </c>
      <c r="M63" s="231">
        <f t="shared" si="26"/>
        <v>105030</v>
      </c>
      <c r="N63" s="231">
        <f t="shared" si="26"/>
        <v>304</v>
      </c>
      <c r="O63" s="231">
        <f t="shared" si="26"/>
        <v>113589</v>
      </c>
      <c r="P63" s="1104">
        <f>O64+O65</f>
        <v>113589</v>
      </c>
    </row>
    <row r="64" spans="1:16" ht="17.25" thickTop="1" thickBot="1" x14ac:dyDescent="0.3">
      <c r="A64" s="224"/>
      <c r="B64" s="231" t="s">
        <v>1036</v>
      </c>
      <c r="C64" s="231">
        <f>+C53+C56+C57+C58</f>
        <v>6373</v>
      </c>
      <c r="D64" s="231">
        <f t="shared" ref="D64:O64" si="27">+D53+D56+D57+D58</f>
        <v>0</v>
      </c>
      <c r="E64" s="231">
        <f t="shared" si="27"/>
        <v>0</v>
      </c>
      <c r="F64" s="231">
        <f t="shared" si="27"/>
        <v>1882</v>
      </c>
      <c r="G64" s="231">
        <f t="shared" si="27"/>
        <v>0</v>
      </c>
      <c r="H64" s="231">
        <f t="shared" si="27"/>
        <v>0</v>
      </c>
      <c r="I64" s="231">
        <f t="shared" si="27"/>
        <v>0</v>
      </c>
      <c r="J64" s="231">
        <f t="shared" si="27"/>
        <v>8255</v>
      </c>
      <c r="K64" s="231">
        <f t="shared" si="27"/>
        <v>0</v>
      </c>
      <c r="L64" s="231">
        <f t="shared" si="27"/>
        <v>8255</v>
      </c>
      <c r="M64" s="231">
        <f t="shared" si="27"/>
        <v>102000</v>
      </c>
      <c r="N64" s="231">
        <f t="shared" si="27"/>
        <v>304</v>
      </c>
      <c r="O64" s="231">
        <f t="shared" si="27"/>
        <v>110559</v>
      </c>
    </row>
    <row r="65" spans="1:16" ht="17.25" thickTop="1" thickBot="1" x14ac:dyDescent="0.3">
      <c r="A65" s="224"/>
      <c r="B65" s="231" t="s">
        <v>1037</v>
      </c>
      <c r="C65" s="231">
        <f t="shared" ref="C65:O65" si="28">+C54+C60+C61+C62</f>
        <v>0</v>
      </c>
      <c r="D65" s="231">
        <f t="shared" si="28"/>
        <v>0</v>
      </c>
      <c r="E65" s="231">
        <f t="shared" si="28"/>
        <v>0</v>
      </c>
      <c r="F65" s="231">
        <f t="shared" si="28"/>
        <v>0</v>
      </c>
      <c r="G65" s="231">
        <f t="shared" si="28"/>
        <v>0</v>
      </c>
      <c r="H65" s="231">
        <f t="shared" si="28"/>
        <v>0</v>
      </c>
      <c r="I65" s="231">
        <f t="shared" si="28"/>
        <v>0</v>
      </c>
      <c r="J65" s="231">
        <f t="shared" si="28"/>
        <v>0</v>
      </c>
      <c r="K65" s="231">
        <f t="shared" si="28"/>
        <v>0</v>
      </c>
      <c r="L65" s="231">
        <f t="shared" si="28"/>
        <v>0</v>
      </c>
      <c r="M65" s="231">
        <f t="shared" si="28"/>
        <v>3030</v>
      </c>
      <c r="N65" s="231">
        <f t="shared" si="28"/>
        <v>0</v>
      </c>
      <c r="O65" s="231">
        <f t="shared" si="28"/>
        <v>3030</v>
      </c>
    </row>
    <row r="66" spans="1:16" ht="16.5" thickTop="1" x14ac:dyDescent="0.25">
      <c r="A66" s="226" t="s">
        <v>225</v>
      </c>
      <c r="B66" s="590" t="s">
        <v>397</v>
      </c>
      <c r="C66" s="590"/>
      <c r="D66" s="590"/>
      <c r="E66" s="590"/>
      <c r="F66" s="590"/>
      <c r="G66" s="590"/>
      <c r="H66" s="590"/>
      <c r="I66" s="590"/>
      <c r="J66" s="590"/>
      <c r="K66" s="590"/>
      <c r="L66" s="590"/>
      <c r="M66" s="590"/>
      <c r="N66" s="590"/>
      <c r="O66" s="590"/>
    </row>
    <row r="67" spans="1:16" x14ac:dyDescent="0.25">
      <c r="A67" s="226"/>
      <c r="B67" s="591" t="s">
        <v>998</v>
      </c>
      <c r="C67" s="591">
        <v>6147</v>
      </c>
      <c r="D67" s="591"/>
      <c r="E67" s="591"/>
      <c r="F67" s="591">
        <v>2256</v>
      </c>
      <c r="G67" s="591"/>
      <c r="H67" s="591"/>
      <c r="I67" s="591"/>
      <c r="J67" s="591">
        <f>SUM(C67+E67+F67+H67)</f>
        <v>8403</v>
      </c>
      <c r="K67" s="591">
        <f>SUM(D67+G67+I67)</f>
        <v>0</v>
      </c>
      <c r="L67" s="591">
        <f>SUM(J67:K67)</f>
        <v>8403</v>
      </c>
      <c r="M67" s="591">
        <v>98640</v>
      </c>
      <c r="N67" s="591">
        <v>256</v>
      </c>
      <c r="O67" s="591">
        <f>SUM(L67:N67)</f>
        <v>107299</v>
      </c>
    </row>
    <row r="68" spans="1:16" s="1107" customFormat="1" x14ac:dyDescent="0.25">
      <c r="A68" s="227"/>
      <c r="B68" s="228" t="s">
        <v>1033</v>
      </c>
      <c r="C68" s="228">
        <v>6147</v>
      </c>
      <c r="D68" s="228"/>
      <c r="E68" s="228"/>
      <c r="F68" s="228">
        <v>2256</v>
      </c>
      <c r="G68" s="228"/>
      <c r="H68" s="228"/>
      <c r="I68" s="228"/>
      <c r="J68" s="229">
        <f>SUM(C68+E68+F68+H68)</f>
        <v>8403</v>
      </c>
      <c r="K68" s="229">
        <f>SUM(D68+G68+I68)</f>
        <v>0</v>
      </c>
      <c r="L68" s="229">
        <f>SUM(J68:K68)</f>
        <v>8403</v>
      </c>
      <c r="M68" s="229">
        <v>96592</v>
      </c>
      <c r="N68" s="229">
        <v>256</v>
      </c>
      <c r="O68" s="229">
        <f>SUM(L68:N68)</f>
        <v>105251</v>
      </c>
    </row>
    <row r="69" spans="1:16" s="1107" customFormat="1" x14ac:dyDescent="0.25">
      <c r="A69" s="227"/>
      <c r="B69" s="228" t="s">
        <v>1034</v>
      </c>
      <c r="C69" s="228"/>
      <c r="D69" s="228"/>
      <c r="E69" s="228"/>
      <c r="F69" s="228"/>
      <c r="G69" s="228"/>
      <c r="H69" s="228"/>
      <c r="I69" s="228"/>
      <c r="J69" s="229">
        <f>SUM(C69+E69+F69+H69)</f>
        <v>0</v>
      </c>
      <c r="K69" s="229">
        <f>SUM(D69+G69+I69)</f>
        <v>0</v>
      </c>
      <c r="L69" s="229">
        <f>SUM(J69:K69)</f>
        <v>0</v>
      </c>
      <c r="M69" s="229">
        <v>2048</v>
      </c>
      <c r="N69" s="229"/>
      <c r="O69" s="229">
        <f>SUM(L69:N69)</f>
        <v>2048</v>
      </c>
    </row>
    <row r="70" spans="1:16" s="1107" customFormat="1" x14ac:dyDescent="0.25">
      <c r="A70" s="227"/>
      <c r="B70" s="228" t="s">
        <v>160</v>
      </c>
      <c r="C70" s="230"/>
      <c r="D70" s="230"/>
      <c r="E70" s="230"/>
      <c r="F70" s="230"/>
      <c r="G70" s="230"/>
      <c r="H70" s="230"/>
      <c r="I70" s="230"/>
      <c r="J70" s="230"/>
      <c r="K70" s="230"/>
      <c r="L70" s="230"/>
      <c r="M70" s="230"/>
      <c r="N70" s="230"/>
      <c r="O70" s="230"/>
    </row>
    <row r="71" spans="1:16" s="1107" customFormat="1" x14ac:dyDescent="0.25">
      <c r="A71" s="227"/>
      <c r="B71" s="230" t="s">
        <v>1229</v>
      </c>
      <c r="C71" s="230"/>
      <c r="D71" s="230"/>
      <c r="E71" s="230"/>
      <c r="F71" s="230"/>
      <c r="G71" s="230"/>
      <c r="H71" s="230"/>
      <c r="I71" s="230"/>
      <c r="J71" s="230">
        <f t="shared" ref="J71:J79" si="29">SUM(C71+E71+F71+H71)</f>
        <v>0</v>
      </c>
      <c r="K71" s="230">
        <f t="shared" ref="K71:K79" si="30">SUM(D71+G71+I71)</f>
        <v>0</v>
      </c>
      <c r="L71" s="230">
        <f t="shared" ref="L71:L79" si="31">SUM(J71:K71)</f>
        <v>0</v>
      </c>
      <c r="M71" s="230">
        <v>108</v>
      </c>
      <c r="N71" s="230"/>
      <c r="O71" s="230">
        <f t="shared" ref="O71:O79" si="32">SUM(L71:N71)</f>
        <v>108</v>
      </c>
    </row>
    <row r="72" spans="1:16" s="1107" customFormat="1" ht="31.5" x14ac:dyDescent="0.25">
      <c r="A72" s="227"/>
      <c r="B72" s="230" t="s">
        <v>1233</v>
      </c>
      <c r="C72" s="230"/>
      <c r="D72" s="230"/>
      <c r="E72" s="230"/>
      <c r="F72" s="230"/>
      <c r="G72" s="230"/>
      <c r="H72" s="230"/>
      <c r="I72" s="230"/>
      <c r="J72" s="230">
        <f t="shared" si="29"/>
        <v>0</v>
      </c>
      <c r="K72" s="230">
        <f t="shared" si="30"/>
        <v>0</v>
      </c>
      <c r="L72" s="230">
        <f t="shared" si="31"/>
        <v>0</v>
      </c>
      <c r="M72" s="230">
        <v>597</v>
      </c>
      <c r="N72" s="230"/>
      <c r="O72" s="230">
        <f t="shared" si="32"/>
        <v>597</v>
      </c>
    </row>
    <row r="73" spans="1:16" s="1107" customFormat="1" x14ac:dyDescent="0.25">
      <c r="A73" s="227"/>
      <c r="B73" s="230" t="s">
        <v>1236</v>
      </c>
      <c r="C73" s="230"/>
      <c r="D73" s="230"/>
      <c r="E73" s="230"/>
      <c r="F73" s="230"/>
      <c r="G73" s="230"/>
      <c r="H73" s="230"/>
      <c r="I73" s="230"/>
      <c r="J73" s="230">
        <f t="shared" si="29"/>
        <v>0</v>
      </c>
      <c r="K73" s="230">
        <f t="shared" si="30"/>
        <v>0</v>
      </c>
      <c r="L73" s="230">
        <f t="shared" si="31"/>
        <v>0</v>
      </c>
      <c r="M73" s="230">
        <v>172</v>
      </c>
      <c r="N73" s="230"/>
      <c r="O73" s="230">
        <f t="shared" si="32"/>
        <v>172</v>
      </c>
    </row>
    <row r="74" spans="1:16" s="1107" customFormat="1" ht="47.25" x14ac:dyDescent="0.25">
      <c r="A74" s="227"/>
      <c r="B74" s="230" t="s">
        <v>1230</v>
      </c>
      <c r="C74" s="230"/>
      <c r="D74" s="230"/>
      <c r="E74" s="230"/>
      <c r="F74" s="230"/>
      <c r="G74" s="230"/>
      <c r="H74" s="230"/>
      <c r="I74" s="230"/>
      <c r="J74" s="230">
        <f t="shared" si="29"/>
        <v>0</v>
      </c>
      <c r="K74" s="230">
        <f t="shared" si="30"/>
        <v>0</v>
      </c>
      <c r="L74" s="230">
        <f t="shared" si="31"/>
        <v>0</v>
      </c>
      <c r="M74" s="230">
        <v>2828</v>
      </c>
      <c r="N74" s="230"/>
      <c r="O74" s="230">
        <f t="shared" si="32"/>
        <v>2828</v>
      </c>
    </row>
    <row r="75" spans="1:16" s="1107" customFormat="1" x14ac:dyDescent="0.25">
      <c r="A75" s="227"/>
      <c r="B75" s="228" t="s">
        <v>161</v>
      </c>
      <c r="C75" s="230"/>
      <c r="D75" s="230"/>
      <c r="E75" s="230"/>
      <c r="F75" s="230"/>
      <c r="G75" s="230"/>
      <c r="H75" s="230"/>
      <c r="I75" s="230"/>
      <c r="J75" s="230"/>
      <c r="K75" s="230"/>
      <c r="L75" s="230"/>
      <c r="M75" s="230"/>
      <c r="N75" s="230"/>
      <c r="O75" s="230"/>
    </row>
    <row r="76" spans="1:16" s="1107" customFormat="1" x14ac:dyDescent="0.25">
      <c r="A76" s="227"/>
      <c r="B76" s="230" t="s">
        <v>1237</v>
      </c>
      <c r="C76" s="230"/>
      <c r="D76" s="230"/>
      <c r="E76" s="230"/>
      <c r="F76" s="230"/>
      <c r="G76" s="230"/>
      <c r="H76" s="230"/>
      <c r="I76" s="230"/>
      <c r="J76" s="230">
        <f t="shared" si="29"/>
        <v>0</v>
      </c>
      <c r="K76" s="230">
        <f t="shared" si="30"/>
        <v>0</v>
      </c>
      <c r="L76" s="230">
        <f t="shared" si="31"/>
        <v>0</v>
      </c>
      <c r="M76" s="230">
        <v>832</v>
      </c>
      <c r="N76" s="230"/>
      <c r="O76" s="230">
        <f t="shared" si="32"/>
        <v>832</v>
      </c>
    </row>
    <row r="77" spans="1:16" s="1107" customFormat="1" ht="31.5" x14ac:dyDescent="0.25">
      <c r="A77" s="227"/>
      <c r="B77" s="230" t="s">
        <v>1232</v>
      </c>
      <c r="C77" s="230"/>
      <c r="D77" s="230"/>
      <c r="E77" s="230"/>
      <c r="F77" s="230"/>
      <c r="G77" s="230"/>
      <c r="H77" s="230"/>
      <c r="I77" s="230"/>
      <c r="J77" s="230">
        <f t="shared" si="29"/>
        <v>0</v>
      </c>
      <c r="K77" s="230">
        <f t="shared" si="30"/>
        <v>0</v>
      </c>
      <c r="L77" s="230">
        <f t="shared" si="31"/>
        <v>0</v>
      </c>
      <c r="M77" s="230">
        <v>27</v>
      </c>
      <c r="N77" s="230"/>
      <c r="O77" s="230">
        <f t="shared" si="32"/>
        <v>27</v>
      </c>
    </row>
    <row r="78" spans="1:16" s="1107" customFormat="1" ht="63" x14ac:dyDescent="0.25">
      <c r="A78" s="227"/>
      <c r="B78" s="230" t="s">
        <v>1235</v>
      </c>
      <c r="C78" s="230"/>
      <c r="D78" s="230"/>
      <c r="E78" s="230"/>
      <c r="F78" s="230"/>
      <c r="G78" s="230"/>
      <c r="H78" s="230"/>
      <c r="I78" s="230"/>
      <c r="J78" s="230">
        <f t="shared" si="29"/>
        <v>0</v>
      </c>
      <c r="K78" s="230">
        <f t="shared" si="30"/>
        <v>0</v>
      </c>
      <c r="L78" s="230">
        <f t="shared" si="31"/>
        <v>0</v>
      </c>
      <c r="M78" s="230">
        <v>15</v>
      </c>
      <c r="N78" s="230"/>
      <c r="O78" s="230">
        <f t="shared" si="32"/>
        <v>15</v>
      </c>
    </row>
    <row r="79" spans="1:16" s="1107" customFormat="1" ht="79.5" thickBot="1" x14ac:dyDescent="0.3">
      <c r="A79" s="227"/>
      <c r="B79" s="230" t="s">
        <v>1238</v>
      </c>
      <c r="C79" s="230"/>
      <c r="D79" s="230"/>
      <c r="E79" s="230"/>
      <c r="F79" s="230"/>
      <c r="G79" s="230"/>
      <c r="H79" s="230"/>
      <c r="I79" s="230"/>
      <c r="J79" s="230">
        <f t="shared" si="29"/>
        <v>0</v>
      </c>
      <c r="K79" s="230">
        <f t="shared" si="30"/>
        <v>0</v>
      </c>
      <c r="L79" s="230">
        <f t="shared" si="31"/>
        <v>0</v>
      </c>
      <c r="M79" s="230">
        <v>65</v>
      </c>
      <c r="N79" s="230"/>
      <c r="O79" s="230">
        <f t="shared" si="32"/>
        <v>65</v>
      </c>
    </row>
    <row r="80" spans="1:16" ht="17.25" thickTop="1" thickBot="1" x14ac:dyDescent="0.3">
      <c r="A80" s="224"/>
      <c r="B80" s="231" t="s">
        <v>1035</v>
      </c>
      <c r="C80" s="231">
        <f>+C67+C71+C76+C72+C73+C77+C74+C78+C79</f>
        <v>6147</v>
      </c>
      <c r="D80" s="231">
        <f t="shared" ref="D80:O80" si="33">+D67+D71+D76+D72+D73+D77+D74+D78+D79</f>
        <v>0</v>
      </c>
      <c r="E80" s="231">
        <f t="shared" si="33"/>
        <v>0</v>
      </c>
      <c r="F80" s="231">
        <f t="shared" si="33"/>
        <v>2256</v>
      </c>
      <c r="G80" s="231">
        <f t="shared" si="33"/>
        <v>0</v>
      </c>
      <c r="H80" s="231">
        <f t="shared" si="33"/>
        <v>0</v>
      </c>
      <c r="I80" s="231">
        <f t="shared" si="33"/>
        <v>0</v>
      </c>
      <c r="J80" s="231">
        <f t="shared" si="33"/>
        <v>8403</v>
      </c>
      <c r="K80" s="231">
        <f t="shared" si="33"/>
        <v>0</v>
      </c>
      <c r="L80" s="231">
        <f t="shared" si="33"/>
        <v>8403</v>
      </c>
      <c r="M80" s="231">
        <f t="shared" si="33"/>
        <v>103284</v>
      </c>
      <c r="N80" s="231">
        <f t="shared" si="33"/>
        <v>256</v>
      </c>
      <c r="O80" s="231">
        <f t="shared" si="33"/>
        <v>111943</v>
      </c>
      <c r="P80" s="1104">
        <f>O81+O82</f>
        <v>111943</v>
      </c>
    </row>
    <row r="81" spans="1:16" ht="17.25" thickTop="1" thickBot="1" x14ac:dyDescent="0.3">
      <c r="A81" s="224"/>
      <c r="B81" s="231" t="s">
        <v>1036</v>
      </c>
      <c r="C81" s="231">
        <f>+C68+C71+C72+C73+C74</f>
        <v>6147</v>
      </c>
      <c r="D81" s="231">
        <f t="shared" ref="D81:O81" si="34">+D68+D71+D72+D73+D74</f>
        <v>0</v>
      </c>
      <c r="E81" s="231">
        <f t="shared" si="34"/>
        <v>0</v>
      </c>
      <c r="F81" s="231">
        <f t="shared" si="34"/>
        <v>2256</v>
      </c>
      <c r="G81" s="231">
        <f t="shared" si="34"/>
        <v>0</v>
      </c>
      <c r="H81" s="231">
        <f t="shared" si="34"/>
        <v>0</v>
      </c>
      <c r="I81" s="231">
        <f t="shared" si="34"/>
        <v>0</v>
      </c>
      <c r="J81" s="231">
        <f t="shared" si="34"/>
        <v>8403</v>
      </c>
      <c r="K81" s="231">
        <f t="shared" si="34"/>
        <v>0</v>
      </c>
      <c r="L81" s="231">
        <f t="shared" si="34"/>
        <v>8403</v>
      </c>
      <c r="M81" s="231">
        <f t="shared" si="34"/>
        <v>100297</v>
      </c>
      <c r="N81" s="231">
        <f t="shared" si="34"/>
        <v>256</v>
      </c>
      <c r="O81" s="231">
        <f t="shared" si="34"/>
        <v>108956</v>
      </c>
    </row>
    <row r="82" spans="1:16" ht="17.25" thickTop="1" thickBot="1" x14ac:dyDescent="0.3">
      <c r="A82" s="224"/>
      <c r="B82" s="231" t="s">
        <v>1037</v>
      </c>
      <c r="C82" s="231">
        <f t="shared" ref="C82:O82" si="35">+C69+C76+C77+C78+C79</f>
        <v>0</v>
      </c>
      <c r="D82" s="231">
        <f t="shared" si="35"/>
        <v>0</v>
      </c>
      <c r="E82" s="231">
        <f t="shared" si="35"/>
        <v>0</v>
      </c>
      <c r="F82" s="231">
        <f t="shared" si="35"/>
        <v>0</v>
      </c>
      <c r="G82" s="231">
        <f t="shared" si="35"/>
        <v>0</v>
      </c>
      <c r="H82" s="231">
        <f t="shared" si="35"/>
        <v>0</v>
      </c>
      <c r="I82" s="231">
        <f t="shared" si="35"/>
        <v>0</v>
      </c>
      <c r="J82" s="231">
        <f t="shared" si="35"/>
        <v>0</v>
      </c>
      <c r="K82" s="231">
        <f t="shared" si="35"/>
        <v>0</v>
      </c>
      <c r="L82" s="231">
        <f t="shared" si="35"/>
        <v>0</v>
      </c>
      <c r="M82" s="231">
        <f t="shared" si="35"/>
        <v>2987</v>
      </c>
      <c r="N82" s="231">
        <f t="shared" si="35"/>
        <v>0</v>
      </c>
      <c r="O82" s="231">
        <f t="shared" si="35"/>
        <v>2987</v>
      </c>
    </row>
    <row r="83" spans="1:16" ht="16.5" thickTop="1" x14ac:dyDescent="0.25">
      <c r="A83" s="226" t="s">
        <v>226</v>
      </c>
      <c r="B83" s="590" t="s">
        <v>854</v>
      </c>
      <c r="C83" s="590"/>
      <c r="D83" s="590"/>
      <c r="E83" s="590"/>
      <c r="F83" s="590"/>
      <c r="G83" s="590"/>
      <c r="H83" s="590"/>
      <c r="I83" s="590"/>
      <c r="J83" s="590"/>
      <c r="K83" s="590"/>
      <c r="L83" s="590"/>
      <c r="M83" s="590"/>
      <c r="N83" s="590"/>
      <c r="O83" s="590"/>
    </row>
    <row r="84" spans="1:16" x14ac:dyDescent="0.25">
      <c r="A84" s="226"/>
      <c r="B84" s="591" t="s">
        <v>998</v>
      </c>
      <c r="C84" s="591">
        <v>3349</v>
      </c>
      <c r="D84" s="591"/>
      <c r="E84" s="591"/>
      <c r="F84" s="591">
        <v>470</v>
      </c>
      <c r="G84" s="591"/>
      <c r="H84" s="591"/>
      <c r="I84" s="591"/>
      <c r="J84" s="591">
        <f>SUM(C84+E84+F84+H84)</f>
        <v>3819</v>
      </c>
      <c r="K84" s="591">
        <f>SUM(D84+G84+I84)</f>
        <v>0</v>
      </c>
      <c r="L84" s="591">
        <f>SUM(J84:K84)</f>
        <v>3819</v>
      </c>
      <c r="M84" s="591">
        <v>57042</v>
      </c>
      <c r="N84" s="591">
        <v>314</v>
      </c>
      <c r="O84" s="591">
        <f>SUM(L84:N84)</f>
        <v>61175</v>
      </c>
    </row>
    <row r="85" spans="1:16" s="1107" customFormat="1" x14ac:dyDescent="0.25">
      <c r="A85" s="227"/>
      <c r="B85" s="228" t="s">
        <v>1033</v>
      </c>
      <c r="C85" s="228">
        <v>3349</v>
      </c>
      <c r="D85" s="228"/>
      <c r="E85" s="228"/>
      <c r="F85" s="228">
        <v>470</v>
      </c>
      <c r="G85" s="228"/>
      <c r="H85" s="228"/>
      <c r="I85" s="228"/>
      <c r="J85" s="229">
        <f>SUM(C85+E85+F85+H85)</f>
        <v>3819</v>
      </c>
      <c r="K85" s="229">
        <f>SUM(D85+G85+I85)</f>
        <v>0</v>
      </c>
      <c r="L85" s="229">
        <f>SUM(J85:K85)</f>
        <v>3819</v>
      </c>
      <c r="M85" s="229">
        <v>55893</v>
      </c>
      <c r="N85" s="229">
        <v>314</v>
      </c>
      <c r="O85" s="229">
        <f>SUM(L85:N85)</f>
        <v>60026</v>
      </c>
    </row>
    <row r="86" spans="1:16" s="1107" customFormat="1" x14ac:dyDescent="0.25">
      <c r="A86" s="227"/>
      <c r="B86" s="228" t="s">
        <v>1034</v>
      </c>
      <c r="C86" s="228"/>
      <c r="D86" s="228"/>
      <c r="E86" s="228"/>
      <c r="F86" s="228"/>
      <c r="G86" s="228"/>
      <c r="H86" s="228"/>
      <c r="I86" s="228"/>
      <c r="J86" s="229">
        <f>SUM(C86+E86+F86+H86)</f>
        <v>0</v>
      </c>
      <c r="K86" s="229">
        <f>SUM(D86+G86+I86)</f>
        <v>0</v>
      </c>
      <c r="L86" s="229">
        <f>SUM(J86:K86)</f>
        <v>0</v>
      </c>
      <c r="M86" s="229">
        <v>1149</v>
      </c>
      <c r="N86" s="229"/>
      <c r="O86" s="229">
        <f>SUM(L86:N86)</f>
        <v>1149</v>
      </c>
    </row>
    <row r="87" spans="1:16" s="1107" customFormat="1" x14ac:dyDescent="0.25">
      <c r="A87" s="232"/>
      <c r="B87" s="233" t="s">
        <v>160</v>
      </c>
      <c r="C87" s="235"/>
      <c r="D87" s="235"/>
      <c r="E87" s="235"/>
      <c r="F87" s="235"/>
      <c r="G87" s="235"/>
      <c r="H87" s="235"/>
      <c r="I87" s="235"/>
      <c r="J87" s="235"/>
      <c r="K87" s="235"/>
      <c r="L87" s="235"/>
      <c r="M87" s="235"/>
      <c r="N87" s="235"/>
      <c r="O87" s="235"/>
    </row>
    <row r="88" spans="1:16" s="1107" customFormat="1" x14ac:dyDescent="0.25">
      <c r="A88" s="227"/>
      <c r="B88" s="230" t="s">
        <v>1229</v>
      </c>
      <c r="C88" s="230"/>
      <c r="D88" s="230"/>
      <c r="E88" s="230"/>
      <c r="F88" s="230"/>
      <c r="G88" s="230"/>
      <c r="H88" s="230"/>
      <c r="I88" s="230"/>
      <c r="J88" s="230">
        <f t="shared" ref="J88:J94" si="36">SUM(C88+E88+F88+H88)</f>
        <v>0</v>
      </c>
      <c r="K88" s="230">
        <f t="shared" ref="K88:K94" si="37">SUM(D88+G88+I88)</f>
        <v>0</v>
      </c>
      <c r="L88" s="230">
        <f t="shared" ref="L88:L94" si="38">SUM(J88:K88)</f>
        <v>0</v>
      </c>
      <c r="M88" s="230">
        <v>38</v>
      </c>
      <c r="N88" s="230"/>
      <c r="O88" s="230">
        <f t="shared" ref="O88:O94" si="39">SUM(L88:N88)</f>
        <v>38</v>
      </c>
    </row>
    <row r="89" spans="1:16" s="1107" customFormat="1" ht="31.5" x14ac:dyDescent="0.25">
      <c r="A89" s="227"/>
      <c r="B89" s="230" t="s">
        <v>1233</v>
      </c>
      <c r="C89" s="230"/>
      <c r="D89" s="230"/>
      <c r="E89" s="230"/>
      <c r="F89" s="230"/>
      <c r="G89" s="230"/>
      <c r="H89" s="230"/>
      <c r="I89" s="230"/>
      <c r="J89" s="230">
        <f t="shared" si="36"/>
        <v>0</v>
      </c>
      <c r="K89" s="230">
        <f t="shared" si="37"/>
        <v>0</v>
      </c>
      <c r="L89" s="230">
        <f t="shared" si="38"/>
        <v>0</v>
      </c>
      <c r="M89" s="230">
        <v>236</v>
      </c>
      <c r="N89" s="230"/>
      <c r="O89" s="230">
        <f t="shared" si="39"/>
        <v>236</v>
      </c>
    </row>
    <row r="90" spans="1:16" s="1107" customFormat="1" x14ac:dyDescent="0.25">
      <c r="A90" s="232"/>
      <c r="B90" s="228" t="s">
        <v>1041</v>
      </c>
      <c r="C90" s="230"/>
      <c r="D90" s="230"/>
      <c r="E90" s="230"/>
      <c r="F90" s="230"/>
      <c r="G90" s="230"/>
      <c r="H90" s="230"/>
      <c r="I90" s="230"/>
      <c r="J90" s="230"/>
      <c r="K90" s="230"/>
      <c r="L90" s="230"/>
      <c r="M90" s="230"/>
      <c r="N90" s="230"/>
      <c r="O90" s="230"/>
    </row>
    <row r="91" spans="1:16" s="1107" customFormat="1" x14ac:dyDescent="0.25">
      <c r="A91" s="227"/>
      <c r="B91" s="230" t="s">
        <v>1237</v>
      </c>
      <c r="C91" s="230"/>
      <c r="D91" s="230"/>
      <c r="E91" s="230"/>
      <c r="F91" s="230"/>
      <c r="G91" s="230"/>
      <c r="H91" s="230"/>
      <c r="I91" s="230"/>
      <c r="J91" s="230">
        <f t="shared" si="36"/>
        <v>0</v>
      </c>
      <c r="K91" s="230">
        <f t="shared" si="37"/>
        <v>0</v>
      </c>
      <c r="L91" s="230">
        <f t="shared" si="38"/>
        <v>0</v>
      </c>
      <c r="M91" s="230">
        <v>472</v>
      </c>
      <c r="N91" s="230"/>
      <c r="O91" s="230">
        <f t="shared" si="39"/>
        <v>472</v>
      </c>
    </row>
    <row r="92" spans="1:16" s="1107" customFormat="1" ht="31.5" x14ac:dyDescent="0.25">
      <c r="A92" s="227"/>
      <c r="B92" s="230" t="s">
        <v>1232</v>
      </c>
      <c r="C92" s="230"/>
      <c r="D92" s="230"/>
      <c r="E92" s="230"/>
      <c r="F92" s="230"/>
      <c r="G92" s="230"/>
      <c r="H92" s="230"/>
      <c r="I92" s="230"/>
      <c r="J92" s="230">
        <f t="shared" si="36"/>
        <v>0</v>
      </c>
      <c r="K92" s="230">
        <f t="shared" si="37"/>
        <v>0</v>
      </c>
      <c r="L92" s="230">
        <f t="shared" si="38"/>
        <v>0</v>
      </c>
      <c r="M92" s="230">
        <v>53</v>
      </c>
      <c r="N92" s="230"/>
      <c r="O92" s="230">
        <f t="shared" si="39"/>
        <v>53</v>
      </c>
    </row>
    <row r="93" spans="1:16" s="1107" customFormat="1" ht="63" x14ac:dyDescent="0.25">
      <c r="A93" s="227"/>
      <c r="B93" s="230" t="s">
        <v>1235</v>
      </c>
      <c r="C93" s="230"/>
      <c r="D93" s="230"/>
      <c r="E93" s="230"/>
      <c r="F93" s="230"/>
      <c r="G93" s="230"/>
      <c r="H93" s="230"/>
      <c r="I93" s="230"/>
      <c r="J93" s="230">
        <f t="shared" si="36"/>
        <v>0</v>
      </c>
      <c r="K93" s="230">
        <f t="shared" si="37"/>
        <v>0</v>
      </c>
      <c r="L93" s="230">
        <f t="shared" si="38"/>
        <v>0</v>
      </c>
      <c r="M93" s="230">
        <v>15</v>
      </c>
      <c r="N93" s="230"/>
      <c r="O93" s="230">
        <f t="shared" si="39"/>
        <v>15</v>
      </c>
    </row>
    <row r="94" spans="1:16" s="1107" customFormat="1" ht="79.5" thickBot="1" x14ac:dyDescent="0.3">
      <c r="A94" s="227"/>
      <c r="B94" s="230" t="s">
        <v>1234</v>
      </c>
      <c r="C94" s="230"/>
      <c r="D94" s="230"/>
      <c r="E94" s="230"/>
      <c r="F94" s="230"/>
      <c r="G94" s="230"/>
      <c r="H94" s="230"/>
      <c r="I94" s="230"/>
      <c r="J94" s="230">
        <f t="shared" si="36"/>
        <v>0</v>
      </c>
      <c r="K94" s="230">
        <f t="shared" si="37"/>
        <v>0</v>
      </c>
      <c r="L94" s="230">
        <f t="shared" si="38"/>
        <v>0</v>
      </c>
      <c r="M94" s="230">
        <v>65</v>
      </c>
      <c r="N94" s="230"/>
      <c r="O94" s="230">
        <f t="shared" si="39"/>
        <v>65</v>
      </c>
    </row>
    <row r="95" spans="1:16" ht="17.25" thickTop="1" thickBot="1" x14ac:dyDescent="0.3">
      <c r="A95" s="224"/>
      <c r="B95" s="231" t="s">
        <v>1035</v>
      </c>
      <c r="C95" s="231">
        <f>+C84+C88+C91+C89+C92+C93+C94</f>
        <v>3349</v>
      </c>
      <c r="D95" s="231">
        <f t="shared" ref="D95:O95" si="40">+D84+D88+D91+D89+D92+D93+D94</f>
        <v>0</v>
      </c>
      <c r="E95" s="231">
        <f t="shared" si="40"/>
        <v>0</v>
      </c>
      <c r="F95" s="231">
        <f t="shared" si="40"/>
        <v>470</v>
      </c>
      <c r="G95" s="231">
        <f t="shared" si="40"/>
        <v>0</v>
      </c>
      <c r="H95" s="231">
        <f t="shared" si="40"/>
        <v>0</v>
      </c>
      <c r="I95" s="231">
        <f t="shared" si="40"/>
        <v>0</v>
      </c>
      <c r="J95" s="231">
        <f t="shared" si="40"/>
        <v>3819</v>
      </c>
      <c r="K95" s="231">
        <f t="shared" si="40"/>
        <v>0</v>
      </c>
      <c r="L95" s="231">
        <f t="shared" si="40"/>
        <v>3819</v>
      </c>
      <c r="M95" s="231">
        <f t="shared" si="40"/>
        <v>57921</v>
      </c>
      <c r="N95" s="231">
        <f t="shared" si="40"/>
        <v>314</v>
      </c>
      <c r="O95" s="231">
        <f t="shared" si="40"/>
        <v>62054</v>
      </c>
      <c r="P95" s="1104">
        <f>O96+O97</f>
        <v>62054</v>
      </c>
    </row>
    <row r="96" spans="1:16" ht="17.25" thickTop="1" thickBot="1" x14ac:dyDescent="0.3">
      <c r="A96" s="224"/>
      <c r="B96" s="231" t="s">
        <v>1036</v>
      </c>
      <c r="C96" s="231">
        <f>+C85+C88+C89</f>
        <v>3349</v>
      </c>
      <c r="D96" s="231">
        <f t="shared" ref="D96:O96" si="41">+D85+D88+D89</f>
        <v>0</v>
      </c>
      <c r="E96" s="231">
        <f t="shared" si="41"/>
        <v>0</v>
      </c>
      <c r="F96" s="231">
        <f t="shared" si="41"/>
        <v>470</v>
      </c>
      <c r="G96" s="231">
        <f t="shared" si="41"/>
        <v>0</v>
      </c>
      <c r="H96" s="231">
        <f t="shared" si="41"/>
        <v>0</v>
      </c>
      <c r="I96" s="231">
        <f t="shared" si="41"/>
        <v>0</v>
      </c>
      <c r="J96" s="231">
        <f t="shared" si="41"/>
        <v>3819</v>
      </c>
      <c r="K96" s="231">
        <f t="shared" si="41"/>
        <v>0</v>
      </c>
      <c r="L96" s="231">
        <f t="shared" si="41"/>
        <v>3819</v>
      </c>
      <c r="M96" s="231">
        <f t="shared" si="41"/>
        <v>56167</v>
      </c>
      <c r="N96" s="231">
        <f t="shared" si="41"/>
        <v>314</v>
      </c>
      <c r="O96" s="231">
        <f t="shared" si="41"/>
        <v>60300</v>
      </c>
    </row>
    <row r="97" spans="1:16" ht="17.25" thickTop="1" thickBot="1" x14ac:dyDescent="0.3">
      <c r="A97" s="224"/>
      <c r="B97" s="231" t="s">
        <v>1037</v>
      </c>
      <c r="C97" s="231">
        <f t="shared" ref="C97:O97" si="42">+C86+C91+C92+C93+C94</f>
        <v>0</v>
      </c>
      <c r="D97" s="231">
        <f t="shared" si="42"/>
        <v>0</v>
      </c>
      <c r="E97" s="231">
        <f t="shared" si="42"/>
        <v>0</v>
      </c>
      <c r="F97" s="231">
        <f t="shared" si="42"/>
        <v>0</v>
      </c>
      <c r="G97" s="231">
        <f t="shared" si="42"/>
        <v>0</v>
      </c>
      <c r="H97" s="231">
        <f t="shared" si="42"/>
        <v>0</v>
      </c>
      <c r="I97" s="231">
        <f t="shared" si="42"/>
        <v>0</v>
      </c>
      <c r="J97" s="231">
        <f t="shared" si="42"/>
        <v>0</v>
      </c>
      <c r="K97" s="231">
        <f t="shared" si="42"/>
        <v>0</v>
      </c>
      <c r="L97" s="231">
        <f t="shared" si="42"/>
        <v>0</v>
      </c>
      <c r="M97" s="231">
        <f t="shared" si="42"/>
        <v>1754</v>
      </c>
      <c r="N97" s="231">
        <f t="shared" si="42"/>
        <v>0</v>
      </c>
      <c r="O97" s="231">
        <f t="shared" si="42"/>
        <v>1754</v>
      </c>
    </row>
    <row r="98" spans="1:16" ht="16.5" thickTop="1" x14ac:dyDescent="0.25">
      <c r="A98" s="226" t="s">
        <v>227</v>
      </c>
      <c r="B98" s="590" t="s">
        <v>1042</v>
      </c>
      <c r="C98" s="590"/>
      <c r="D98" s="590"/>
      <c r="E98" s="590"/>
      <c r="F98" s="590"/>
      <c r="G98" s="590"/>
      <c r="H98" s="590"/>
      <c r="I98" s="590"/>
      <c r="J98" s="590"/>
      <c r="K98" s="590"/>
      <c r="L98" s="590"/>
      <c r="M98" s="590"/>
      <c r="N98" s="590"/>
      <c r="O98" s="590"/>
    </row>
    <row r="99" spans="1:16" x14ac:dyDescent="0.25">
      <c r="A99" s="226"/>
      <c r="B99" s="591" t="s">
        <v>998</v>
      </c>
      <c r="C99" s="591">
        <v>7562</v>
      </c>
      <c r="D99" s="591"/>
      <c r="E99" s="591"/>
      <c r="F99" s="591">
        <v>1361</v>
      </c>
      <c r="G99" s="591"/>
      <c r="H99" s="591"/>
      <c r="I99" s="591"/>
      <c r="J99" s="591">
        <f>SUM(C99+E99+F99+H99)</f>
        <v>8923</v>
      </c>
      <c r="K99" s="591">
        <f>SUM(D99+G99+I99)</f>
        <v>0</v>
      </c>
      <c r="L99" s="591">
        <f>SUM(J99:K99)</f>
        <v>8923</v>
      </c>
      <c r="M99" s="591">
        <v>126430</v>
      </c>
      <c r="N99" s="591">
        <v>393</v>
      </c>
      <c r="O99" s="591">
        <f>SUM(L99:N99)</f>
        <v>135746</v>
      </c>
    </row>
    <row r="100" spans="1:16" s="1107" customFormat="1" x14ac:dyDescent="0.25">
      <c r="A100" s="227"/>
      <c r="B100" s="228" t="s">
        <v>1033</v>
      </c>
      <c r="C100" s="228">
        <v>7562</v>
      </c>
      <c r="D100" s="228"/>
      <c r="E100" s="228"/>
      <c r="F100" s="228">
        <v>1361</v>
      </c>
      <c r="G100" s="228"/>
      <c r="H100" s="228"/>
      <c r="I100" s="228"/>
      <c r="J100" s="229">
        <f>SUM(C100+E100+F100+H100)</f>
        <v>8923</v>
      </c>
      <c r="K100" s="229">
        <f>SUM(D100+G100+I100)</f>
        <v>0</v>
      </c>
      <c r="L100" s="229">
        <f>SUM(J100:K100)</f>
        <v>8923</v>
      </c>
      <c r="M100" s="229">
        <v>124001</v>
      </c>
      <c r="N100" s="229">
        <v>393</v>
      </c>
      <c r="O100" s="229">
        <f>SUM(L100:N100)</f>
        <v>133317</v>
      </c>
    </row>
    <row r="101" spans="1:16" s="1107" customFormat="1" x14ac:dyDescent="0.25">
      <c r="A101" s="227"/>
      <c r="B101" s="228" t="s">
        <v>1034</v>
      </c>
      <c r="C101" s="228"/>
      <c r="D101" s="228"/>
      <c r="E101" s="228"/>
      <c r="F101" s="228"/>
      <c r="G101" s="228"/>
      <c r="H101" s="228"/>
      <c r="I101" s="228"/>
      <c r="J101" s="229">
        <f>SUM(C101+E101+F101+H101)</f>
        <v>0</v>
      </c>
      <c r="K101" s="229">
        <f>SUM(D101+G101+I101)</f>
        <v>0</v>
      </c>
      <c r="L101" s="229">
        <f>SUM(J101:K101)</f>
        <v>0</v>
      </c>
      <c r="M101" s="229">
        <v>2429</v>
      </c>
      <c r="N101" s="229"/>
      <c r="O101" s="229">
        <f>SUM(L101:N101)</f>
        <v>2429</v>
      </c>
    </row>
    <row r="102" spans="1:16" s="1107" customFormat="1" x14ac:dyDescent="0.25">
      <c r="A102" s="227"/>
      <c r="B102" s="228" t="s">
        <v>160</v>
      </c>
      <c r="C102" s="230"/>
      <c r="D102" s="230"/>
      <c r="E102" s="230"/>
      <c r="F102" s="230"/>
      <c r="G102" s="230"/>
      <c r="H102" s="230"/>
      <c r="I102" s="230"/>
      <c r="J102" s="230"/>
      <c r="K102" s="230"/>
      <c r="L102" s="230"/>
      <c r="M102" s="230"/>
      <c r="N102" s="230"/>
      <c r="O102" s="230"/>
    </row>
    <row r="103" spans="1:16" s="1107" customFormat="1" x14ac:dyDescent="0.25">
      <c r="A103" s="227"/>
      <c r="B103" s="230" t="s">
        <v>1229</v>
      </c>
      <c r="C103" s="230"/>
      <c r="D103" s="230"/>
      <c r="E103" s="230"/>
      <c r="F103" s="230"/>
      <c r="G103" s="230"/>
      <c r="H103" s="230"/>
      <c r="I103" s="230"/>
      <c r="J103" s="230">
        <f t="shared" ref="J103:J108" si="43">SUM(C103+E103+F103+H103)</f>
        <v>0</v>
      </c>
      <c r="K103" s="230">
        <f t="shared" ref="K103:K108" si="44">SUM(D103+G103+I103)</f>
        <v>0</v>
      </c>
      <c r="L103" s="230">
        <f t="shared" ref="L103:L108" si="45">SUM(J103:K103)</f>
        <v>0</v>
      </c>
      <c r="M103" s="230">
        <v>306</v>
      </c>
      <c r="N103" s="230"/>
      <c r="O103" s="230">
        <f t="shared" ref="O103:O108" si="46">SUM(L103:N103)</f>
        <v>306</v>
      </c>
    </row>
    <row r="104" spans="1:16" s="1107" customFormat="1" ht="31.5" x14ac:dyDescent="0.25">
      <c r="A104" s="227"/>
      <c r="B104" s="230" t="s">
        <v>1233</v>
      </c>
      <c r="C104" s="230"/>
      <c r="D104" s="230"/>
      <c r="E104" s="230"/>
      <c r="F104" s="230"/>
      <c r="G104" s="230"/>
      <c r="H104" s="230"/>
      <c r="I104" s="230"/>
      <c r="J104" s="230">
        <f t="shared" si="43"/>
        <v>0</v>
      </c>
      <c r="K104" s="230">
        <f t="shared" si="44"/>
        <v>0</v>
      </c>
      <c r="L104" s="230">
        <f t="shared" si="45"/>
        <v>0</v>
      </c>
      <c r="M104" s="230">
        <v>469</v>
      </c>
      <c r="N104" s="230"/>
      <c r="O104" s="230">
        <f t="shared" si="46"/>
        <v>469</v>
      </c>
    </row>
    <row r="105" spans="1:16" s="1107" customFormat="1" x14ac:dyDescent="0.25">
      <c r="A105" s="227"/>
      <c r="B105" s="228" t="s">
        <v>161</v>
      </c>
      <c r="C105" s="230"/>
      <c r="D105" s="230"/>
      <c r="E105" s="230"/>
      <c r="F105" s="230"/>
      <c r="G105" s="230"/>
      <c r="H105" s="230"/>
      <c r="I105" s="230"/>
      <c r="J105" s="230"/>
      <c r="K105" s="230"/>
      <c r="L105" s="230"/>
      <c r="M105" s="230"/>
      <c r="N105" s="230"/>
      <c r="O105" s="230"/>
    </row>
    <row r="106" spans="1:16" s="1107" customFormat="1" x14ac:dyDescent="0.25">
      <c r="A106" s="227"/>
      <c r="B106" s="230" t="s">
        <v>1237</v>
      </c>
      <c r="C106" s="230"/>
      <c r="D106" s="230"/>
      <c r="E106" s="230"/>
      <c r="F106" s="230"/>
      <c r="G106" s="230"/>
      <c r="H106" s="230"/>
      <c r="I106" s="230"/>
      <c r="J106" s="230">
        <f t="shared" si="43"/>
        <v>0</v>
      </c>
      <c r="K106" s="230">
        <f t="shared" si="44"/>
        <v>0</v>
      </c>
      <c r="L106" s="230">
        <f t="shared" si="45"/>
        <v>0</v>
      </c>
      <c r="M106" s="230">
        <v>1040</v>
      </c>
      <c r="N106" s="230"/>
      <c r="O106" s="230">
        <f t="shared" si="46"/>
        <v>1040</v>
      </c>
    </row>
    <row r="107" spans="1:16" s="1107" customFormat="1" ht="31.5" x14ac:dyDescent="0.25">
      <c r="A107" s="227"/>
      <c r="B107" s="230" t="s">
        <v>1232</v>
      </c>
      <c r="C107" s="230"/>
      <c r="D107" s="230"/>
      <c r="E107" s="230"/>
      <c r="F107" s="230"/>
      <c r="G107" s="230"/>
      <c r="H107" s="230"/>
      <c r="I107" s="230"/>
      <c r="J107" s="230">
        <f t="shared" si="43"/>
        <v>0</v>
      </c>
      <c r="K107" s="230">
        <f t="shared" si="44"/>
        <v>0</v>
      </c>
      <c r="L107" s="230">
        <f t="shared" si="45"/>
        <v>0</v>
      </c>
      <c r="M107" s="230">
        <v>133</v>
      </c>
      <c r="N107" s="230"/>
      <c r="O107" s="230">
        <f t="shared" si="46"/>
        <v>133</v>
      </c>
    </row>
    <row r="108" spans="1:16" s="1107" customFormat="1" ht="79.5" thickBot="1" x14ac:dyDescent="0.3">
      <c r="A108" s="227"/>
      <c r="B108" s="230" t="s">
        <v>1234</v>
      </c>
      <c r="C108" s="230"/>
      <c r="D108" s="230"/>
      <c r="E108" s="230"/>
      <c r="F108" s="230"/>
      <c r="G108" s="230"/>
      <c r="H108" s="230"/>
      <c r="I108" s="230"/>
      <c r="J108" s="230">
        <f t="shared" si="43"/>
        <v>0</v>
      </c>
      <c r="K108" s="230">
        <f t="shared" si="44"/>
        <v>0</v>
      </c>
      <c r="L108" s="230">
        <f t="shared" si="45"/>
        <v>0</v>
      </c>
      <c r="M108" s="230">
        <v>75</v>
      </c>
      <c r="N108" s="230"/>
      <c r="O108" s="230">
        <f t="shared" si="46"/>
        <v>75</v>
      </c>
    </row>
    <row r="109" spans="1:16" ht="17.25" thickTop="1" thickBot="1" x14ac:dyDescent="0.3">
      <c r="A109" s="224"/>
      <c r="B109" s="231" t="s">
        <v>1035</v>
      </c>
      <c r="C109" s="231">
        <f>+C99+C103+C106+C104+C107+C108</f>
        <v>7562</v>
      </c>
      <c r="D109" s="231">
        <f t="shared" ref="D109:O109" si="47">+D99+D103+D106+D104+D107+D108</f>
        <v>0</v>
      </c>
      <c r="E109" s="231">
        <f t="shared" si="47"/>
        <v>0</v>
      </c>
      <c r="F109" s="231">
        <f t="shared" si="47"/>
        <v>1361</v>
      </c>
      <c r="G109" s="231">
        <f t="shared" si="47"/>
        <v>0</v>
      </c>
      <c r="H109" s="231">
        <f t="shared" si="47"/>
        <v>0</v>
      </c>
      <c r="I109" s="231">
        <f t="shared" si="47"/>
        <v>0</v>
      </c>
      <c r="J109" s="231">
        <f t="shared" si="47"/>
        <v>8923</v>
      </c>
      <c r="K109" s="231">
        <f t="shared" si="47"/>
        <v>0</v>
      </c>
      <c r="L109" s="231">
        <f t="shared" si="47"/>
        <v>8923</v>
      </c>
      <c r="M109" s="231">
        <f t="shared" si="47"/>
        <v>128453</v>
      </c>
      <c r="N109" s="231">
        <f t="shared" si="47"/>
        <v>393</v>
      </c>
      <c r="O109" s="231">
        <f t="shared" si="47"/>
        <v>137769</v>
      </c>
      <c r="P109" s="1104">
        <f>O110+O111</f>
        <v>137769</v>
      </c>
    </row>
    <row r="110" spans="1:16" ht="17.25" thickTop="1" thickBot="1" x14ac:dyDescent="0.3">
      <c r="A110" s="224"/>
      <c r="B110" s="231" t="s">
        <v>1036</v>
      </c>
      <c r="C110" s="231">
        <f>+C100+C103+C104</f>
        <v>7562</v>
      </c>
      <c r="D110" s="231">
        <f t="shared" ref="D110:O110" si="48">+D100+D103+D104</f>
        <v>0</v>
      </c>
      <c r="E110" s="231">
        <f t="shared" si="48"/>
        <v>0</v>
      </c>
      <c r="F110" s="231">
        <f t="shared" si="48"/>
        <v>1361</v>
      </c>
      <c r="G110" s="231">
        <f t="shared" si="48"/>
        <v>0</v>
      </c>
      <c r="H110" s="231">
        <f t="shared" si="48"/>
        <v>0</v>
      </c>
      <c r="I110" s="231">
        <f t="shared" si="48"/>
        <v>0</v>
      </c>
      <c r="J110" s="231">
        <f t="shared" si="48"/>
        <v>8923</v>
      </c>
      <c r="K110" s="231">
        <f t="shared" si="48"/>
        <v>0</v>
      </c>
      <c r="L110" s="231">
        <f t="shared" si="48"/>
        <v>8923</v>
      </c>
      <c r="M110" s="231">
        <f t="shared" si="48"/>
        <v>124776</v>
      </c>
      <c r="N110" s="231">
        <f t="shared" si="48"/>
        <v>393</v>
      </c>
      <c r="O110" s="231">
        <f t="shared" si="48"/>
        <v>134092</v>
      </c>
    </row>
    <row r="111" spans="1:16" ht="17.25" thickTop="1" thickBot="1" x14ac:dyDescent="0.3">
      <c r="A111" s="224"/>
      <c r="B111" s="231" t="s">
        <v>1037</v>
      </c>
      <c r="C111" s="231">
        <f t="shared" ref="C111:O111" si="49">+C101+C106+C107+C108</f>
        <v>0</v>
      </c>
      <c r="D111" s="231">
        <f t="shared" si="49"/>
        <v>0</v>
      </c>
      <c r="E111" s="231">
        <f t="shared" si="49"/>
        <v>0</v>
      </c>
      <c r="F111" s="231">
        <f t="shared" si="49"/>
        <v>0</v>
      </c>
      <c r="G111" s="231">
        <f t="shared" si="49"/>
        <v>0</v>
      </c>
      <c r="H111" s="231">
        <f t="shared" si="49"/>
        <v>0</v>
      </c>
      <c r="I111" s="231">
        <f t="shared" si="49"/>
        <v>0</v>
      </c>
      <c r="J111" s="231">
        <f t="shared" si="49"/>
        <v>0</v>
      </c>
      <c r="K111" s="231">
        <f t="shared" si="49"/>
        <v>0</v>
      </c>
      <c r="L111" s="231">
        <f t="shared" si="49"/>
        <v>0</v>
      </c>
      <c r="M111" s="231">
        <f t="shared" si="49"/>
        <v>3677</v>
      </c>
      <c r="N111" s="231">
        <f t="shared" si="49"/>
        <v>0</v>
      </c>
      <c r="O111" s="231">
        <f t="shared" si="49"/>
        <v>3677</v>
      </c>
    </row>
    <row r="112" spans="1:16" ht="16.5" thickTop="1" x14ac:dyDescent="0.25">
      <c r="A112" s="226" t="s">
        <v>228</v>
      </c>
      <c r="B112" s="590" t="s">
        <v>1043</v>
      </c>
      <c r="C112" s="590"/>
      <c r="D112" s="590"/>
      <c r="E112" s="590"/>
      <c r="F112" s="590"/>
      <c r="G112" s="590"/>
      <c r="H112" s="590"/>
      <c r="I112" s="590"/>
      <c r="J112" s="590"/>
      <c r="K112" s="590"/>
      <c r="L112" s="590"/>
      <c r="M112" s="590"/>
      <c r="N112" s="590"/>
      <c r="O112" s="590"/>
    </row>
    <row r="113" spans="1:16" x14ac:dyDescent="0.25">
      <c r="A113" s="226"/>
      <c r="B113" s="591" t="s">
        <v>998</v>
      </c>
      <c r="C113" s="591">
        <v>5554</v>
      </c>
      <c r="D113" s="591"/>
      <c r="E113" s="591"/>
      <c r="F113" s="591">
        <v>1844</v>
      </c>
      <c r="G113" s="591"/>
      <c r="H113" s="591"/>
      <c r="I113" s="591"/>
      <c r="J113" s="591">
        <f>SUM(C113+E113+F113+H113)</f>
        <v>7398</v>
      </c>
      <c r="K113" s="591">
        <f>SUM(D113+G113+I113)</f>
        <v>0</v>
      </c>
      <c r="L113" s="591">
        <f>SUM(J113:K113)</f>
        <v>7398</v>
      </c>
      <c r="M113" s="591">
        <v>98598</v>
      </c>
      <c r="N113" s="591">
        <v>652</v>
      </c>
      <c r="O113" s="591">
        <f>SUM(L113:N113)</f>
        <v>106648</v>
      </c>
    </row>
    <row r="114" spans="1:16" s="1107" customFormat="1" x14ac:dyDescent="0.25">
      <c r="A114" s="232"/>
      <c r="B114" s="233" t="s">
        <v>1033</v>
      </c>
      <c r="C114" s="233">
        <v>5554</v>
      </c>
      <c r="D114" s="233"/>
      <c r="E114" s="233"/>
      <c r="F114" s="233">
        <v>1844</v>
      </c>
      <c r="G114" s="233"/>
      <c r="H114" s="233"/>
      <c r="I114" s="233"/>
      <c r="J114" s="234">
        <f>SUM(C114+E114+F114+H114)</f>
        <v>7398</v>
      </c>
      <c r="K114" s="234">
        <f>SUM(D114+G114+I114)</f>
        <v>0</v>
      </c>
      <c r="L114" s="234">
        <f>SUM(J114:K114)</f>
        <v>7398</v>
      </c>
      <c r="M114" s="234">
        <v>96539</v>
      </c>
      <c r="N114" s="234">
        <v>652</v>
      </c>
      <c r="O114" s="234">
        <f>SUM(L114:N114)</f>
        <v>104589</v>
      </c>
    </row>
    <row r="115" spans="1:16" s="1107" customFormat="1" x14ac:dyDescent="0.25">
      <c r="A115" s="232"/>
      <c r="B115" s="233" t="s">
        <v>1034</v>
      </c>
      <c r="C115" s="233"/>
      <c r="D115" s="233"/>
      <c r="E115" s="233"/>
      <c r="F115" s="233"/>
      <c r="G115" s="233"/>
      <c r="H115" s="233"/>
      <c r="I115" s="233"/>
      <c r="J115" s="234">
        <f>SUM(C115+E115+F115+H115)</f>
        <v>0</v>
      </c>
      <c r="K115" s="234">
        <f>SUM(D115+G115+I115)</f>
        <v>0</v>
      </c>
      <c r="L115" s="234">
        <f>SUM(J115:K115)</f>
        <v>0</v>
      </c>
      <c r="M115" s="234">
        <v>2059</v>
      </c>
      <c r="N115" s="234"/>
      <c r="O115" s="234">
        <f>SUM(L115:N115)</f>
        <v>2059</v>
      </c>
    </row>
    <row r="116" spans="1:16" s="1107" customFormat="1" x14ac:dyDescent="0.25">
      <c r="A116" s="232"/>
      <c r="B116" s="233" t="s">
        <v>160</v>
      </c>
      <c r="C116" s="235"/>
      <c r="D116" s="235"/>
      <c r="E116" s="235"/>
      <c r="F116" s="235"/>
      <c r="G116" s="235"/>
      <c r="H116" s="235"/>
      <c r="I116" s="235"/>
      <c r="J116" s="235"/>
      <c r="K116" s="235"/>
      <c r="L116" s="235"/>
      <c r="M116" s="235"/>
      <c r="N116" s="235"/>
      <c r="O116" s="235"/>
    </row>
    <row r="117" spans="1:16" s="1107" customFormat="1" x14ac:dyDescent="0.25">
      <c r="A117" s="232"/>
      <c r="B117" s="230" t="s">
        <v>1229</v>
      </c>
      <c r="C117" s="235"/>
      <c r="D117" s="235"/>
      <c r="E117" s="235"/>
      <c r="F117" s="235"/>
      <c r="G117" s="235"/>
      <c r="H117" s="235"/>
      <c r="I117" s="235"/>
      <c r="J117" s="235">
        <f t="shared" ref="J117:J122" si="50">SUM(C117+E117+F117+H117)</f>
        <v>0</v>
      </c>
      <c r="K117" s="235">
        <f t="shared" ref="K117:K122" si="51">SUM(D117+G117+I117)</f>
        <v>0</v>
      </c>
      <c r="L117" s="235">
        <f t="shared" ref="L117:L122" si="52">SUM(J117:K117)</f>
        <v>0</v>
      </c>
      <c r="M117" s="235">
        <v>47</v>
      </c>
      <c r="N117" s="235"/>
      <c r="O117" s="235">
        <f t="shared" ref="O117:O122" si="53">SUM(L117:N117)</f>
        <v>47</v>
      </c>
    </row>
    <row r="118" spans="1:16" s="1107" customFormat="1" ht="31.5" x14ac:dyDescent="0.25">
      <c r="A118" s="232"/>
      <c r="B118" s="230" t="s">
        <v>1233</v>
      </c>
      <c r="C118" s="235"/>
      <c r="D118" s="235"/>
      <c r="E118" s="235"/>
      <c r="F118" s="235"/>
      <c r="G118" s="235"/>
      <c r="H118" s="235"/>
      <c r="I118" s="235"/>
      <c r="J118" s="235">
        <f t="shared" si="50"/>
        <v>0</v>
      </c>
      <c r="K118" s="235">
        <f t="shared" si="51"/>
        <v>0</v>
      </c>
      <c r="L118" s="235">
        <f t="shared" si="52"/>
        <v>0</v>
      </c>
      <c r="M118" s="235">
        <v>430</v>
      </c>
      <c r="N118" s="235"/>
      <c r="O118" s="235">
        <f t="shared" si="53"/>
        <v>430</v>
      </c>
    </row>
    <row r="119" spans="1:16" s="1107" customFormat="1" x14ac:dyDescent="0.25">
      <c r="A119" s="232"/>
      <c r="B119" s="233" t="s">
        <v>161</v>
      </c>
      <c r="C119" s="235"/>
      <c r="D119" s="235"/>
      <c r="E119" s="235"/>
      <c r="F119" s="235"/>
      <c r="G119" s="235"/>
      <c r="H119" s="235"/>
      <c r="I119" s="235"/>
      <c r="J119" s="235"/>
      <c r="K119" s="235"/>
      <c r="L119" s="235"/>
      <c r="M119" s="235"/>
      <c r="N119" s="235"/>
      <c r="O119" s="235"/>
    </row>
    <row r="120" spans="1:16" s="1107" customFormat="1" x14ac:dyDescent="0.25">
      <c r="A120" s="232"/>
      <c r="B120" s="230" t="s">
        <v>1237</v>
      </c>
      <c r="C120" s="235"/>
      <c r="D120" s="235"/>
      <c r="E120" s="235"/>
      <c r="F120" s="235"/>
      <c r="G120" s="235"/>
      <c r="H120" s="235"/>
      <c r="I120" s="235"/>
      <c r="J120" s="235">
        <f t="shared" si="50"/>
        <v>0</v>
      </c>
      <c r="K120" s="235">
        <f t="shared" si="51"/>
        <v>0</v>
      </c>
      <c r="L120" s="235">
        <f t="shared" si="52"/>
        <v>0</v>
      </c>
      <c r="M120" s="235">
        <v>874</v>
      </c>
      <c r="N120" s="235"/>
      <c r="O120" s="235">
        <f t="shared" si="53"/>
        <v>874</v>
      </c>
    </row>
    <row r="121" spans="1:16" s="1107" customFormat="1" ht="31.5" x14ac:dyDescent="0.25">
      <c r="A121" s="232"/>
      <c r="B121" s="230" t="s">
        <v>1232</v>
      </c>
      <c r="C121" s="235"/>
      <c r="D121" s="235"/>
      <c r="E121" s="235"/>
      <c r="F121" s="235"/>
      <c r="G121" s="235"/>
      <c r="H121" s="235"/>
      <c r="I121" s="235"/>
      <c r="J121" s="235">
        <f t="shared" si="50"/>
        <v>0</v>
      </c>
      <c r="K121" s="235">
        <f t="shared" si="51"/>
        <v>0</v>
      </c>
      <c r="L121" s="235">
        <f t="shared" si="52"/>
        <v>0</v>
      </c>
      <c r="M121" s="235">
        <v>160</v>
      </c>
      <c r="N121" s="235"/>
      <c r="O121" s="235">
        <f t="shared" si="53"/>
        <v>160</v>
      </c>
    </row>
    <row r="122" spans="1:16" s="1107" customFormat="1" ht="79.5" thickBot="1" x14ac:dyDescent="0.3">
      <c r="A122" s="245"/>
      <c r="B122" s="230" t="s">
        <v>1238</v>
      </c>
      <c r="C122" s="601"/>
      <c r="D122" s="601"/>
      <c r="E122" s="601"/>
      <c r="F122" s="601"/>
      <c r="G122" s="601"/>
      <c r="H122" s="601"/>
      <c r="I122" s="601"/>
      <c r="J122" s="235">
        <f t="shared" si="50"/>
        <v>0</v>
      </c>
      <c r="K122" s="235">
        <f t="shared" si="51"/>
        <v>0</v>
      </c>
      <c r="L122" s="235">
        <f t="shared" si="52"/>
        <v>0</v>
      </c>
      <c r="M122" s="601">
        <v>65</v>
      </c>
      <c r="N122" s="601"/>
      <c r="O122" s="235">
        <f t="shared" si="53"/>
        <v>65</v>
      </c>
    </row>
    <row r="123" spans="1:16" ht="17.25" thickTop="1" thickBot="1" x14ac:dyDescent="0.3">
      <c r="A123" s="224"/>
      <c r="B123" s="231" t="s">
        <v>1035</v>
      </c>
      <c r="C123" s="231">
        <f>+C113+C117+C120+C118+C121+C122</f>
        <v>5554</v>
      </c>
      <c r="D123" s="231">
        <f t="shared" ref="D123:O123" si="54">+D113+D117+D120+D118+D121+D122</f>
        <v>0</v>
      </c>
      <c r="E123" s="231">
        <f t="shared" si="54"/>
        <v>0</v>
      </c>
      <c r="F123" s="231">
        <f t="shared" si="54"/>
        <v>1844</v>
      </c>
      <c r="G123" s="231">
        <f t="shared" si="54"/>
        <v>0</v>
      </c>
      <c r="H123" s="231">
        <f t="shared" si="54"/>
        <v>0</v>
      </c>
      <c r="I123" s="231">
        <f t="shared" si="54"/>
        <v>0</v>
      </c>
      <c r="J123" s="231">
        <f t="shared" si="54"/>
        <v>7398</v>
      </c>
      <c r="K123" s="231">
        <f t="shared" si="54"/>
        <v>0</v>
      </c>
      <c r="L123" s="231">
        <f t="shared" si="54"/>
        <v>7398</v>
      </c>
      <c r="M123" s="231">
        <f t="shared" si="54"/>
        <v>100174</v>
      </c>
      <c r="N123" s="231">
        <f t="shared" si="54"/>
        <v>652</v>
      </c>
      <c r="O123" s="231">
        <f t="shared" si="54"/>
        <v>108224</v>
      </c>
      <c r="P123" s="1104">
        <f>O124+O125</f>
        <v>108224</v>
      </c>
    </row>
    <row r="124" spans="1:16" ht="17.25" thickTop="1" thickBot="1" x14ac:dyDescent="0.3">
      <c r="A124" s="224"/>
      <c r="B124" s="231" t="s">
        <v>1036</v>
      </c>
      <c r="C124" s="231">
        <f>+C114+C117+C118</f>
        <v>5554</v>
      </c>
      <c r="D124" s="231">
        <f t="shared" ref="D124:O124" si="55">+D114+D117+D118</f>
        <v>0</v>
      </c>
      <c r="E124" s="231">
        <f t="shared" si="55"/>
        <v>0</v>
      </c>
      <c r="F124" s="231">
        <f t="shared" si="55"/>
        <v>1844</v>
      </c>
      <c r="G124" s="231">
        <f t="shared" si="55"/>
        <v>0</v>
      </c>
      <c r="H124" s="231">
        <f t="shared" si="55"/>
        <v>0</v>
      </c>
      <c r="I124" s="231">
        <f t="shared" si="55"/>
        <v>0</v>
      </c>
      <c r="J124" s="231">
        <f t="shared" si="55"/>
        <v>7398</v>
      </c>
      <c r="K124" s="231">
        <f t="shared" si="55"/>
        <v>0</v>
      </c>
      <c r="L124" s="231">
        <f t="shared" si="55"/>
        <v>7398</v>
      </c>
      <c r="M124" s="231">
        <f t="shared" si="55"/>
        <v>97016</v>
      </c>
      <c r="N124" s="231">
        <f t="shared" si="55"/>
        <v>652</v>
      </c>
      <c r="O124" s="231">
        <f t="shared" si="55"/>
        <v>105066</v>
      </c>
    </row>
    <row r="125" spans="1:16" ht="17.25" thickTop="1" thickBot="1" x14ac:dyDescent="0.3">
      <c r="A125" s="224"/>
      <c r="B125" s="231" t="s">
        <v>1037</v>
      </c>
      <c r="C125" s="231">
        <f t="shared" ref="C125:O125" si="56">+C115+C120+C121+C122</f>
        <v>0</v>
      </c>
      <c r="D125" s="231">
        <f t="shared" si="56"/>
        <v>0</v>
      </c>
      <c r="E125" s="231">
        <f t="shared" si="56"/>
        <v>0</v>
      </c>
      <c r="F125" s="231">
        <f t="shared" si="56"/>
        <v>0</v>
      </c>
      <c r="G125" s="231">
        <f t="shared" si="56"/>
        <v>0</v>
      </c>
      <c r="H125" s="231">
        <f t="shared" si="56"/>
        <v>0</v>
      </c>
      <c r="I125" s="231">
        <f t="shared" si="56"/>
        <v>0</v>
      </c>
      <c r="J125" s="231">
        <f t="shared" si="56"/>
        <v>0</v>
      </c>
      <c r="K125" s="231">
        <f t="shared" si="56"/>
        <v>0</v>
      </c>
      <c r="L125" s="231">
        <f t="shared" si="56"/>
        <v>0</v>
      </c>
      <c r="M125" s="231">
        <f t="shared" si="56"/>
        <v>3158</v>
      </c>
      <c r="N125" s="231">
        <f t="shared" si="56"/>
        <v>0</v>
      </c>
      <c r="O125" s="231">
        <f t="shared" si="56"/>
        <v>3158</v>
      </c>
    </row>
    <row r="126" spans="1:16" ht="17.25" thickTop="1" thickBot="1" x14ac:dyDescent="0.3">
      <c r="A126" s="224"/>
      <c r="B126" s="231" t="s">
        <v>398</v>
      </c>
      <c r="C126" s="231">
        <f t="shared" ref="C126:O126" si="57">SUM(C48+C63+C80+C95+C109+C123)</f>
        <v>34570</v>
      </c>
      <c r="D126" s="231">
        <f t="shared" si="57"/>
        <v>0</v>
      </c>
      <c r="E126" s="231">
        <f t="shared" si="57"/>
        <v>0</v>
      </c>
      <c r="F126" s="231">
        <f t="shared" si="57"/>
        <v>9515</v>
      </c>
      <c r="G126" s="231">
        <f t="shared" si="57"/>
        <v>0</v>
      </c>
      <c r="H126" s="231">
        <f t="shared" si="57"/>
        <v>0</v>
      </c>
      <c r="I126" s="231">
        <f t="shared" si="57"/>
        <v>0</v>
      </c>
      <c r="J126" s="231">
        <f t="shared" si="57"/>
        <v>44085</v>
      </c>
      <c r="K126" s="231">
        <f t="shared" si="57"/>
        <v>0</v>
      </c>
      <c r="L126" s="231">
        <f t="shared" si="57"/>
        <v>44085</v>
      </c>
      <c r="M126" s="231">
        <f t="shared" si="57"/>
        <v>593275</v>
      </c>
      <c r="N126" s="231">
        <f t="shared" si="57"/>
        <v>2547</v>
      </c>
      <c r="O126" s="231">
        <f t="shared" si="57"/>
        <v>639907</v>
      </c>
    </row>
    <row r="127" spans="1:16" ht="16.5" thickTop="1" x14ac:dyDescent="0.25">
      <c r="A127" s="226" t="s">
        <v>229</v>
      </c>
      <c r="B127" s="590" t="s">
        <v>399</v>
      </c>
      <c r="C127" s="590"/>
      <c r="D127" s="590"/>
      <c r="E127" s="590"/>
      <c r="F127" s="590"/>
      <c r="G127" s="590"/>
      <c r="H127" s="590"/>
      <c r="I127" s="590"/>
      <c r="J127" s="590"/>
      <c r="K127" s="590"/>
      <c r="L127" s="590"/>
      <c r="M127" s="590"/>
      <c r="N127" s="590"/>
      <c r="O127" s="590"/>
    </row>
    <row r="128" spans="1:16" x14ac:dyDescent="0.25">
      <c r="A128" s="238"/>
      <c r="B128" s="590" t="s">
        <v>998</v>
      </c>
      <c r="C128" s="590">
        <v>15132</v>
      </c>
      <c r="D128" s="590"/>
      <c r="E128" s="590"/>
      <c r="F128" s="590">
        <v>8652</v>
      </c>
      <c r="G128" s="590"/>
      <c r="H128" s="590"/>
      <c r="I128" s="590"/>
      <c r="J128" s="590">
        <f>SUM(C128+E128+F128+H128)</f>
        <v>23784</v>
      </c>
      <c r="K128" s="590">
        <f>SUM(D128+G128+I128)</f>
        <v>0</v>
      </c>
      <c r="L128" s="590">
        <f>SUM(J128:K128)</f>
        <v>23784</v>
      </c>
      <c r="M128" s="590">
        <v>266387</v>
      </c>
      <c r="N128" s="590">
        <v>2194</v>
      </c>
      <c r="O128" s="590">
        <f>SUM(L128:N128)</f>
        <v>292365</v>
      </c>
    </row>
    <row r="129" spans="1:16" s="1107" customFormat="1" x14ac:dyDescent="0.25">
      <c r="A129" s="232"/>
      <c r="B129" s="233" t="s">
        <v>1033</v>
      </c>
      <c r="C129" s="233">
        <v>15132</v>
      </c>
      <c r="D129" s="233"/>
      <c r="E129" s="233"/>
      <c r="F129" s="233">
        <v>8652</v>
      </c>
      <c r="G129" s="233"/>
      <c r="H129" s="233"/>
      <c r="I129" s="233"/>
      <c r="J129" s="234">
        <f>SUM(C129+E129+F129+H129)</f>
        <v>23784</v>
      </c>
      <c r="K129" s="234">
        <f>SUM(D129+G129+I129)</f>
        <v>0</v>
      </c>
      <c r="L129" s="234">
        <f>SUM(J129:K129)</f>
        <v>23784</v>
      </c>
      <c r="M129" s="234">
        <v>262141</v>
      </c>
      <c r="N129" s="234">
        <v>2194</v>
      </c>
      <c r="O129" s="234">
        <f>SUM(L129:N129)</f>
        <v>288119</v>
      </c>
    </row>
    <row r="130" spans="1:16" s="1107" customFormat="1" x14ac:dyDescent="0.25">
      <c r="A130" s="232"/>
      <c r="B130" s="228" t="s">
        <v>1034</v>
      </c>
      <c r="C130" s="228"/>
      <c r="D130" s="228"/>
      <c r="E130" s="228"/>
      <c r="F130" s="228"/>
      <c r="G130" s="228"/>
      <c r="H130" s="228"/>
      <c r="I130" s="228"/>
      <c r="J130" s="229">
        <f>SUM(C130+E130+F130+H130)</f>
        <v>0</v>
      </c>
      <c r="K130" s="229">
        <f>SUM(D130+G130+I130)</f>
        <v>0</v>
      </c>
      <c r="L130" s="229">
        <f>SUM(J130:K130)</f>
        <v>0</v>
      </c>
      <c r="M130" s="229">
        <v>4246</v>
      </c>
      <c r="N130" s="229"/>
      <c r="O130" s="229">
        <f>SUM(L130:N130)</f>
        <v>4246</v>
      </c>
    </row>
    <row r="131" spans="1:16" s="1107" customFormat="1" x14ac:dyDescent="0.25">
      <c r="A131" s="232"/>
      <c r="B131" s="228" t="s">
        <v>160</v>
      </c>
      <c r="C131" s="230"/>
      <c r="D131" s="230"/>
      <c r="E131" s="230"/>
      <c r="F131" s="230"/>
      <c r="G131" s="230"/>
      <c r="H131" s="230"/>
      <c r="I131" s="230"/>
      <c r="J131" s="230"/>
      <c r="K131" s="230"/>
      <c r="L131" s="230"/>
      <c r="M131" s="230"/>
      <c r="N131" s="230"/>
      <c r="O131" s="230"/>
    </row>
    <row r="132" spans="1:16" s="1107" customFormat="1" x14ac:dyDescent="0.25">
      <c r="A132" s="232"/>
      <c r="B132" s="230" t="s">
        <v>1229</v>
      </c>
      <c r="C132" s="230"/>
      <c r="D132" s="230"/>
      <c r="E132" s="230"/>
      <c r="F132" s="230"/>
      <c r="G132" s="230"/>
      <c r="H132" s="230"/>
      <c r="I132" s="230"/>
      <c r="J132" s="230">
        <f t="shared" ref="J132:J138" si="58">SUM(C132+E132+F132+H132)</f>
        <v>0</v>
      </c>
      <c r="K132" s="230">
        <f t="shared" ref="K132:K138" si="59">SUM(D132+G132+I132)</f>
        <v>0</v>
      </c>
      <c r="L132" s="230">
        <f t="shared" ref="L132:L138" si="60">SUM(J132:K132)</f>
        <v>0</v>
      </c>
      <c r="M132" s="230">
        <v>20</v>
      </c>
      <c r="N132" s="230"/>
      <c r="O132" s="230">
        <f t="shared" ref="O132:O138" si="61">SUM(L132:N132)</f>
        <v>20</v>
      </c>
    </row>
    <row r="133" spans="1:16" s="1107" customFormat="1" ht="47.25" x14ac:dyDescent="0.25">
      <c r="A133" s="232"/>
      <c r="B133" s="230" t="s">
        <v>1230</v>
      </c>
      <c r="C133" s="230"/>
      <c r="D133" s="230"/>
      <c r="E133" s="230"/>
      <c r="F133" s="230"/>
      <c r="G133" s="230"/>
      <c r="H133" s="230"/>
      <c r="I133" s="230"/>
      <c r="J133" s="230">
        <f t="shared" si="58"/>
        <v>0</v>
      </c>
      <c r="K133" s="230">
        <f t="shared" si="59"/>
        <v>0</v>
      </c>
      <c r="L133" s="230">
        <f t="shared" si="60"/>
        <v>0</v>
      </c>
      <c r="M133" s="230">
        <v>1622</v>
      </c>
      <c r="N133" s="230"/>
      <c r="O133" s="230">
        <f t="shared" si="61"/>
        <v>1622</v>
      </c>
    </row>
    <row r="134" spans="1:16" s="1107" customFormat="1" x14ac:dyDescent="0.25">
      <c r="A134" s="232"/>
      <c r="B134" s="228" t="s">
        <v>161</v>
      </c>
      <c r="C134" s="230"/>
      <c r="D134" s="230"/>
      <c r="E134" s="230"/>
      <c r="F134" s="230"/>
      <c r="G134" s="230"/>
      <c r="H134" s="230"/>
      <c r="I134" s="230"/>
      <c r="J134" s="230"/>
      <c r="K134" s="230"/>
      <c r="L134" s="230"/>
      <c r="M134" s="230"/>
      <c r="N134" s="230"/>
      <c r="O134" s="230"/>
    </row>
    <row r="135" spans="1:16" s="1107" customFormat="1" x14ac:dyDescent="0.25">
      <c r="A135" s="232"/>
      <c r="B135" s="230" t="s">
        <v>1237</v>
      </c>
      <c r="C135" s="230"/>
      <c r="D135" s="230"/>
      <c r="E135" s="230"/>
      <c r="F135" s="230"/>
      <c r="G135" s="230"/>
      <c r="H135" s="230"/>
      <c r="I135" s="230"/>
      <c r="J135" s="230">
        <f t="shared" si="58"/>
        <v>0</v>
      </c>
      <c r="K135" s="230">
        <f t="shared" si="59"/>
        <v>0</v>
      </c>
      <c r="L135" s="230">
        <f t="shared" si="60"/>
        <v>0</v>
      </c>
      <c r="M135" s="230">
        <v>1753</v>
      </c>
      <c r="N135" s="230"/>
      <c r="O135" s="230">
        <f t="shared" si="61"/>
        <v>1753</v>
      </c>
    </row>
    <row r="136" spans="1:16" s="1107" customFormat="1" ht="31.5" x14ac:dyDescent="0.25">
      <c r="A136" s="232"/>
      <c r="B136" s="230" t="s">
        <v>1232</v>
      </c>
      <c r="C136" s="235"/>
      <c r="D136" s="235"/>
      <c r="E136" s="235"/>
      <c r="F136" s="235"/>
      <c r="G136" s="235"/>
      <c r="H136" s="235"/>
      <c r="I136" s="235"/>
      <c r="J136" s="235">
        <f t="shared" si="58"/>
        <v>0</v>
      </c>
      <c r="K136" s="235">
        <f t="shared" si="59"/>
        <v>0</v>
      </c>
      <c r="L136" s="235">
        <f t="shared" si="60"/>
        <v>0</v>
      </c>
      <c r="M136" s="235">
        <v>106</v>
      </c>
      <c r="N136" s="235"/>
      <c r="O136" s="235">
        <f t="shared" si="61"/>
        <v>106</v>
      </c>
    </row>
    <row r="137" spans="1:16" s="1107" customFormat="1" ht="63" x14ac:dyDescent="0.25">
      <c r="A137" s="232"/>
      <c r="B137" s="230" t="s">
        <v>1235</v>
      </c>
      <c r="C137" s="235"/>
      <c r="D137" s="235"/>
      <c r="E137" s="235"/>
      <c r="F137" s="235"/>
      <c r="G137" s="235"/>
      <c r="H137" s="235"/>
      <c r="I137" s="235"/>
      <c r="J137" s="235">
        <f t="shared" si="58"/>
        <v>0</v>
      </c>
      <c r="K137" s="235">
        <f t="shared" si="59"/>
        <v>0</v>
      </c>
      <c r="L137" s="235">
        <f t="shared" si="60"/>
        <v>0</v>
      </c>
      <c r="M137" s="235">
        <v>15</v>
      </c>
      <c r="N137" s="235"/>
      <c r="O137" s="235">
        <f t="shared" si="61"/>
        <v>15</v>
      </c>
    </row>
    <row r="138" spans="1:16" s="1107" customFormat="1" ht="63.75" thickBot="1" x14ac:dyDescent="0.3">
      <c r="A138" s="232"/>
      <c r="B138" s="230" t="s">
        <v>1239</v>
      </c>
      <c r="C138" s="235"/>
      <c r="D138" s="235"/>
      <c r="E138" s="235"/>
      <c r="F138" s="235"/>
      <c r="G138" s="235"/>
      <c r="H138" s="235"/>
      <c r="I138" s="235"/>
      <c r="J138" s="235">
        <f t="shared" si="58"/>
        <v>0</v>
      </c>
      <c r="K138" s="235">
        <f t="shared" si="59"/>
        <v>0</v>
      </c>
      <c r="L138" s="235">
        <f t="shared" si="60"/>
        <v>0</v>
      </c>
      <c r="M138" s="235">
        <v>15</v>
      </c>
      <c r="N138" s="235"/>
      <c r="O138" s="235">
        <f t="shared" si="61"/>
        <v>15</v>
      </c>
    </row>
    <row r="139" spans="1:16" ht="17.25" thickTop="1" thickBot="1" x14ac:dyDescent="0.3">
      <c r="A139" s="224"/>
      <c r="B139" s="231" t="s">
        <v>1035</v>
      </c>
      <c r="C139" s="231">
        <f>+C128+C132+C135+C133+C136+C137+C138</f>
        <v>15132</v>
      </c>
      <c r="D139" s="231">
        <f t="shared" ref="D139:O139" si="62">+D128+D132+D135+D133+D136+D137+D138</f>
        <v>0</v>
      </c>
      <c r="E139" s="231">
        <f t="shared" si="62"/>
        <v>0</v>
      </c>
      <c r="F139" s="231">
        <f t="shared" si="62"/>
        <v>8652</v>
      </c>
      <c r="G139" s="231">
        <f t="shared" si="62"/>
        <v>0</v>
      </c>
      <c r="H139" s="231">
        <f t="shared" si="62"/>
        <v>0</v>
      </c>
      <c r="I139" s="231">
        <f t="shared" si="62"/>
        <v>0</v>
      </c>
      <c r="J139" s="231">
        <f t="shared" si="62"/>
        <v>23784</v>
      </c>
      <c r="K139" s="231">
        <f t="shared" si="62"/>
        <v>0</v>
      </c>
      <c r="L139" s="231">
        <f t="shared" si="62"/>
        <v>23784</v>
      </c>
      <c r="M139" s="231">
        <f t="shared" si="62"/>
        <v>269918</v>
      </c>
      <c r="N139" s="231">
        <f t="shared" si="62"/>
        <v>2194</v>
      </c>
      <c r="O139" s="231">
        <f t="shared" si="62"/>
        <v>295896</v>
      </c>
      <c r="P139" s="1104">
        <f>O140+O141</f>
        <v>295896</v>
      </c>
    </row>
    <row r="140" spans="1:16" ht="17.25" thickTop="1" thickBot="1" x14ac:dyDescent="0.3">
      <c r="A140" s="224"/>
      <c r="B140" s="231" t="s">
        <v>1036</v>
      </c>
      <c r="C140" s="231">
        <f>+C129+C132+C133</f>
        <v>15132</v>
      </c>
      <c r="D140" s="231">
        <f t="shared" ref="D140:O140" si="63">+D129+D132+D133</f>
        <v>0</v>
      </c>
      <c r="E140" s="231">
        <f t="shared" si="63"/>
        <v>0</v>
      </c>
      <c r="F140" s="231">
        <f t="shared" si="63"/>
        <v>8652</v>
      </c>
      <c r="G140" s="231">
        <f t="shared" si="63"/>
        <v>0</v>
      </c>
      <c r="H140" s="231">
        <f t="shared" si="63"/>
        <v>0</v>
      </c>
      <c r="I140" s="231">
        <f t="shared" si="63"/>
        <v>0</v>
      </c>
      <c r="J140" s="231">
        <f t="shared" si="63"/>
        <v>23784</v>
      </c>
      <c r="K140" s="231">
        <f t="shared" si="63"/>
        <v>0</v>
      </c>
      <c r="L140" s="231">
        <f t="shared" si="63"/>
        <v>23784</v>
      </c>
      <c r="M140" s="231">
        <f t="shared" si="63"/>
        <v>263783</v>
      </c>
      <c r="N140" s="231">
        <f t="shared" si="63"/>
        <v>2194</v>
      </c>
      <c r="O140" s="231">
        <f t="shared" si="63"/>
        <v>289761</v>
      </c>
    </row>
    <row r="141" spans="1:16" ht="17.25" thickTop="1" thickBot="1" x14ac:dyDescent="0.3">
      <c r="A141" s="226"/>
      <c r="B141" s="231" t="s">
        <v>1037</v>
      </c>
      <c r="C141" s="231">
        <f t="shared" ref="C141:O141" si="64">+C130+C135+C136+C137+C138</f>
        <v>0</v>
      </c>
      <c r="D141" s="231">
        <f t="shared" si="64"/>
        <v>0</v>
      </c>
      <c r="E141" s="231">
        <f t="shared" si="64"/>
        <v>0</v>
      </c>
      <c r="F141" s="231">
        <f t="shared" si="64"/>
        <v>0</v>
      </c>
      <c r="G141" s="231">
        <f t="shared" si="64"/>
        <v>0</v>
      </c>
      <c r="H141" s="231">
        <f t="shared" si="64"/>
        <v>0</v>
      </c>
      <c r="I141" s="231">
        <f t="shared" si="64"/>
        <v>0</v>
      </c>
      <c r="J141" s="231">
        <f t="shared" si="64"/>
        <v>0</v>
      </c>
      <c r="K141" s="231">
        <f t="shared" si="64"/>
        <v>0</v>
      </c>
      <c r="L141" s="231">
        <f t="shared" si="64"/>
        <v>0</v>
      </c>
      <c r="M141" s="231">
        <f t="shared" si="64"/>
        <v>6135</v>
      </c>
      <c r="N141" s="231">
        <f t="shared" si="64"/>
        <v>0</v>
      </c>
      <c r="O141" s="231">
        <f t="shared" si="64"/>
        <v>6135</v>
      </c>
    </row>
    <row r="142" spans="1:16" ht="16.5" thickTop="1" x14ac:dyDescent="0.25">
      <c r="A142" s="226" t="s">
        <v>0</v>
      </c>
      <c r="B142" s="590" t="s">
        <v>1044</v>
      </c>
      <c r="C142" s="590"/>
      <c r="D142" s="590"/>
      <c r="E142" s="590"/>
      <c r="F142" s="590"/>
      <c r="G142" s="590"/>
      <c r="H142" s="590"/>
      <c r="I142" s="590"/>
      <c r="J142" s="590"/>
      <c r="K142" s="590"/>
      <c r="L142" s="590"/>
      <c r="M142" s="590"/>
      <c r="N142" s="590"/>
      <c r="O142" s="590"/>
    </row>
    <row r="143" spans="1:16" x14ac:dyDescent="0.25">
      <c r="A143" s="226"/>
      <c r="B143" s="591" t="s">
        <v>998</v>
      </c>
      <c r="C143" s="591">
        <v>15124</v>
      </c>
      <c r="D143" s="591"/>
      <c r="E143" s="591"/>
      <c r="F143" s="591">
        <v>6149</v>
      </c>
      <c r="G143" s="591"/>
      <c r="H143" s="591"/>
      <c r="I143" s="591"/>
      <c r="J143" s="591">
        <f>SUM(C143+E143+F143+H143)</f>
        <v>21273</v>
      </c>
      <c r="K143" s="591">
        <f>SUM(D143+G143+I143)</f>
        <v>0</v>
      </c>
      <c r="L143" s="591">
        <f>SUM(J143:K143)</f>
        <v>21273</v>
      </c>
      <c r="M143" s="591">
        <v>267207</v>
      </c>
      <c r="N143" s="591">
        <v>345</v>
      </c>
      <c r="O143" s="591">
        <f>SUM(L143:N143)</f>
        <v>288825</v>
      </c>
    </row>
    <row r="144" spans="1:16" s="1107" customFormat="1" x14ac:dyDescent="0.25">
      <c r="A144" s="227"/>
      <c r="B144" s="228" t="s">
        <v>1033</v>
      </c>
      <c r="C144" s="228">
        <v>15124</v>
      </c>
      <c r="D144" s="228"/>
      <c r="E144" s="228"/>
      <c r="F144" s="228">
        <v>6149</v>
      </c>
      <c r="G144" s="228"/>
      <c r="H144" s="228"/>
      <c r="I144" s="228"/>
      <c r="J144" s="229">
        <f>SUM(C144+E144+F144+H144)</f>
        <v>21273</v>
      </c>
      <c r="K144" s="229">
        <f>SUM(D144+G144+I144)</f>
        <v>0</v>
      </c>
      <c r="L144" s="229">
        <f>SUM(J144:K144)</f>
        <v>21273</v>
      </c>
      <c r="M144" s="229">
        <v>262724</v>
      </c>
      <c r="N144" s="229">
        <v>345</v>
      </c>
      <c r="O144" s="229">
        <f>SUM(L144:N144)</f>
        <v>284342</v>
      </c>
    </row>
    <row r="145" spans="1:16" s="1107" customFormat="1" x14ac:dyDescent="0.25">
      <c r="A145" s="227"/>
      <c r="B145" s="228" t="s">
        <v>1034</v>
      </c>
      <c r="C145" s="228"/>
      <c r="D145" s="228"/>
      <c r="E145" s="228"/>
      <c r="F145" s="228"/>
      <c r="G145" s="228"/>
      <c r="H145" s="228"/>
      <c r="I145" s="228"/>
      <c r="J145" s="229">
        <f>SUM(C145+E145+F145+H145)</f>
        <v>0</v>
      </c>
      <c r="K145" s="229">
        <f>SUM(D145+G145+I145)</f>
        <v>0</v>
      </c>
      <c r="L145" s="229">
        <f>SUM(J145:K145)</f>
        <v>0</v>
      </c>
      <c r="M145" s="229">
        <v>4483</v>
      </c>
      <c r="N145" s="229"/>
      <c r="O145" s="229">
        <f>SUM(L145:N145)</f>
        <v>4483</v>
      </c>
    </row>
    <row r="146" spans="1:16" s="1107" customFormat="1" x14ac:dyDescent="0.25">
      <c r="A146" s="227"/>
      <c r="B146" s="228" t="s">
        <v>160</v>
      </c>
      <c r="C146" s="230"/>
      <c r="D146" s="230"/>
      <c r="E146" s="230"/>
      <c r="F146" s="230"/>
      <c r="G146" s="230"/>
      <c r="H146" s="230"/>
      <c r="I146" s="230"/>
      <c r="J146" s="230"/>
      <c r="K146" s="230"/>
      <c r="L146" s="230"/>
      <c r="M146" s="230"/>
      <c r="N146" s="230"/>
      <c r="O146" s="230"/>
    </row>
    <row r="147" spans="1:16" s="1107" customFormat="1" x14ac:dyDescent="0.25">
      <c r="A147" s="227"/>
      <c r="B147" s="230" t="s">
        <v>1229</v>
      </c>
      <c r="C147" s="230"/>
      <c r="D147" s="230"/>
      <c r="E147" s="230"/>
      <c r="F147" s="230"/>
      <c r="G147" s="230"/>
      <c r="H147" s="230"/>
      <c r="I147" s="230"/>
      <c r="J147" s="230">
        <f t="shared" ref="J147:J151" si="65">SUM(C147+E147+F147+H147)</f>
        <v>0</v>
      </c>
      <c r="K147" s="230">
        <f t="shared" ref="K147:K151" si="66">SUM(D147+G147+I147)</f>
        <v>0</v>
      </c>
      <c r="L147" s="230">
        <f t="shared" ref="L147:L151" si="67">SUM(J147:K147)</f>
        <v>0</v>
      </c>
      <c r="M147" s="230">
        <v>63</v>
      </c>
      <c r="N147" s="230"/>
      <c r="O147" s="230">
        <f t="shared" ref="O147:O151" si="68">SUM(L147:N147)</f>
        <v>63</v>
      </c>
    </row>
    <row r="148" spans="1:16" s="1107" customFormat="1" ht="47.25" x14ac:dyDescent="0.25">
      <c r="A148" s="227"/>
      <c r="B148" s="230" t="s">
        <v>1230</v>
      </c>
      <c r="C148" s="230"/>
      <c r="D148" s="230"/>
      <c r="E148" s="230"/>
      <c r="F148" s="230"/>
      <c r="G148" s="230"/>
      <c r="H148" s="230"/>
      <c r="I148" s="230"/>
      <c r="J148" s="230">
        <f t="shared" si="65"/>
        <v>0</v>
      </c>
      <c r="K148" s="230">
        <f t="shared" si="66"/>
        <v>0</v>
      </c>
      <c r="L148" s="230">
        <f t="shared" si="67"/>
        <v>0</v>
      </c>
      <c r="M148" s="230">
        <v>1726</v>
      </c>
      <c r="N148" s="230"/>
      <c r="O148" s="230">
        <f t="shared" si="68"/>
        <v>1726</v>
      </c>
    </row>
    <row r="149" spans="1:16" s="1107" customFormat="1" x14ac:dyDescent="0.25">
      <c r="A149" s="227"/>
      <c r="B149" s="228" t="s">
        <v>161</v>
      </c>
      <c r="C149" s="230"/>
      <c r="D149" s="230"/>
      <c r="E149" s="230"/>
      <c r="F149" s="230"/>
      <c r="G149" s="230"/>
      <c r="H149" s="230"/>
      <c r="I149" s="230"/>
      <c r="J149" s="230"/>
      <c r="K149" s="230"/>
      <c r="L149" s="230"/>
      <c r="M149" s="230"/>
      <c r="N149" s="230"/>
      <c r="O149" s="230"/>
    </row>
    <row r="150" spans="1:16" s="1107" customFormat="1" x14ac:dyDescent="0.25">
      <c r="A150" s="227"/>
      <c r="B150" s="230" t="s">
        <v>1237</v>
      </c>
      <c r="C150" s="230"/>
      <c r="D150" s="230"/>
      <c r="E150" s="230"/>
      <c r="F150" s="230"/>
      <c r="G150" s="230"/>
      <c r="H150" s="230"/>
      <c r="I150" s="230"/>
      <c r="J150" s="230">
        <f t="shared" si="65"/>
        <v>0</v>
      </c>
      <c r="K150" s="230">
        <f t="shared" si="66"/>
        <v>0</v>
      </c>
      <c r="L150" s="230">
        <f t="shared" si="67"/>
        <v>0</v>
      </c>
      <c r="M150" s="230">
        <v>1827</v>
      </c>
      <c r="N150" s="230"/>
      <c r="O150" s="230">
        <f t="shared" si="68"/>
        <v>1827</v>
      </c>
    </row>
    <row r="151" spans="1:16" s="1107" customFormat="1" ht="32.25" thickBot="1" x14ac:dyDescent="0.3">
      <c r="A151" s="227"/>
      <c r="B151" s="230" t="s">
        <v>1232</v>
      </c>
      <c r="C151" s="230"/>
      <c r="D151" s="230"/>
      <c r="E151" s="230"/>
      <c r="F151" s="230"/>
      <c r="G151" s="230"/>
      <c r="H151" s="230"/>
      <c r="I151" s="230"/>
      <c r="J151" s="230">
        <f t="shared" si="65"/>
        <v>0</v>
      </c>
      <c r="K151" s="230">
        <f t="shared" si="66"/>
        <v>0</v>
      </c>
      <c r="L151" s="230">
        <f t="shared" si="67"/>
        <v>0</v>
      </c>
      <c r="M151" s="230">
        <v>238</v>
      </c>
      <c r="N151" s="230"/>
      <c r="O151" s="230">
        <f t="shared" si="68"/>
        <v>238</v>
      </c>
    </row>
    <row r="152" spans="1:16" ht="17.25" thickTop="1" thickBot="1" x14ac:dyDescent="0.3">
      <c r="A152" s="224"/>
      <c r="B152" s="231" t="s">
        <v>1035</v>
      </c>
      <c r="C152" s="231">
        <f>+C143+C147+C150+C148+C151</f>
        <v>15124</v>
      </c>
      <c r="D152" s="231">
        <f t="shared" ref="D152:O152" si="69">+D143+D147+D150+D148+D151</f>
        <v>0</v>
      </c>
      <c r="E152" s="231">
        <f t="shared" si="69"/>
        <v>0</v>
      </c>
      <c r="F152" s="231">
        <f t="shared" si="69"/>
        <v>6149</v>
      </c>
      <c r="G152" s="231">
        <f t="shared" si="69"/>
        <v>0</v>
      </c>
      <c r="H152" s="231">
        <f t="shared" si="69"/>
        <v>0</v>
      </c>
      <c r="I152" s="231">
        <f t="shared" si="69"/>
        <v>0</v>
      </c>
      <c r="J152" s="231">
        <f t="shared" si="69"/>
        <v>21273</v>
      </c>
      <c r="K152" s="231">
        <f t="shared" si="69"/>
        <v>0</v>
      </c>
      <c r="L152" s="231">
        <f t="shared" si="69"/>
        <v>21273</v>
      </c>
      <c r="M152" s="231">
        <f t="shared" si="69"/>
        <v>271061</v>
      </c>
      <c r="N152" s="231">
        <f t="shared" si="69"/>
        <v>345</v>
      </c>
      <c r="O152" s="231">
        <f t="shared" si="69"/>
        <v>292679</v>
      </c>
      <c r="P152" s="1104">
        <f>O153+O154</f>
        <v>292679</v>
      </c>
    </row>
    <row r="153" spans="1:16" ht="17.25" thickTop="1" thickBot="1" x14ac:dyDescent="0.3">
      <c r="A153" s="224"/>
      <c r="B153" s="231" t="s">
        <v>1036</v>
      </c>
      <c r="C153" s="231">
        <f>+C144+C147+C148</f>
        <v>15124</v>
      </c>
      <c r="D153" s="231">
        <f t="shared" ref="D153:O153" si="70">+D144+D147+D148</f>
        <v>0</v>
      </c>
      <c r="E153" s="231">
        <f t="shared" si="70"/>
        <v>0</v>
      </c>
      <c r="F153" s="231">
        <f t="shared" si="70"/>
        <v>6149</v>
      </c>
      <c r="G153" s="231">
        <f t="shared" si="70"/>
        <v>0</v>
      </c>
      <c r="H153" s="231">
        <f t="shared" si="70"/>
        <v>0</v>
      </c>
      <c r="I153" s="231">
        <f t="shared" si="70"/>
        <v>0</v>
      </c>
      <c r="J153" s="231">
        <f t="shared" si="70"/>
        <v>21273</v>
      </c>
      <c r="K153" s="231">
        <f t="shared" si="70"/>
        <v>0</v>
      </c>
      <c r="L153" s="231">
        <f t="shared" si="70"/>
        <v>21273</v>
      </c>
      <c r="M153" s="231">
        <f t="shared" si="70"/>
        <v>264513</v>
      </c>
      <c r="N153" s="231">
        <f t="shared" si="70"/>
        <v>345</v>
      </c>
      <c r="O153" s="231">
        <f t="shared" si="70"/>
        <v>286131</v>
      </c>
    </row>
    <row r="154" spans="1:16" ht="17.25" thickTop="1" thickBot="1" x14ac:dyDescent="0.3">
      <c r="A154" s="224"/>
      <c r="B154" s="231" t="s">
        <v>1037</v>
      </c>
      <c r="C154" s="231">
        <f>+C145+C150+C151</f>
        <v>0</v>
      </c>
      <c r="D154" s="231">
        <f t="shared" ref="D154:O154" si="71">+D145+D150+D151</f>
        <v>0</v>
      </c>
      <c r="E154" s="231">
        <f t="shared" si="71"/>
        <v>0</v>
      </c>
      <c r="F154" s="231">
        <f t="shared" si="71"/>
        <v>0</v>
      </c>
      <c r="G154" s="231">
        <f t="shared" si="71"/>
        <v>0</v>
      </c>
      <c r="H154" s="231">
        <f t="shared" si="71"/>
        <v>0</v>
      </c>
      <c r="I154" s="231">
        <f t="shared" si="71"/>
        <v>0</v>
      </c>
      <c r="J154" s="231">
        <f t="shared" si="71"/>
        <v>0</v>
      </c>
      <c r="K154" s="231">
        <f t="shared" si="71"/>
        <v>0</v>
      </c>
      <c r="L154" s="231">
        <f t="shared" si="71"/>
        <v>0</v>
      </c>
      <c r="M154" s="231">
        <f t="shared" si="71"/>
        <v>6548</v>
      </c>
      <c r="N154" s="231">
        <f t="shared" si="71"/>
        <v>0</v>
      </c>
      <c r="O154" s="231">
        <f t="shared" si="71"/>
        <v>6548</v>
      </c>
    </row>
    <row r="155" spans="1:16" ht="32.25" thickTop="1" x14ac:dyDescent="0.25">
      <c r="A155" s="226" t="s">
        <v>1</v>
      </c>
      <c r="B155" s="590" t="s">
        <v>1045</v>
      </c>
      <c r="C155" s="590"/>
      <c r="D155" s="590"/>
      <c r="E155" s="590"/>
      <c r="F155" s="590"/>
      <c r="G155" s="590"/>
      <c r="H155" s="590"/>
      <c r="I155" s="590"/>
      <c r="J155" s="590"/>
      <c r="K155" s="590"/>
      <c r="L155" s="590"/>
      <c r="M155" s="590"/>
      <c r="N155" s="590"/>
      <c r="O155" s="590"/>
    </row>
    <row r="156" spans="1:16" x14ac:dyDescent="0.25">
      <c r="A156" s="226"/>
      <c r="B156" s="591" t="s">
        <v>998</v>
      </c>
      <c r="C156" s="591">
        <v>10851</v>
      </c>
      <c r="D156" s="591"/>
      <c r="E156" s="591"/>
      <c r="F156" s="591">
        <v>14870</v>
      </c>
      <c r="G156" s="591"/>
      <c r="H156" s="591"/>
      <c r="I156" s="591"/>
      <c r="J156" s="591">
        <f>SUM(C156+E156+F156+H156)</f>
        <v>25721</v>
      </c>
      <c r="K156" s="591">
        <f>SUM(D156+G156+I156)</f>
        <v>0</v>
      </c>
      <c r="L156" s="591">
        <f>SUM(J156:K156)</f>
        <v>25721</v>
      </c>
      <c r="M156" s="591">
        <v>301429</v>
      </c>
      <c r="N156" s="591">
        <v>5267</v>
      </c>
      <c r="O156" s="591">
        <f>SUM(L156:N156)</f>
        <v>332417</v>
      </c>
    </row>
    <row r="157" spans="1:16" s="1107" customFormat="1" x14ac:dyDescent="0.25">
      <c r="A157" s="227"/>
      <c r="B157" s="228" t="s">
        <v>1033</v>
      </c>
      <c r="C157" s="228">
        <v>10851</v>
      </c>
      <c r="D157" s="228"/>
      <c r="E157" s="228"/>
      <c r="F157" s="228">
        <v>14870</v>
      </c>
      <c r="G157" s="228"/>
      <c r="H157" s="228"/>
      <c r="I157" s="228"/>
      <c r="J157" s="229">
        <f>SUM(C157+E157+F157+H157)</f>
        <v>25721</v>
      </c>
      <c r="K157" s="229">
        <f>SUM(D157+G157+I157)</f>
        <v>0</v>
      </c>
      <c r="L157" s="229">
        <f>SUM(J157:K157)</f>
        <v>25721</v>
      </c>
      <c r="M157" s="229">
        <v>296907</v>
      </c>
      <c r="N157" s="229">
        <v>5267</v>
      </c>
      <c r="O157" s="229">
        <f>SUM(L157:N157)</f>
        <v>327895</v>
      </c>
    </row>
    <row r="158" spans="1:16" s="1107" customFormat="1" x14ac:dyDescent="0.25">
      <c r="A158" s="227"/>
      <c r="B158" s="228" t="s">
        <v>1034</v>
      </c>
      <c r="C158" s="228"/>
      <c r="D158" s="228"/>
      <c r="E158" s="228"/>
      <c r="F158" s="228"/>
      <c r="G158" s="228"/>
      <c r="H158" s="228"/>
      <c r="I158" s="228"/>
      <c r="J158" s="229">
        <f>SUM(C158+E158+F158+H158)</f>
        <v>0</v>
      </c>
      <c r="K158" s="229">
        <f>SUM(D158+G158+I158)</f>
        <v>0</v>
      </c>
      <c r="L158" s="229">
        <f>SUM(J158:K158)</f>
        <v>0</v>
      </c>
      <c r="M158" s="229">
        <v>4522</v>
      </c>
      <c r="N158" s="229"/>
      <c r="O158" s="229">
        <f>SUM(L158:N158)</f>
        <v>4522</v>
      </c>
    </row>
    <row r="159" spans="1:16" s="1107" customFormat="1" x14ac:dyDescent="0.25">
      <c r="A159" s="227"/>
      <c r="B159" s="228" t="s">
        <v>160</v>
      </c>
      <c r="C159" s="230"/>
      <c r="D159" s="230"/>
      <c r="E159" s="230"/>
      <c r="F159" s="230"/>
      <c r="G159" s="230"/>
      <c r="H159" s="230"/>
      <c r="I159" s="230"/>
      <c r="J159" s="230"/>
      <c r="K159" s="230"/>
      <c r="L159" s="230"/>
      <c r="M159" s="230"/>
      <c r="N159" s="230"/>
      <c r="O159" s="230"/>
    </row>
    <row r="160" spans="1:16" s="1107" customFormat="1" x14ac:dyDescent="0.25">
      <c r="A160" s="227"/>
      <c r="B160" s="230" t="s">
        <v>1229</v>
      </c>
      <c r="C160" s="230"/>
      <c r="D160" s="230"/>
      <c r="E160" s="230"/>
      <c r="F160" s="230"/>
      <c r="G160" s="230"/>
      <c r="H160" s="230"/>
      <c r="I160" s="230"/>
      <c r="J160" s="230">
        <f t="shared" ref="J160:J164" si="72">SUM(C160+E160+F160+H160)</f>
        <v>0</v>
      </c>
      <c r="K160" s="230">
        <f t="shared" ref="K160:K164" si="73">SUM(D160+G160+I160)</f>
        <v>0</v>
      </c>
      <c r="L160" s="230">
        <f t="shared" ref="L160:L164" si="74">SUM(J160:K160)</f>
        <v>0</v>
      </c>
      <c r="M160" s="230">
        <v>72</v>
      </c>
      <c r="N160" s="230"/>
      <c r="O160" s="230">
        <f t="shared" ref="O160:O164" si="75">SUM(L160:N160)</f>
        <v>72</v>
      </c>
    </row>
    <row r="161" spans="1:16" s="1107" customFormat="1" ht="47.25" x14ac:dyDescent="0.25">
      <c r="A161" s="227"/>
      <c r="B161" s="230" t="s">
        <v>1230</v>
      </c>
      <c r="C161" s="230"/>
      <c r="D161" s="230"/>
      <c r="E161" s="230"/>
      <c r="F161" s="230"/>
      <c r="G161" s="230"/>
      <c r="H161" s="230"/>
      <c r="I161" s="230"/>
      <c r="J161" s="230">
        <f t="shared" si="72"/>
        <v>0</v>
      </c>
      <c r="K161" s="230">
        <f t="shared" si="73"/>
        <v>0</v>
      </c>
      <c r="L161" s="230">
        <f t="shared" si="74"/>
        <v>0</v>
      </c>
      <c r="M161" s="230">
        <v>3519</v>
      </c>
      <c r="N161" s="230"/>
      <c r="O161" s="230">
        <f t="shared" si="75"/>
        <v>3519</v>
      </c>
    </row>
    <row r="162" spans="1:16" s="1107" customFormat="1" x14ac:dyDescent="0.25">
      <c r="A162" s="227"/>
      <c r="B162" s="228" t="s">
        <v>161</v>
      </c>
      <c r="C162" s="230"/>
      <c r="D162" s="230"/>
      <c r="E162" s="230"/>
      <c r="F162" s="230"/>
      <c r="G162" s="230"/>
      <c r="H162" s="230"/>
      <c r="I162" s="230"/>
      <c r="J162" s="230"/>
      <c r="K162" s="230"/>
      <c r="L162" s="230"/>
      <c r="M162" s="230"/>
      <c r="N162" s="230"/>
      <c r="O162" s="230"/>
    </row>
    <row r="163" spans="1:16" s="1107" customFormat="1" x14ac:dyDescent="0.25">
      <c r="A163" s="227"/>
      <c r="B163" s="230" t="s">
        <v>1237</v>
      </c>
      <c r="C163" s="230"/>
      <c r="D163" s="230"/>
      <c r="E163" s="230"/>
      <c r="F163" s="230"/>
      <c r="G163" s="230"/>
      <c r="H163" s="230"/>
      <c r="I163" s="230"/>
      <c r="J163" s="230">
        <f t="shared" si="72"/>
        <v>0</v>
      </c>
      <c r="K163" s="230">
        <f t="shared" si="73"/>
        <v>0</v>
      </c>
      <c r="L163" s="230">
        <f t="shared" si="74"/>
        <v>0</v>
      </c>
      <c r="M163" s="230">
        <v>1892</v>
      </c>
      <c r="N163" s="230"/>
      <c r="O163" s="230">
        <f t="shared" si="75"/>
        <v>1892</v>
      </c>
    </row>
    <row r="164" spans="1:16" s="1107" customFormat="1" ht="32.25" thickBot="1" x14ac:dyDescent="0.3">
      <c r="A164" s="227"/>
      <c r="B164" s="230" t="s">
        <v>1232</v>
      </c>
      <c r="C164" s="230"/>
      <c r="D164" s="230"/>
      <c r="E164" s="230"/>
      <c r="F164" s="230"/>
      <c r="G164" s="230"/>
      <c r="H164" s="230"/>
      <c r="I164" s="230"/>
      <c r="J164" s="230">
        <f t="shared" si="72"/>
        <v>0</v>
      </c>
      <c r="K164" s="230">
        <f t="shared" si="73"/>
        <v>0</v>
      </c>
      <c r="L164" s="230">
        <f t="shared" si="74"/>
        <v>0</v>
      </c>
      <c r="M164" s="230">
        <v>80</v>
      </c>
      <c r="N164" s="230"/>
      <c r="O164" s="230">
        <f t="shared" si="75"/>
        <v>80</v>
      </c>
    </row>
    <row r="165" spans="1:16" ht="17.25" thickTop="1" thickBot="1" x14ac:dyDescent="0.3">
      <c r="A165" s="224"/>
      <c r="B165" s="231" t="s">
        <v>1035</v>
      </c>
      <c r="C165" s="231">
        <f>+C156+C160+C163+C161+C164</f>
        <v>10851</v>
      </c>
      <c r="D165" s="231">
        <f t="shared" ref="D165:O165" si="76">+D156+D160+D163+D161+D164</f>
        <v>0</v>
      </c>
      <c r="E165" s="231">
        <f t="shared" si="76"/>
        <v>0</v>
      </c>
      <c r="F165" s="231">
        <f t="shared" si="76"/>
        <v>14870</v>
      </c>
      <c r="G165" s="231">
        <f t="shared" si="76"/>
        <v>0</v>
      </c>
      <c r="H165" s="231">
        <f t="shared" si="76"/>
        <v>0</v>
      </c>
      <c r="I165" s="231">
        <f t="shared" si="76"/>
        <v>0</v>
      </c>
      <c r="J165" s="231">
        <f t="shared" si="76"/>
        <v>25721</v>
      </c>
      <c r="K165" s="231">
        <f t="shared" si="76"/>
        <v>0</v>
      </c>
      <c r="L165" s="231">
        <f t="shared" si="76"/>
        <v>25721</v>
      </c>
      <c r="M165" s="231">
        <f t="shared" si="76"/>
        <v>306992</v>
      </c>
      <c r="N165" s="231">
        <f t="shared" si="76"/>
        <v>5267</v>
      </c>
      <c r="O165" s="231">
        <f t="shared" si="76"/>
        <v>337980</v>
      </c>
      <c r="P165" s="1104">
        <f>O166+O167</f>
        <v>337980</v>
      </c>
    </row>
    <row r="166" spans="1:16" ht="17.25" thickTop="1" thickBot="1" x14ac:dyDescent="0.3">
      <c r="A166" s="224"/>
      <c r="B166" s="231" t="s">
        <v>1036</v>
      </c>
      <c r="C166" s="231">
        <f>+C157+C160+C161</f>
        <v>10851</v>
      </c>
      <c r="D166" s="231">
        <f t="shared" ref="D166:O166" si="77">+D157+D160+D161</f>
        <v>0</v>
      </c>
      <c r="E166" s="231">
        <f t="shared" si="77"/>
        <v>0</v>
      </c>
      <c r="F166" s="231">
        <f t="shared" si="77"/>
        <v>14870</v>
      </c>
      <c r="G166" s="231">
        <f t="shared" si="77"/>
        <v>0</v>
      </c>
      <c r="H166" s="231">
        <f t="shared" si="77"/>
        <v>0</v>
      </c>
      <c r="I166" s="231">
        <f t="shared" si="77"/>
        <v>0</v>
      </c>
      <c r="J166" s="231">
        <f t="shared" si="77"/>
        <v>25721</v>
      </c>
      <c r="K166" s="231">
        <f t="shared" si="77"/>
        <v>0</v>
      </c>
      <c r="L166" s="231">
        <f t="shared" si="77"/>
        <v>25721</v>
      </c>
      <c r="M166" s="231">
        <f t="shared" si="77"/>
        <v>300498</v>
      </c>
      <c r="N166" s="231">
        <f t="shared" si="77"/>
        <v>5267</v>
      </c>
      <c r="O166" s="231">
        <f t="shared" si="77"/>
        <v>331486</v>
      </c>
    </row>
    <row r="167" spans="1:16" ht="17.25" thickTop="1" thickBot="1" x14ac:dyDescent="0.3">
      <c r="A167" s="224"/>
      <c r="B167" s="231" t="s">
        <v>1037</v>
      </c>
      <c r="C167" s="231">
        <f t="shared" ref="C167:O167" si="78">+C158+C163+C164</f>
        <v>0</v>
      </c>
      <c r="D167" s="231">
        <f t="shared" si="78"/>
        <v>0</v>
      </c>
      <c r="E167" s="231">
        <f t="shared" si="78"/>
        <v>0</v>
      </c>
      <c r="F167" s="231">
        <f t="shared" si="78"/>
        <v>0</v>
      </c>
      <c r="G167" s="231">
        <f t="shared" si="78"/>
        <v>0</v>
      </c>
      <c r="H167" s="231">
        <f t="shared" si="78"/>
        <v>0</v>
      </c>
      <c r="I167" s="231">
        <f t="shared" si="78"/>
        <v>0</v>
      </c>
      <c r="J167" s="231">
        <f t="shared" si="78"/>
        <v>0</v>
      </c>
      <c r="K167" s="231">
        <f t="shared" si="78"/>
        <v>0</v>
      </c>
      <c r="L167" s="231">
        <f t="shared" si="78"/>
        <v>0</v>
      </c>
      <c r="M167" s="231">
        <f t="shared" si="78"/>
        <v>6494</v>
      </c>
      <c r="N167" s="231">
        <f t="shared" si="78"/>
        <v>0</v>
      </c>
      <c r="O167" s="231">
        <f t="shared" si="78"/>
        <v>6494</v>
      </c>
    </row>
    <row r="168" spans="1:16" ht="16.5" thickTop="1" x14ac:dyDescent="0.25">
      <c r="A168" s="238" t="s">
        <v>2</v>
      </c>
      <c r="B168" s="590" t="s">
        <v>400</v>
      </c>
      <c r="C168" s="590"/>
      <c r="D168" s="590"/>
      <c r="E168" s="590"/>
      <c r="F168" s="590"/>
      <c r="G168" s="590"/>
      <c r="H168" s="590"/>
      <c r="I168" s="590"/>
      <c r="J168" s="590"/>
      <c r="K168" s="590"/>
      <c r="L168" s="590"/>
      <c r="M168" s="590"/>
      <c r="N168" s="590"/>
      <c r="O168" s="590"/>
    </row>
    <row r="169" spans="1:16" x14ac:dyDescent="0.25">
      <c r="A169" s="238"/>
      <c r="B169" s="590" t="s">
        <v>998</v>
      </c>
      <c r="C169" s="590">
        <v>10118</v>
      </c>
      <c r="D169" s="590"/>
      <c r="E169" s="590"/>
      <c r="F169" s="590">
        <v>7707</v>
      </c>
      <c r="G169" s="590"/>
      <c r="H169" s="590"/>
      <c r="I169" s="590"/>
      <c r="J169" s="591">
        <f>SUM(C169+E169+F169+H169)</f>
        <v>17825</v>
      </c>
      <c r="K169" s="591">
        <f>SUM(D169+G169+I169)</f>
        <v>0</v>
      </c>
      <c r="L169" s="591">
        <f>SUM(J169:K169)</f>
        <v>17825</v>
      </c>
      <c r="M169" s="591">
        <v>196123</v>
      </c>
      <c r="N169" s="591">
        <v>1642</v>
      </c>
      <c r="O169" s="591">
        <f>SUM(L169:N169)</f>
        <v>215590</v>
      </c>
    </row>
    <row r="170" spans="1:16" s="1107" customFormat="1" x14ac:dyDescent="0.25">
      <c r="A170" s="232"/>
      <c r="B170" s="228" t="s">
        <v>1033</v>
      </c>
      <c r="C170" s="228">
        <v>10118</v>
      </c>
      <c r="D170" s="228"/>
      <c r="E170" s="228"/>
      <c r="F170" s="228">
        <v>7707</v>
      </c>
      <c r="G170" s="228"/>
      <c r="H170" s="228"/>
      <c r="I170" s="228"/>
      <c r="J170" s="229">
        <f>SUM(C170+E170+F170+H170)</f>
        <v>17825</v>
      </c>
      <c r="K170" s="229">
        <f>SUM(D170+G170+I170)</f>
        <v>0</v>
      </c>
      <c r="L170" s="229">
        <f>SUM(J170:K170)</f>
        <v>17825</v>
      </c>
      <c r="M170" s="229">
        <v>192817</v>
      </c>
      <c r="N170" s="229">
        <v>1642</v>
      </c>
      <c r="O170" s="229">
        <f>SUM(L170:N170)</f>
        <v>212284</v>
      </c>
    </row>
    <row r="171" spans="1:16" s="1107" customFormat="1" x14ac:dyDescent="0.25">
      <c r="A171" s="232"/>
      <c r="B171" s="228" t="s">
        <v>1034</v>
      </c>
      <c r="C171" s="228"/>
      <c r="D171" s="228"/>
      <c r="E171" s="228"/>
      <c r="F171" s="228"/>
      <c r="G171" s="228"/>
      <c r="H171" s="228"/>
      <c r="I171" s="228"/>
      <c r="J171" s="229">
        <f>SUM(C171+E171+F171+H171)</f>
        <v>0</v>
      </c>
      <c r="K171" s="229">
        <f>SUM(D171+G171+I171)</f>
        <v>0</v>
      </c>
      <c r="L171" s="229">
        <f>SUM(J171:K171)</f>
        <v>0</v>
      </c>
      <c r="M171" s="229">
        <v>3306</v>
      </c>
      <c r="N171" s="229"/>
      <c r="O171" s="229">
        <f>SUM(L171:N171)</f>
        <v>3306</v>
      </c>
    </row>
    <row r="172" spans="1:16" x14ac:dyDescent="0.25">
      <c r="A172" s="238"/>
      <c r="B172" s="233" t="s">
        <v>160</v>
      </c>
      <c r="C172" s="233"/>
      <c r="D172" s="233"/>
      <c r="E172" s="233"/>
      <c r="F172" s="233"/>
      <c r="G172" s="233"/>
      <c r="H172" s="233"/>
      <c r="I172" s="233"/>
      <c r="J172" s="590"/>
      <c r="K172" s="590"/>
      <c r="L172" s="590"/>
      <c r="M172" s="590"/>
      <c r="N172" s="590"/>
      <c r="O172" s="590"/>
    </row>
    <row r="173" spans="1:16" x14ac:dyDescent="0.25">
      <c r="A173" s="238"/>
      <c r="B173" s="235" t="s">
        <v>1229</v>
      </c>
      <c r="C173" s="235"/>
      <c r="D173" s="233"/>
      <c r="E173" s="233"/>
      <c r="F173" s="233"/>
      <c r="G173" s="233"/>
      <c r="H173" s="233"/>
      <c r="I173" s="233"/>
      <c r="J173" s="590">
        <f>SUM(C173+E173+F173+H173)</f>
        <v>0</v>
      </c>
      <c r="K173" s="590">
        <f>SUM(D173+G173+I173)</f>
        <v>0</v>
      </c>
      <c r="L173" s="590">
        <f>SUM(J173:K173)</f>
        <v>0</v>
      </c>
      <c r="M173" s="590">
        <v>139</v>
      </c>
      <c r="N173" s="590"/>
      <c r="O173" s="590">
        <f>SUM(L173:N173)</f>
        <v>139</v>
      </c>
    </row>
    <row r="174" spans="1:16" ht="47.25" x14ac:dyDescent="0.25">
      <c r="A174" s="238"/>
      <c r="B174" s="230" t="s">
        <v>1230</v>
      </c>
      <c r="C174" s="233"/>
      <c r="D174" s="233"/>
      <c r="E174" s="233"/>
      <c r="F174" s="233"/>
      <c r="G174" s="233"/>
      <c r="H174" s="233"/>
      <c r="I174" s="233"/>
      <c r="J174" s="590">
        <f t="shared" ref="J174:J179" si="79">SUM(C174+E174+F174+H174)</f>
        <v>0</v>
      </c>
      <c r="K174" s="590">
        <f t="shared" ref="K174:K179" si="80">SUM(D174+G174+I174)</f>
        <v>0</v>
      </c>
      <c r="L174" s="590">
        <f t="shared" ref="L174:L179" si="81">SUM(J174:K174)</f>
        <v>0</v>
      </c>
      <c r="M174" s="590">
        <v>1759</v>
      </c>
      <c r="N174" s="590"/>
      <c r="O174" s="590">
        <f t="shared" ref="O174:O176" si="82">SUM(L174:N174)</f>
        <v>1759</v>
      </c>
    </row>
    <row r="175" spans="1:16" x14ac:dyDescent="0.25">
      <c r="A175" s="238"/>
      <c r="B175" s="233" t="s">
        <v>161</v>
      </c>
      <c r="C175" s="233"/>
      <c r="D175" s="233"/>
      <c r="E175" s="233"/>
      <c r="F175" s="233"/>
      <c r="G175" s="233"/>
      <c r="H175" s="233"/>
      <c r="I175" s="233"/>
      <c r="J175" s="590"/>
      <c r="K175" s="590"/>
      <c r="L175" s="590"/>
      <c r="M175" s="590"/>
      <c r="N175" s="590"/>
      <c r="O175" s="590"/>
    </row>
    <row r="176" spans="1:16" x14ac:dyDescent="0.25">
      <c r="A176" s="238"/>
      <c r="B176" s="230" t="s">
        <v>1237</v>
      </c>
      <c r="C176" s="233"/>
      <c r="D176" s="233"/>
      <c r="E176" s="233"/>
      <c r="F176" s="233"/>
      <c r="G176" s="233"/>
      <c r="H176" s="233"/>
      <c r="I176" s="233"/>
      <c r="J176" s="590">
        <f t="shared" si="79"/>
        <v>0</v>
      </c>
      <c r="K176" s="590">
        <f t="shared" si="80"/>
        <v>0</v>
      </c>
      <c r="L176" s="590">
        <f t="shared" si="81"/>
        <v>0</v>
      </c>
      <c r="M176" s="590">
        <v>1211</v>
      </c>
      <c r="N176" s="590"/>
      <c r="O176" s="590">
        <f t="shared" si="82"/>
        <v>1211</v>
      </c>
    </row>
    <row r="177" spans="1:16" s="1107" customFormat="1" ht="31.5" x14ac:dyDescent="0.25">
      <c r="A177" s="232"/>
      <c r="B177" s="230" t="s">
        <v>1232</v>
      </c>
      <c r="C177" s="230"/>
      <c r="D177" s="230"/>
      <c r="E177" s="230"/>
      <c r="F177" s="230"/>
      <c r="G177" s="230"/>
      <c r="H177" s="230"/>
      <c r="I177" s="230"/>
      <c r="J177" s="230">
        <f t="shared" si="79"/>
        <v>0</v>
      </c>
      <c r="K177" s="230">
        <f t="shared" si="80"/>
        <v>0</v>
      </c>
      <c r="L177" s="230">
        <f t="shared" si="81"/>
        <v>0</v>
      </c>
      <c r="M177" s="230">
        <v>238</v>
      </c>
      <c r="N177" s="230"/>
      <c r="O177" s="230">
        <f>SUM(L177:N177)</f>
        <v>238</v>
      </c>
    </row>
    <row r="178" spans="1:16" s="1107" customFormat="1" ht="63" x14ac:dyDescent="0.25">
      <c r="A178" s="232"/>
      <c r="B178" s="230" t="s">
        <v>1235</v>
      </c>
      <c r="C178" s="230"/>
      <c r="D178" s="230"/>
      <c r="E178" s="230"/>
      <c r="F178" s="230"/>
      <c r="G178" s="230"/>
      <c r="H178" s="230"/>
      <c r="I178" s="230"/>
      <c r="J178" s="230">
        <f t="shared" si="79"/>
        <v>0</v>
      </c>
      <c r="K178" s="230">
        <f t="shared" si="80"/>
        <v>0</v>
      </c>
      <c r="L178" s="230">
        <f t="shared" si="81"/>
        <v>0</v>
      </c>
      <c r="M178" s="230">
        <v>15</v>
      </c>
      <c r="N178" s="230"/>
      <c r="O178" s="230">
        <f t="shared" ref="O178:O179" si="83">SUM(L178:N178)</f>
        <v>15</v>
      </c>
    </row>
    <row r="179" spans="1:16" s="1107" customFormat="1" ht="79.5" thickBot="1" x14ac:dyDescent="0.3">
      <c r="A179" s="232"/>
      <c r="B179" s="230" t="s">
        <v>1240</v>
      </c>
      <c r="C179" s="230"/>
      <c r="D179" s="230"/>
      <c r="E179" s="230"/>
      <c r="F179" s="230"/>
      <c r="G179" s="230"/>
      <c r="H179" s="230"/>
      <c r="I179" s="230"/>
      <c r="J179" s="230">
        <f t="shared" si="79"/>
        <v>0</v>
      </c>
      <c r="K179" s="230">
        <f t="shared" si="80"/>
        <v>0</v>
      </c>
      <c r="L179" s="230">
        <f t="shared" si="81"/>
        <v>0</v>
      </c>
      <c r="M179" s="230">
        <v>15</v>
      </c>
      <c r="N179" s="230"/>
      <c r="O179" s="230">
        <f t="shared" si="83"/>
        <v>15</v>
      </c>
    </row>
    <row r="180" spans="1:16" ht="17.25" thickTop="1" thickBot="1" x14ac:dyDescent="0.3">
      <c r="A180" s="224"/>
      <c r="B180" s="231" t="s">
        <v>1035</v>
      </c>
      <c r="C180" s="231">
        <f>+C169+C173+C174+C176+C177+C178+C179</f>
        <v>10118</v>
      </c>
      <c r="D180" s="231">
        <f t="shared" ref="D180:O180" si="84">+D169+D173+D174+D176+D177+D178+D179</f>
        <v>0</v>
      </c>
      <c r="E180" s="231">
        <f t="shared" si="84"/>
        <v>0</v>
      </c>
      <c r="F180" s="231">
        <f t="shared" si="84"/>
        <v>7707</v>
      </c>
      <c r="G180" s="231">
        <f t="shared" si="84"/>
        <v>0</v>
      </c>
      <c r="H180" s="231">
        <f t="shared" si="84"/>
        <v>0</v>
      </c>
      <c r="I180" s="231">
        <f t="shared" si="84"/>
        <v>0</v>
      </c>
      <c r="J180" s="231">
        <f t="shared" si="84"/>
        <v>17825</v>
      </c>
      <c r="K180" s="231">
        <f t="shared" si="84"/>
        <v>0</v>
      </c>
      <c r="L180" s="231">
        <f t="shared" si="84"/>
        <v>17825</v>
      </c>
      <c r="M180" s="231">
        <f t="shared" si="84"/>
        <v>199500</v>
      </c>
      <c r="N180" s="231">
        <f t="shared" si="84"/>
        <v>1642</v>
      </c>
      <c r="O180" s="231">
        <f t="shared" si="84"/>
        <v>218967</v>
      </c>
      <c r="P180" s="1104">
        <f>O181+O182</f>
        <v>218967</v>
      </c>
    </row>
    <row r="181" spans="1:16" ht="17.25" thickTop="1" thickBot="1" x14ac:dyDescent="0.3">
      <c r="A181" s="224"/>
      <c r="B181" s="231" t="s">
        <v>1036</v>
      </c>
      <c r="C181" s="231">
        <f>+C170+C173+C174</f>
        <v>10118</v>
      </c>
      <c r="D181" s="231">
        <f t="shared" ref="D181:O181" si="85">+D170+D173+D174</f>
        <v>0</v>
      </c>
      <c r="E181" s="231">
        <f t="shared" si="85"/>
        <v>0</v>
      </c>
      <c r="F181" s="231">
        <f t="shared" si="85"/>
        <v>7707</v>
      </c>
      <c r="G181" s="231">
        <f t="shared" si="85"/>
        <v>0</v>
      </c>
      <c r="H181" s="231">
        <f t="shared" si="85"/>
        <v>0</v>
      </c>
      <c r="I181" s="231">
        <f t="shared" si="85"/>
        <v>0</v>
      </c>
      <c r="J181" s="231">
        <f t="shared" si="85"/>
        <v>17825</v>
      </c>
      <c r="K181" s="231">
        <f t="shared" si="85"/>
        <v>0</v>
      </c>
      <c r="L181" s="231">
        <f t="shared" si="85"/>
        <v>17825</v>
      </c>
      <c r="M181" s="231">
        <f t="shared" si="85"/>
        <v>194715</v>
      </c>
      <c r="N181" s="231">
        <f t="shared" si="85"/>
        <v>1642</v>
      </c>
      <c r="O181" s="231">
        <f t="shared" si="85"/>
        <v>214182</v>
      </c>
    </row>
    <row r="182" spans="1:16" ht="17.25" thickTop="1" thickBot="1" x14ac:dyDescent="0.3">
      <c r="A182" s="224"/>
      <c r="B182" s="231" t="s">
        <v>1037</v>
      </c>
      <c r="C182" s="231">
        <f t="shared" ref="C182:O182" si="86">+C171+C176+C177+C178+C179</f>
        <v>0</v>
      </c>
      <c r="D182" s="231">
        <f t="shared" si="86"/>
        <v>0</v>
      </c>
      <c r="E182" s="231">
        <f t="shared" si="86"/>
        <v>0</v>
      </c>
      <c r="F182" s="231">
        <f t="shared" si="86"/>
        <v>0</v>
      </c>
      <c r="G182" s="231">
        <f t="shared" si="86"/>
        <v>0</v>
      </c>
      <c r="H182" s="231">
        <f t="shared" si="86"/>
        <v>0</v>
      </c>
      <c r="I182" s="231">
        <f t="shared" si="86"/>
        <v>0</v>
      </c>
      <c r="J182" s="231">
        <f t="shared" si="86"/>
        <v>0</v>
      </c>
      <c r="K182" s="231">
        <f t="shared" si="86"/>
        <v>0</v>
      </c>
      <c r="L182" s="231">
        <f t="shared" si="86"/>
        <v>0</v>
      </c>
      <c r="M182" s="231">
        <f t="shared" si="86"/>
        <v>4785</v>
      </c>
      <c r="N182" s="231">
        <f t="shared" si="86"/>
        <v>0</v>
      </c>
      <c r="O182" s="231">
        <f t="shared" si="86"/>
        <v>4785</v>
      </c>
    </row>
    <row r="183" spans="1:16" ht="16.5" thickTop="1" x14ac:dyDescent="0.25">
      <c r="A183" s="226" t="s">
        <v>3</v>
      </c>
      <c r="B183" s="590" t="s">
        <v>401</v>
      </c>
      <c r="C183" s="590"/>
      <c r="D183" s="590"/>
      <c r="E183" s="590"/>
      <c r="F183" s="590"/>
      <c r="G183" s="590"/>
      <c r="H183" s="590"/>
      <c r="I183" s="590"/>
      <c r="J183" s="590"/>
      <c r="K183" s="590"/>
      <c r="L183" s="590"/>
      <c r="M183" s="590"/>
      <c r="N183" s="590"/>
      <c r="O183" s="590"/>
    </row>
    <row r="184" spans="1:16" x14ac:dyDescent="0.25">
      <c r="A184" s="226"/>
      <c r="B184" s="591" t="s">
        <v>998</v>
      </c>
      <c r="C184" s="591">
        <v>12976</v>
      </c>
      <c r="D184" s="591"/>
      <c r="E184" s="591"/>
      <c r="F184" s="591">
        <v>6061</v>
      </c>
      <c r="G184" s="591"/>
      <c r="H184" s="591"/>
      <c r="I184" s="591"/>
      <c r="J184" s="591">
        <f>SUM(C184+E184+F184+H184)</f>
        <v>19037</v>
      </c>
      <c r="K184" s="591">
        <f>SUM(D184+G184+I184)</f>
        <v>0</v>
      </c>
      <c r="L184" s="591">
        <f>SUM(J184:K184)</f>
        <v>19037</v>
      </c>
      <c r="M184" s="591">
        <v>227552</v>
      </c>
      <c r="N184" s="591">
        <v>3583</v>
      </c>
      <c r="O184" s="591">
        <f>SUM(L184:N184)</f>
        <v>250172</v>
      </c>
    </row>
    <row r="185" spans="1:16" s="1107" customFormat="1" x14ac:dyDescent="0.25">
      <c r="A185" s="227"/>
      <c r="B185" s="228" t="s">
        <v>1033</v>
      </c>
      <c r="C185" s="228">
        <v>12976</v>
      </c>
      <c r="D185" s="228"/>
      <c r="E185" s="228"/>
      <c r="F185" s="228">
        <v>6061</v>
      </c>
      <c r="G185" s="228"/>
      <c r="H185" s="228"/>
      <c r="I185" s="228"/>
      <c r="J185" s="229">
        <f>SUM(C185+E185+F185+H185)</f>
        <v>19037</v>
      </c>
      <c r="K185" s="229">
        <f>SUM(D185+G185+I185)</f>
        <v>0</v>
      </c>
      <c r="L185" s="229">
        <f>SUM(J185:K185)</f>
        <v>19037</v>
      </c>
      <c r="M185" s="229">
        <v>223855</v>
      </c>
      <c r="N185" s="229">
        <v>3583</v>
      </c>
      <c r="O185" s="229">
        <f>SUM(L185:N185)</f>
        <v>246475</v>
      </c>
    </row>
    <row r="186" spans="1:16" s="1107" customFormat="1" x14ac:dyDescent="0.25">
      <c r="A186" s="227"/>
      <c r="B186" s="228" t="s">
        <v>1034</v>
      </c>
      <c r="C186" s="228"/>
      <c r="D186" s="228"/>
      <c r="E186" s="228"/>
      <c r="F186" s="228"/>
      <c r="G186" s="228"/>
      <c r="H186" s="228"/>
      <c r="I186" s="228"/>
      <c r="J186" s="229">
        <f>SUM(C186+E186+F186+H186)</f>
        <v>0</v>
      </c>
      <c r="K186" s="229">
        <f>SUM(D186+G186+I186)</f>
        <v>0</v>
      </c>
      <c r="L186" s="229">
        <f>SUM(J186:K186)</f>
        <v>0</v>
      </c>
      <c r="M186" s="229">
        <v>3697</v>
      </c>
      <c r="N186" s="229"/>
      <c r="O186" s="229">
        <f>SUM(L186:N186)</f>
        <v>3697</v>
      </c>
    </row>
    <row r="187" spans="1:16" s="1107" customFormat="1" x14ac:dyDescent="0.25">
      <c r="A187" s="227"/>
      <c r="B187" s="228" t="s">
        <v>160</v>
      </c>
      <c r="C187" s="230"/>
      <c r="D187" s="230"/>
      <c r="E187" s="230"/>
      <c r="F187" s="230"/>
      <c r="G187" s="230"/>
      <c r="H187" s="230"/>
      <c r="I187" s="230"/>
      <c r="J187" s="230"/>
      <c r="K187" s="230"/>
      <c r="L187" s="230"/>
      <c r="M187" s="230"/>
      <c r="N187" s="230"/>
      <c r="O187" s="230"/>
    </row>
    <row r="188" spans="1:16" s="1107" customFormat="1" x14ac:dyDescent="0.25">
      <c r="A188" s="227"/>
      <c r="B188" s="230" t="s">
        <v>1229</v>
      </c>
      <c r="C188" s="230"/>
      <c r="D188" s="230"/>
      <c r="E188" s="230"/>
      <c r="F188" s="230"/>
      <c r="G188" s="230"/>
      <c r="H188" s="230"/>
      <c r="I188" s="230"/>
      <c r="J188" s="230">
        <f t="shared" ref="J188:J194" si="87">SUM(C188+E188+F188+H188)</f>
        <v>0</v>
      </c>
      <c r="K188" s="230">
        <f t="shared" ref="K188:K194" si="88">SUM(D188+G188+I188)</f>
        <v>0</v>
      </c>
      <c r="L188" s="230">
        <f t="shared" ref="L188:L194" si="89">SUM(J188:K188)</f>
        <v>0</v>
      </c>
      <c r="M188" s="230">
        <v>18</v>
      </c>
      <c r="N188" s="230"/>
      <c r="O188" s="230">
        <f t="shared" ref="O188:O194" si="90">SUM(L188:N188)</f>
        <v>18</v>
      </c>
    </row>
    <row r="189" spans="1:16" s="1107" customFormat="1" ht="47.25" x14ac:dyDescent="0.25">
      <c r="A189" s="227"/>
      <c r="B189" s="230" t="s">
        <v>1230</v>
      </c>
      <c r="C189" s="230"/>
      <c r="D189" s="230"/>
      <c r="E189" s="230"/>
      <c r="F189" s="230"/>
      <c r="G189" s="230"/>
      <c r="H189" s="230"/>
      <c r="I189" s="230"/>
      <c r="J189" s="230">
        <f t="shared" si="87"/>
        <v>0</v>
      </c>
      <c r="K189" s="230">
        <f t="shared" si="88"/>
        <v>0</v>
      </c>
      <c r="L189" s="230">
        <f t="shared" si="89"/>
        <v>0</v>
      </c>
      <c r="M189" s="230">
        <v>24</v>
      </c>
      <c r="N189" s="230"/>
      <c r="O189" s="230">
        <f t="shared" si="90"/>
        <v>24</v>
      </c>
    </row>
    <row r="190" spans="1:16" s="1107" customFormat="1" x14ac:dyDescent="0.25">
      <c r="A190" s="232"/>
      <c r="B190" s="233" t="s">
        <v>161</v>
      </c>
      <c r="C190" s="235"/>
      <c r="D190" s="235"/>
      <c r="E190" s="235"/>
      <c r="F190" s="235"/>
      <c r="G190" s="235"/>
      <c r="H190" s="235"/>
      <c r="I190" s="235"/>
      <c r="J190" s="235"/>
      <c r="K190" s="235"/>
      <c r="L190" s="235"/>
      <c r="M190" s="235"/>
      <c r="N190" s="235"/>
      <c r="O190" s="235"/>
    </row>
    <row r="191" spans="1:16" s="1107" customFormat="1" x14ac:dyDescent="0.25">
      <c r="A191" s="227"/>
      <c r="B191" s="230" t="s">
        <v>1237</v>
      </c>
      <c r="C191" s="230"/>
      <c r="D191" s="230"/>
      <c r="E191" s="230"/>
      <c r="F191" s="230"/>
      <c r="G191" s="230"/>
      <c r="H191" s="230"/>
      <c r="I191" s="230"/>
      <c r="J191" s="230">
        <f t="shared" si="87"/>
        <v>0</v>
      </c>
      <c r="K191" s="230">
        <f t="shared" si="88"/>
        <v>0</v>
      </c>
      <c r="L191" s="230">
        <f t="shared" si="89"/>
        <v>0</v>
      </c>
      <c r="M191" s="230">
        <v>1595</v>
      </c>
      <c r="N191" s="230"/>
      <c r="O191" s="230">
        <f t="shared" si="90"/>
        <v>1595</v>
      </c>
    </row>
    <row r="192" spans="1:16" s="1107" customFormat="1" ht="31.5" x14ac:dyDescent="0.25">
      <c r="A192" s="227"/>
      <c r="B192" s="230" t="s">
        <v>1232</v>
      </c>
      <c r="C192" s="230"/>
      <c r="D192" s="230"/>
      <c r="E192" s="230"/>
      <c r="F192" s="230"/>
      <c r="G192" s="230"/>
      <c r="H192" s="230"/>
      <c r="I192" s="230"/>
      <c r="J192" s="230">
        <f t="shared" si="87"/>
        <v>0</v>
      </c>
      <c r="K192" s="230">
        <f t="shared" si="88"/>
        <v>0</v>
      </c>
      <c r="L192" s="230">
        <f t="shared" si="89"/>
        <v>0</v>
      </c>
      <c r="M192" s="230">
        <v>212</v>
      </c>
      <c r="N192" s="230"/>
      <c r="O192" s="230">
        <f t="shared" si="90"/>
        <v>212</v>
      </c>
    </row>
    <row r="193" spans="1:16" s="1107" customFormat="1" ht="63" x14ac:dyDescent="0.25">
      <c r="A193" s="227"/>
      <c r="B193" s="230" t="s">
        <v>1235</v>
      </c>
      <c r="C193" s="230"/>
      <c r="D193" s="230"/>
      <c r="E193" s="230"/>
      <c r="F193" s="230"/>
      <c r="G193" s="230"/>
      <c r="H193" s="230"/>
      <c r="I193" s="230"/>
      <c r="J193" s="230">
        <f t="shared" si="87"/>
        <v>0</v>
      </c>
      <c r="K193" s="230">
        <f t="shared" si="88"/>
        <v>0</v>
      </c>
      <c r="L193" s="230">
        <f t="shared" si="89"/>
        <v>0</v>
      </c>
      <c r="M193" s="230">
        <v>15</v>
      </c>
      <c r="N193" s="230"/>
      <c r="O193" s="230">
        <f t="shared" si="90"/>
        <v>15</v>
      </c>
    </row>
    <row r="194" spans="1:16" s="1107" customFormat="1" ht="63.75" thickBot="1" x14ac:dyDescent="0.3">
      <c r="A194" s="227"/>
      <c r="B194" s="230" t="s">
        <v>1241</v>
      </c>
      <c r="C194" s="230"/>
      <c r="D194" s="230"/>
      <c r="E194" s="230"/>
      <c r="F194" s="230"/>
      <c r="G194" s="230"/>
      <c r="H194" s="230"/>
      <c r="I194" s="230"/>
      <c r="J194" s="230">
        <f t="shared" si="87"/>
        <v>0</v>
      </c>
      <c r="K194" s="230">
        <f t="shared" si="88"/>
        <v>0</v>
      </c>
      <c r="L194" s="230">
        <f t="shared" si="89"/>
        <v>0</v>
      </c>
      <c r="M194" s="230">
        <v>15</v>
      </c>
      <c r="N194" s="230"/>
      <c r="O194" s="230">
        <f t="shared" si="90"/>
        <v>15</v>
      </c>
    </row>
    <row r="195" spans="1:16" ht="17.25" thickTop="1" thickBot="1" x14ac:dyDescent="0.3">
      <c r="A195" s="224"/>
      <c r="B195" s="231" t="s">
        <v>1035</v>
      </c>
      <c r="C195" s="231">
        <f>+C184+C188+C191+C189+C192+C193+C194</f>
        <v>12976</v>
      </c>
      <c r="D195" s="231">
        <f t="shared" ref="D195:O195" si="91">+D184+D188+D191+D189+D192+D193+D194</f>
        <v>0</v>
      </c>
      <c r="E195" s="231">
        <f t="shared" si="91"/>
        <v>0</v>
      </c>
      <c r="F195" s="231">
        <f t="shared" si="91"/>
        <v>6061</v>
      </c>
      <c r="G195" s="231">
        <f t="shared" si="91"/>
        <v>0</v>
      </c>
      <c r="H195" s="231">
        <f t="shared" si="91"/>
        <v>0</v>
      </c>
      <c r="I195" s="231">
        <f t="shared" si="91"/>
        <v>0</v>
      </c>
      <c r="J195" s="231">
        <f t="shared" si="91"/>
        <v>19037</v>
      </c>
      <c r="K195" s="231">
        <f t="shared" si="91"/>
        <v>0</v>
      </c>
      <c r="L195" s="231">
        <f t="shared" si="91"/>
        <v>19037</v>
      </c>
      <c r="M195" s="231">
        <f t="shared" si="91"/>
        <v>229431</v>
      </c>
      <c r="N195" s="231">
        <f t="shared" si="91"/>
        <v>3583</v>
      </c>
      <c r="O195" s="231">
        <f t="shared" si="91"/>
        <v>252051</v>
      </c>
      <c r="P195" s="1104">
        <f>O196+O197</f>
        <v>252051</v>
      </c>
    </row>
    <row r="196" spans="1:16" ht="17.25" thickTop="1" thickBot="1" x14ac:dyDescent="0.3">
      <c r="A196" s="224"/>
      <c r="B196" s="231" t="s">
        <v>1036</v>
      </c>
      <c r="C196" s="231">
        <f>+C185+C188+C189</f>
        <v>12976</v>
      </c>
      <c r="D196" s="231">
        <f t="shared" ref="D196:O196" si="92">+D185+D188+D189</f>
        <v>0</v>
      </c>
      <c r="E196" s="231">
        <f t="shared" si="92"/>
        <v>0</v>
      </c>
      <c r="F196" s="231">
        <f t="shared" si="92"/>
        <v>6061</v>
      </c>
      <c r="G196" s="231">
        <f t="shared" si="92"/>
        <v>0</v>
      </c>
      <c r="H196" s="231">
        <f t="shared" si="92"/>
        <v>0</v>
      </c>
      <c r="I196" s="231">
        <f t="shared" si="92"/>
        <v>0</v>
      </c>
      <c r="J196" s="231">
        <f t="shared" si="92"/>
        <v>19037</v>
      </c>
      <c r="K196" s="231">
        <f t="shared" si="92"/>
        <v>0</v>
      </c>
      <c r="L196" s="231">
        <f t="shared" si="92"/>
        <v>19037</v>
      </c>
      <c r="M196" s="231">
        <f t="shared" si="92"/>
        <v>223897</v>
      </c>
      <c r="N196" s="231">
        <f t="shared" si="92"/>
        <v>3583</v>
      </c>
      <c r="O196" s="231">
        <f t="shared" si="92"/>
        <v>246517</v>
      </c>
    </row>
    <row r="197" spans="1:16" ht="17.25" thickTop="1" thickBot="1" x14ac:dyDescent="0.3">
      <c r="A197" s="224"/>
      <c r="B197" s="231" t="s">
        <v>1037</v>
      </c>
      <c r="C197" s="231">
        <f t="shared" ref="C197:O197" si="93">+C186+C191+C192+C193+C194</f>
        <v>0</v>
      </c>
      <c r="D197" s="231">
        <f t="shared" si="93"/>
        <v>0</v>
      </c>
      <c r="E197" s="231">
        <f t="shared" si="93"/>
        <v>0</v>
      </c>
      <c r="F197" s="231">
        <f t="shared" si="93"/>
        <v>0</v>
      </c>
      <c r="G197" s="231">
        <f t="shared" si="93"/>
        <v>0</v>
      </c>
      <c r="H197" s="231">
        <f t="shared" si="93"/>
        <v>0</v>
      </c>
      <c r="I197" s="231">
        <f t="shared" si="93"/>
        <v>0</v>
      </c>
      <c r="J197" s="231">
        <f t="shared" si="93"/>
        <v>0</v>
      </c>
      <c r="K197" s="231">
        <f t="shared" si="93"/>
        <v>0</v>
      </c>
      <c r="L197" s="231">
        <f t="shared" si="93"/>
        <v>0</v>
      </c>
      <c r="M197" s="231">
        <f t="shared" si="93"/>
        <v>5534</v>
      </c>
      <c r="N197" s="231">
        <f t="shared" si="93"/>
        <v>0</v>
      </c>
      <c r="O197" s="231">
        <f t="shared" si="93"/>
        <v>5534</v>
      </c>
    </row>
    <row r="198" spans="1:16" ht="16.5" thickTop="1" x14ac:dyDescent="0.25">
      <c r="A198" s="238" t="s">
        <v>4</v>
      </c>
      <c r="B198" s="590" t="s">
        <v>402</v>
      </c>
      <c r="C198" s="590"/>
      <c r="D198" s="590"/>
      <c r="E198" s="590"/>
      <c r="F198" s="590"/>
      <c r="G198" s="590"/>
      <c r="H198" s="590"/>
      <c r="I198" s="590"/>
      <c r="J198" s="590"/>
      <c r="K198" s="590"/>
      <c r="L198" s="590"/>
      <c r="M198" s="590"/>
      <c r="N198" s="590"/>
      <c r="O198" s="590"/>
    </row>
    <row r="199" spans="1:16" x14ac:dyDescent="0.25">
      <c r="A199" s="238"/>
      <c r="B199" s="590" t="s">
        <v>998</v>
      </c>
      <c r="C199" s="590">
        <v>11634</v>
      </c>
      <c r="D199" s="590"/>
      <c r="E199" s="590"/>
      <c r="F199" s="590">
        <v>8144</v>
      </c>
      <c r="G199" s="590"/>
      <c r="H199" s="590"/>
      <c r="I199" s="590"/>
      <c r="J199" s="591">
        <f>SUM(C199+E199+F199+H199)</f>
        <v>19778</v>
      </c>
      <c r="K199" s="591">
        <f>SUM(D199+G199+I199)</f>
        <v>0</v>
      </c>
      <c r="L199" s="591">
        <f>SUM(J199:K199)</f>
        <v>19778</v>
      </c>
      <c r="M199" s="591">
        <v>198890</v>
      </c>
      <c r="N199" s="591">
        <v>475</v>
      </c>
      <c r="O199" s="591">
        <f>SUM(L199:N199)</f>
        <v>219143</v>
      </c>
    </row>
    <row r="200" spans="1:16" s="1107" customFormat="1" x14ac:dyDescent="0.25">
      <c r="A200" s="232"/>
      <c r="B200" s="228" t="s">
        <v>1033</v>
      </c>
      <c r="C200" s="228">
        <v>11634</v>
      </c>
      <c r="D200" s="228"/>
      <c r="E200" s="228"/>
      <c r="F200" s="228">
        <v>8144</v>
      </c>
      <c r="G200" s="228"/>
      <c r="H200" s="228"/>
      <c r="I200" s="228"/>
      <c r="J200" s="229">
        <f>SUM(C200+E200+F200+H200)</f>
        <v>19778</v>
      </c>
      <c r="K200" s="229">
        <f>SUM(D200+G200+I200)</f>
        <v>0</v>
      </c>
      <c r="L200" s="229">
        <f>SUM(J200:K200)</f>
        <v>19778</v>
      </c>
      <c r="M200" s="229">
        <v>195650</v>
      </c>
      <c r="N200" s="229">
        <v>475</v>
      </c>
      <c r="O200" s="229">
        <f>SUM(L200:N200)</f>
        <v>215903</v>
      </c>
    </row>
    <row r="201" spans="1:16" s="1107" customFormat="1" x14ac:dyDescent="0.25">
      <c r="A201" s="232"/>
      <c r="B201" s="228" t="s">
        <v>1034</v>
      </c>
      <c r="C201" s="228"/>
      <c r="D201" s="228"/>
      <c r="E201" s="228"/>
      <c r="F201" s="228"/>
      <c r="G201" s="228"/>
      <c r="H201" s="228"/>
      <c r="I201" s="228"/>
      <c r="J201" s="229">
        <f>SUM(C201+E201+F201+H201)</f>
        <v>0</v>
      </c>
      <c r="K201" s="229">
        <f>SUM(D201+G201+I201)</f>
        <v>0</v>
      </c>
      <c r="L201" s="229">
        <f>SUM(J201:K201)</f>
        <v>0</v>
      </c>
      <c r="M201" s="229">
        <v>3240</v>
      </c>
      <c r="N201" s="229"/>
      <c r="O201" s="229">
        <f>SUM(L201:N201)</f>
        <v>3240</v>
      </c>
    </row>
    <row r="202" spans="1:16" s="1107" customFormat="1" x14ac:dyDescent="0.25">
      <c r="A202" s="232"/>
      <c r="B202" s="228" t="s">
        <v>160</v>
      </c>
      <c r="C202" s="230"/>
      <c r="D202" s="230"/>
      <c r="E202" s="230"/>
      <c r="F202" s="230"/>
      <c r="G202" s="230"/>
      <c r="H202" s="230"/>
      <c r="I202" s="230"/>
      <c r="J202" s="230"/>
      <c r="K202" s="230"/>
      <c r="L202" s="230"/>
      <c r="M202" s="230"/>
      <c r="N202" s="230"/>
      <c r="O202" s="230"/>
    </row>
    <row r="203" spans="1:16" s="1107" customFormat="1" x14ac:dyDescent="0.25">
      <c r="A203" s="232"/>
      <c r="B203" s="230" t="s">
        <v>1229</v>
      </c>
      <c r="C203" s="230"/>
      <c r="D203" s="230"/>
      <c r="E203" s="230"/>
      <c r="F203" s="230"/>
      <c r="G203" s="230"/>
      <c r="H203" s="230"/>
      <c r="I203" s="230"/>
      <c r="J203" s="230">
        <f t="shared" ref="J203:J207" si="94">SUM(C203+E203+F203+H203)</f>
        <v>0</v>
      </c>
      <c r="K203" s="230">
        <f t="shared" ref="K203:K207" si="95">SUM(D203+G203+I203)</f>
        <v>0</v>
      </c>
      <c r="L203" s="230">
        <f t="shared" ref="L203:L207" si="96">SUM(J203:K203)</f>
        <v>0</v>
      </c>
      <c r="M203" s="230">
        <v>5</v>
      </c>
      <c r="N203" s="230"/>
      <c r="O203" s="230">
        <f t="shared" ref="O203:O207" si="97">SUM(L203:N203)</f>
        <v>5</v>
      </c>
    </row>
    <row r="204" spans="1:16" s="1107" customFormat="1" ht="47.25" x14ac:dyDescent="0.25">
      <c r="A204" s="232"/>
      <c r="B204" s="230" t="s">
        <v>1230</v>
      </c>
      <c r="C204" s="230"/>
      <c r="D204" s="230"/>
      <c r="E204" s="230"/>
      <c r="F204" s="230"/>
      <c r="G204" s="230"/>
      <c r="H204" s="230"/>
      <c r="I204" s="230"/>
      <c r="J204" s="230">
        <f t="shared" si="94"/>
        <v>0</v>
      </c>
      <c r="K204" s="230">
        <f t="shared" si="95"/>
        <v>0</v>
      </c>
      <c r="L204" s="230">
        <f t="shared" si="96"/>
        <v>0</v>
      </c>
      <c r="M204" s="230">
        <v>3786</v>
      </c>
      <c r="N204" s="230"/>
      <c r="O204" s="230">
        <f t="shared" si="97"/>
        <v>3786</v>
      </c>
    </row>
    <row r="205" spans="1:16" s="1107" customFormat="1" x14ac:dyDescent="0.25">
      <c r="A205" s="232"/>
      <c r="B205" s="228" t="s">
        <v>161</v>
      </c>
      <c r="C205" s="230"/>
      <c r="D205" s="230"/>
      <c r="E205" s="230"/>
      <c r="F205" s="230"/>
      <c r="G205" s="230"/>
      <c r="H205" s="230"/>
      <c r="I205" s="230"/>
      <c r="J205" s="230"/>
      <c r="K205" s="230"/>
      <c r="L205" s="230"/>
      <c r="M205" s="230"/>
      <c r="N205" s="230"/>
      <c r="O205" s="230"/>
    </row>
    <row r="206" spans="1:16" s="1107" customFormat="1" x14ac:dyDescent="0.25">
      <c r="A206" s="232"/>
      <c r="B206" s="230" t="s">
        <v>1237</v>
      </c>
      <c r="C206" s="230"/>
      <c r="D206" s="230"/>
      <c r="E206" s="230"/>
      <c r="F206" s="230"/>
      <c r="G206" s="230"/>
      <c r="H206" s="230"/>
      <c r="I206" s="230"/>
      <c r="J206" s="230">
        <f t="shared" si="94"/>
        <v>0</v>
      </c>
      <c r="K206" s="230">
        <f t="shared" si="95"/>
        <v>0</v>
      </c>
      <c r="L206" s="230">
        <f t="shared" si="96"/>
        <v>0</v>
      </c>
      <c r="M206" s="230">
        <v>1390</v>
      </c>
      <c r="N206" s="230"/>
      <c r="O206" s="230">
        <f t="shared" si="97"/>
        <v>1390</v>
      </c>
    </row>
    <row r="207" spans="1:16" s="1107" customFormat="1" ht="32.25" thickBot="1" x14ac:dyDescent="0.3">
      <c r="A207" s="232"/>
      <c r="B207" s="230" t="s">
        <v>1232</v>
      </c>
      <c r="C207" s="230"/>
      <c r="D207" s="230"/>
      <c r="E207" s="230"/>
      <c r="F207" s="230"/>
      <c r="G207" s="230"/>
      <c r="H207" s="230"/>
      <c r="I207" s="230"/>
      <c r="J207" s="230">
        <f t="shared" si="94"/>
        <v>0</v>
      </c>
      <c r="K207" s="230">
        <f t="shared" si="95"/>
        <v>0</v>
      </c>
      <c r="L207" s="230">
        <f t="shared" si="96"/>
        <v>0</v>
      </c>
      <c r="M207" s="230">
        <v>186</v>
      </c>
      <c r="N207" s="230"/>
      <c r="O207" s="230">
        <f t="shared" si="97"/>
        <v>186</v>
      </c>
    </row>
    <row r="208" spans="1:16" ht="17.25" thickTop="1" thickBot="1" x14ac:dyDescent="0.3">
      <c r="A208" s="224"/>
      <c r="B208" s="231" t="s">
        <v>1035</v>
      </c>
      <c r="C208" s="231">
        <f>+C199+C203+C206+C204+C207</f>
        <v>11634</v>
      </c>
      <c r="D208" s="231">
        <f t="shared" ref="D208:O208" si="98">+D199+D203+D206+D204+D207</f>
        <v>0</v>
      </c>
      <c r="E208" s="231">
        <f t="shared" si="98"/>
        <v>0</v>
      </c>
      <c r="F208" s="231">
        <f t="shared" si="98"/>
        <v>8144</v>
      </c>
      <c r="G208" s="231">
        <f t="shared" si="98"/>
        <v>0</v>
      </c>
      <c r="H208" s="231">
        <f t="shared" si="98"/>
        <v>0</v>
      </c>
      <c r="I208" s="231">
        <f t="shared" si="98"/>
        <v>0</v>
      </c>
      <c r="J208" s="231">
        <f t="shared" si="98"/>
        <v>19778</v>
      </c>
      <c r="K208" s="231">
        <f t="shared" si="98"/>
        <v>0</v>
      </c>
      <c r="L208" s="231">
        <f t="shared" si="98"/>
        <v>19778</v>
      </c>
      <c r="M208" s="231">
        <f t="shared" si="98"/>
        <v>204257</v>
      </c>
      <c r="N208" s="231">
        <f t="shared" si="98"/>
        <v>475</v>
      </c>
      <c r="O208" s="231">
        <f t="shared" si="98"/>
        <v>224510</v>
      </c>
      <c r="P208" s="1104">
        <f>O209+O210</f>
        <v>224510</v>
      </c>
    </row>
    <row r="209" spans="1:16" ht="17.25" thickTop="1" thickBot="1" x14ac:dyDescent="0.3">
      <c r="A209" s="224"/>
      <c r="B209" s="231" t="s">
        <v>1036</v>
      </c>
      <c r="C209" s="231">
        <f>+C200+C203+C204</f>
        <v>11634</v>
      </c>
      <c r="D209" s="231">
        <f t="shared" ref="D209:O209" si="99">+D200+D203+D204</f>
        <v>0</v>
      </c>
      <c r="E209" s="231">
        <f t="shared" si="99"/>
        <v>0</v>
      </c>
      <c r="F209" s="231">
        <f t="shared" si="99"/>
        <v>8144</v>
      </c>
      <c r="G209" s="231">
        <f t="shared" si="99"/>
        <v>0</v>
      </c>
      <c r="H209" s="231">
        <f t="shared" si="99"/>
        <v>0</v>
      </c>
      <c r="I209" s="231">
        <f t="shared" si="99"/>
        <v>0</v>
      </c>
      <c r="J209" s="231">
        <f t="shared" si="99"/>
        <v>19778</v>
      </c>
      <c r="K209" s="231">
        <f t="shared" si="99"/>
        <v>0</v>
      </c>
      <c r="L209" s="231">
        <f t="shared" si="99"/>
        <v>19778</v>
      </c>
      <c r="M209" s="231">
        <f t="shared" si="99"/>
        <v>199441</v>
      </c>
      <c r="N209" s="231">
        <f t="shared" si="99"/>
        <v>475</v>
      </c>
      <c r="O209" s="231">
        <f t="shared" si="99"/>
        <v>219694</v>
      </c>
    </row>
    <row r="210" spans="1:16" ht="17.25" thickTop="1" thickBot="1" x14ac:dyDescent="0.3">
      <c r="A210" s="224"/>
      <c r="B210" s="231" t="s">
        <v>1037</v>
      </c>
      <c r="C210" s="231">
        <f t="shared" ref="C210:O210" si="100">+C201+C206+C207</f>
        <v>0</v>
      </c>
      <c r="D210" s="231">
        <f t="shared" si="100"/>
        <v>0</v>
      </c>
      <c r="E210" s="231">
        <f t="shared" si="100"/>
        <v>0</v>
      </c>
      <c r="F210" s="231">
        <f t="shared" si="100"/>
        <v>0</v>
      </c>
      <c r="G210" s="231">
        <f t="shared" si="100"/>
        <v>0</v>
      </c>
      <c r="H210" s="231">
        <f t="shared" si="100"/>
        <v>0</v>
      </c>
      <c r="I210" s="231">
        <f t="shared" si="100"/>
        <v>0</v>
      </c>
      <c r="J210" s="231">
        <f t="shared" si="100"/>
        <v>0</v>
      </c>
      <c r="K210" s="231">
        <f t="shared" si="100"/>
        <v>0</v>
      </c>
      <c r="L210" s="231">
        <f t="shared" si="100"/>
        <v>0</v>
      </c>
      <c r="M210" s="231">
        <f t="shared" si="100"/>
        <v>4816</v>
      </c>
      <c r="N210" s="231">
        <f t="shared" si="100"/>
        <v>0</v>
      </c>
      <c r="O210" s="231">
        <f t="shared" si="100"/>
        <v>4816</v>
      </c>
    </row>
    <row r="211" spans="1:16" ht="16.5" thickTop="1" x14ac:dyDescent="0.25">
      <c r="A211" s="226" t="s">
        <v>5</v>
      </c>
      <c r="B211" s="590" t="s">
        <v>31</v>
      </c>
      <c r="C211" s="590"/>
      <c r="D211" s="590"/>
      <c r="E211" s="590"/>
      <c r="F211" s="590"/>
      <c r="G211" s="590"/>
      <c r="H211" s="590"/>
      <c r="I211" s="590"/>
      <c r="J211" s="590"/>
      <c r="K211" s="590"/>
      <c r="L211" s="590"/>
      <c r="M211" s="590"/>
      <c r="N211" s="590"/>
      <c r="O211" s="590"/>
    </row>
    <row r="212" spans="1:16" x14ac:dyDescent="0.25">
      <c r="A212" s="226"/>
      <c r="B212" s="591" t="s">
        <v>998</v>
      </c>
      <c r="C212" s="591">
        <v>11964</v>
      </c>
      <c r="D212" s="591"/>
      <c r="E212" s="591"/>
      <c r="F212" s="591">
        <v>8452</v>
      </c>
      <c r="G212" s="591"/>
      <c r="H212" s="591"/>
      <c r="I212" s="591"/>
      <c r="J212" s="591">
        <f>SUM(C212+E212+F212+H212)</f>
        <v>20416</v>
      </c>
      <c r="K212" s="591">
        <f>SUM(D212+G212+I212)</f>
        <v>0</v>
      </c>
      <c r="L212" s="591">
        <f>SUM(J212:K212)</f>
        <v>20416</v>
      </c>
      <c r="M212" s="591">
        <v>243367</v>
      </c>
      <c r="N212" s="591">
        <v>2947</v>
      </c>
      <c r="O212" s="591">
        <f>SUM(L212:N212)</f>
        <v>266730</v>
      </c>
    </row>
    <row r="213" spans="1:16" s="1107" customFormat="1" x14ac:dyDescent="0.25">
      <c r="A213" s="232"/>
      <c r="B213" s="233" t="s">
        <v>1033</v>
      </c>
      <c r="C213" s="233">
        <v>11964</v>
      </c>
      <c r="D213" s="233"/>
      <c r="E213" s="233"/>
      <c r="F213" s="233">
        <v>8452</v>
      </c>
      <c r="G213" s="233"/>
      <c r="H213" s="233"/>
      <c r="I213" s="233"/>
      <c r="J213" s="234">
        <f>SUM(C213+E213+F213+H213)</f>
        <v>20416</v>
      </c>
      <c r="K213" s="234">
        <f>SUM(D213+G213+I213)</f>
        <v>0</v>
      </c>
      <c r="L213" s="234">
        <f>SUM(J213:K213)</f>
        <v>20416</v>
      </c>
      <c r="M213" s="234">
        <v>239629</v>
      </c>
      <c r="N213" s="234">
        <v>2947</v>
      </c>
      <c r="O213" s="234">
        <f>SUM(L213:N213)</f>
        <v>262992</v>
      </c>
    </row>
    <row r="214" spans="1:16" s="1107" customFormat="1" x14ac:dyDescent="0.25">
      <c r="A214" s="227"/>
      <c r="B214" s="228" t="s">
        <v>1034</v>
      </c>
      <c r="C214" s="228"/>
      <c r="D214" s="228"/>
      <c r="E214" s="228"/>
      <c r="F214" s="228"/>
      <c r="G214" s="228"/>
      <c r="H214" s="228"/>
      <c r="I214" s="228"/>
      <c r="J214" s="229">
        <f>SUM(C214+E214+F214+H214)</f>
        <v>0</v>
      </c>
      <c r="K214" s="229">
        <f>SUM(D214+G214+I214)</f>
        <v>0</v>
      </c>
      <c r="L214" s="229">
        <f>SUM(J214:K214)</f>
        <v>0</v>
      </c>
      <c r="M214" s="229">
        <v>3738</v>
      </c>
      <c r="N214" s="229"/>
      <c r="O214" s="229">
        <f>SUM(L214:N214)</f>
        <v>3738</v>
      </c>
    </row>
    <row r="215" spans="1:16" s="1107" customFormat="1" x14ac:dyDescent="0.25">
      <c r="A215" s="227"/>
      <c r="B215" s="228" t="s">
        <v>160</v>
      </c>
      <c r="C215" s="230"/>
      <c r="D215" s="230"/>
      <c r="E215" s="230"/>
      <c r="F215" s="230"/>
      <c r="G215" s="230"/>
      <c r="H215" s="230"/>
      <c r="I215" s="230"/>
      <c r="J215" s="230"/>
      <c r="K215" s="230"/>
      <c r="L215" s="230"/>
      <c r="M215" s="230"/>
      <c r="N215" s="230"/>
      <c r="O215" s="230"/>
    </row>
    <row r="216" spans="1:16" s="1107" customFormat="1" x14ac:dyDescent="0.25">
      <c r="A216" s="227"/>
      <c r="B216" s="230" t="s">
        <v>1229</v>
      </c>
      <c r="C216" s="230"/>
      <c r="D216" s="230"/>
      <c r="E216" s="230"/>
      <c r="F216" s="230"/>
      <c r="G216" s="230"/>
      <c r="H216" s="230"/>
      <c r="I216" s="230"/>
      <c r="J216" s="230">
        <f t="shared" ref="J216:J223" si="101">SUM(C216+E216+F216+H216)</f>
        <v>0</v>
      </c>
      <c r="K216" s="230">
        <f t="shared" ref="K216:K223" si="102">SUM(D216+G216+I216)</f>
        <v>0</v>
      </c>
      <c r="L216" s="230">
        <f t="shared" ref="L216:L218" si="103">SUM(J216:K216)</f>
        <v>0</v>
      </c>
      <c r="M216" s="230">
        <v>18</v>
      </c>
      <c r="N216" s="230"/>
      <c r="O216" s="230">
        <f t="shared" ref="O216:O223" si="104">SUM(L216:N216)</f>
        <v>18</v>
      </c>
    </row>
    <row r="217" spans="1:16" s="1107" customFormat="1" x14ac:dyDescent="0.25">
      <c r="A217" s="227"/>
      <c r="B217" s="230" t="s">
        <v>1236</v>
      </c>
      <c r="C217" s="230"/>
      <c r="D217" s="230"/>
      <c r="E217" s="230"/>
      <c r="F217" s="230"/>
      <c r="G217" s="230"/>
      <c r="H217" s="230"/>
      <c r="I217" s="230"/>
      <c r="J217" s="230">
        <f t="shared" si="101"/>
        <v>0</v>
      </c>
      <c r="K217" s="230">
        <f t="shared" si="102"/>
        <v>0</v>
      </c>
      <c r="L217" s="230">
        <f t="shared" si="103"/>
        <v>0</v>
      </c>
      <c r="M217" s="230">
        <v>115</v>
      </c>
      <c r="N217" s="230"/>
      <c r="O217" s="230">
        <f t="shared" si="104"/>
        <v>115</v>
      </c>
    </row>
    <row r="218" spans="1:16" s="1107" customFormat="1" ht="47.25" x14ac:dyDescent="0.25">
      <c r="A218" s="227"/>
      <c r="B218" s="230" t="s">
        <v>1230</v>
      </c>
      <c r="C218" s="230"/>
      <c r="D218" s="230"/>
      <c r="E218" s="230"/>
      <c r="F218" s="230"/>
      <c r="G218" s="230"/>
      <c r="H218" s="230"/>
      <c r="I218" s="230"/>
      <c r="J218" s="230">
        <f t="shared" si="101"/>
        <v>0</v>
      </c>
      <c r="K218" s="230">
        <f t="shared" si="102"/>
        <v>0</v>
      </c>
      <c r="L218" s="230">
        <f t="shared" si="103"/>
        <v>0</v>
      </c>
      <c r="M218" s="230">
        <v>2098</v>
      </c>
      <c r="N218" s="230"/>
      <c r="O218" s="230">
        <f t="shared" si="104"/>
        <v>2098</v>
      </c>
    </row>
    <row r="219" spans="1:16" s="1107" customFormat="1" x14ac:dyDescent="0.25">
      <c r="A219" s="227"/>
      <c r="B219" s="228" t="s">
        <v>161</v>
      </c>
      <c r="C219" s="230"/>
      <c r="D219" s="230"/>
      <c r="E219" s="230"/>
      <c r="F219" s="230"/>
      <c r="G219" s="230"/>
      <c r="H219" s="230"/>
      <c r="I219" s="230"/>
      <c r="J219" s="230"/>
      <c r="K219" s="230"/>
      <c r="L219" s="230"/>
      <c r="M219" s="230"/>
      <c r="N219" s="230"/>
      <c r="O219" s="230"/>
    </row>
    <row r="220" spans="1:16" s="1107" customFormat="1" x14ac:dyDescent="0.25">
      <c r="A220" s="227"/>
      <c r="B220" s="230" t="s">
        <v>1237</v>
      </c>
      <c r="C220" s="230"/>
      <c r="D220" s="230"/>
      <c r="E220" s="230"/>
      <c r="F220" s="230"/>
      <c r="G220" s="230"/>
      <c r="H220" s="230"/>
      <c r="I220" s="230"/>
      <c r="J220" s="230">
        <f t="shared" si="101"/>
        <v>0</v>
      </c>
      <c r="K220" s="230">
        <f t="shared" si="102"/>
        <v>0</v>
      </c>
      <c r="L220" s="230">
        <f>SUM(J220:K220)</f>
        <v>0</v>
      </c>
      <c r="M220" s="230">
        <v>1549</v>
      </c>
      <c r="N220" s="230"/>
      <c r="O220" s="230">
        <f t="shared" si="104"/>
        <v>1549</v>
      </c>
    </row>
    <row r="221" spans="1:16" s="1107" customFormat="1" ht="31.5" x14ac:dyDescent="0.25">
      <c r="A221" s="227"/>
      <c r="B221" s="230" t="s">
        <v>1232</v>
      </c>
      <c r="C221" s="230"/>
      <c r="D221" s="230"/>
      <c r="E221" s="230"/>
      <c r="F221" s="230"/>
      <c r="G221" s="230"/>
      <c r="H221" s="230"/>
      <c r="I221" s="230"/>
      <c r="J221" s="230">
        <f t="shared" si="101"/>
        <v>0</v>
      </c>
      <c r="K221" s="230">
        <f t="shared" si="102"/>
        <v>0</v>
      </c>
      <c r="L221" s="230">
        <f>SUM(J221:K221)</f>
        <v>0</v>
      </c>
      <c r="M221" s="230">
        <v>211</v>
      </c>
      <c r="N221" s="230"/>
      <c r="O221" s="230">
        <f t="shared" si="104"/>
        <v>211</v>
      </c>
    </row>
    <row r="222" spans="1:16" s="1107" customFormat="1" ht="63" x14ac:dyDescent="0.25">
      <c r="A222" s="227"/>
      <c r="B222" s="230" t="s">
        <v>1235</v>
      </c>
      <c r="C222" s="230"/>
      <c r="D222" s="230"/>
      <c r="E222" s="230"/>
      <c r="F222" s="230"/>
      <c r="G222" s="230"/>
      <c r="H222" s="230"/>
      <c r="I222" s="230"/>
      <c r="J222" s="230">
        <f t="shared" si="101"/>
        <v>0</v>
      </c>
      <c r="K222" s="230">
        <f t="shared" si="102"/>
        <v>0</v>
      </c>
      <c r="L222" s="230">
        <f t="shared" ref="L222:L223" si="105">SUM(J222:K222)</f>
        <v>0</v>
      </c>
      <c r="M222" s="230">
        <v>15</v>
      </c>
      <c r="N222" s="230"/>
      <c r="O222" s="230">
        <f t="shared" si="104"/>
        <v>15</v>
      </c>
    </row>
    <row r="223" spans="1:16" s="1107" customFormat="1" ht="63.75" thickBot="1" x14ac:dyDescent="0.3">
      <c r="A223" s="227"/>
      <c r="B223" s="230" t="s">
        <v>1242</v>
      </c>
      <c r="C223" s="230"/>
      <c r="D223" s="230"/>
      <c r="E223" s="230"/>
      <c r="F223" s="230"/>
      <c r="G223" s="230"/>
      <c r="H223" s="230"/>
      <c r="I223" s="230"/>
      <c r="J223" s="230">
        <f t="shared" si="101"/>
        <v>0</v>
      </c>
      <c r="K223" s="230">
        <f t="shared" si="102"/>
        <v>0</v>
      </c>
      <c r="L223" s="230">
        <f t="shared" si="105"/>
        <v>0</v>
      </c>
      <c r="M223" s="230">
        <v>15</v>
      </c>
      <c r="N223" s="230"/>
      <c r="O223" s="230">
        <f t="shared" si="104"/>
        <v>15</v>
      </c>
    </row>
    <row r="224" spans="1:16" ht="17.25" thickTop="1" thickBot="1" x14ac:dyDescent="0.3">
      <c r="A224" s="224"/>
      <c r="B224" s="231" t="s">
        <v>1035</v>
      </c>
      <c r="C224" s="231">
        <f>+C212+C216+C220+C217+C218+C221+C222+C223</f>
        <v>11964</v>
      </c>
      <c r="D224" s="231">
        <f t="shared" ref="D224:O224" si="106">+D212+D216+D220+D217+D218+D221+D222+D223</f>
        <v>0</v>
      </c>
      <c r="E224" s="231">
        <f t="shared" si="106"/>
        <v>0</v>
      </c>
      <c r="F224" s="231">
        <f t="shared" si="106"/>
        <v>8452</v>
      </c>
      <c r="G224" s="231">
        <f t="shared" si="106"/>
        <v>0</v>
      </c>
      <c r="H224" s="231">
        <f t="shared" si="106"/>
        <v>0</v>
      </c>
      <c r="I224" s="231">
        <f t="shared" si="106"/>
        <v>0</v>
      </c>
      <c r="J224" s="231">
        <f t="shared" si="106"/>
        <v>20416</v>
      </c>
      <c r="K224" s="231">
        <f t="shared" si="106"/>
        <v>0</v>
      </c>
      <c r="L224" s="231">
        <f t="shared" si="106"/>
        <v>20416</v>
      </c>
      <c r="M224" s="231">
        <f t="shared" si="106"/>
        <v>247388</v>
      </c>
      <c r="N224" s="231">
        <f t="shared" si="106"/>
        <v>2947</v>
      </c>
      <c r="O224" s="231">
        <f t="shared" si="106"/>
        <v>270751</v>
      </c>
      <c r="P224" s="1104">
        <f>O225+O226</f>
        <v>270751</v>
      </c>
    </row>
    <row r="225" spans="1:16" ht="17.25" thickTop="1" thickBot="1" x14ac:dyDescent="0.3">
      <c r="A225" s="224"/>
      <c r="B225" s="231" t="s">
        <v>1036</v>
      </c>
      <c r="C225" s="231">
        <f>+C213+C216+C217+C218</f>
        <v>11964</v>
      </c>
      <c r="D225" s="231">
        <f t="shared" ref="D225:O225" si="107">+D213+D216+D217+D218</f>
        <v>0</v>
      </c>
      <c r="E225" s="231">
        <f t="shared" si="107"/>
        <v>0</v>
      </c>
      <c r="F225" s="231">
        <f t="shared" si="107"/>
        <v>8452</v>
      </c>
      <c r="G225" s="231">
        <f t="shared" si="107"/>
        <v>0</v>
      </c>
      <c r="H225" s="231">
        <f t="shared" si="107"/>
        <v>0</v>
      </c>
      <c r="I225" s="231">
        <f t="shared" si="107"/>
        <v>0</v>
      </c>
      <c r="J225" s="231">
        <f t="shared" si="107"/>
        <v>20416</v>
      </c>
      <c r="K225" s="231">
        <f t="shared" si="107"/>
        <v>0</v>
      </c>
      <c r="L225" s="231">
        <f t="shared" si="107"/>
        <v>20416</v>
      </c>
      <c r="M225" s="231">
        <f t="shared" si="107"/>
        <v>241860</v>
      </c>
      <c r="N225" s="231">
        <f t="shared" si="107"/>
        <v>2947</v>
      </c>
      <c r="O225" s="231">
        <f t="shared" si="107"/>
        <v>265223</v>
      </c>
    </row>
    <row r="226" spans="1:16" ht="17.25" thickTop="1" thickBot="1" x14ac:dyDescent="0.3">
      <c r="A226" s="224"/>
      <c r="B226" s="231" t="s">
        <v>1037</v>
      </c>
      <c r="C226" s="231">
        <f t="shared" ref="C226:O226" si="108">+C214+C220+C221+C222+C223</f>
        <v>0</v>
      </c>
      <c r="D226" s="231">
        <f t="shared" si="108"/>
        <v>0</v>
      </c>
      <c r="E226" s="231">
        <f t="shared" si="108"/>
        <v>0</v>
      </c>
      <c r="F226" s="231">
        <f t="shared" si="108"/>
        <v>0</v>
      </c>
      <c r="G226" s="231">
        <f t="shared" si="108"/>
        <v>0</v>
      </c>
      <c r="H226" s="231">
        <f t="shared" si="108"/>
        <v>0</v>
      </c>
      <c r="I226" s="231">
        <f t="shared" si="108"/>
        <v>0</v>
      </c>
      <c r="J226" s="231">
        <f t="shared" si="108"/>
        <v>0</v>
      </c>
      <c r="K226" s="231">
        <f t="shared" si="108"/>
        <v>0</v>
      </c>
      <c r="L226" s="231">
        <f t="shared" si="108"/>
        <v>0</v>
      </c>
      <c r="M226" s="231">
        <f t="shared" si="108"/>
        <v>5528</v>
      </c>
      <c r="N226" s="231">
        <f t="shared" si="108"/>
        <v>0</v>
      </c>
      <c r="O226" s="231">
        <f t="shared" si="108"/>
        <v>5528</v>
      </c>
    </row>
    <row r="227" spans="1:16" ht="16.5" thickTop="1" x14ac:dyDescent="0.25">
      <c r="A227" s="238" t="s">
        <v>6</v>
      </c>
      <c r="B227" s="590" t="s">
        <v>514</v>
      </c>
      <c r="C227" s="590"/>
      <c r="D227" s="590"/>
      <c r="E227" s="590"/>
      <c r="F227" s="590"/>
      <c r="G227" s="590"/>
      <c r="H227" s="590"/>
      <c r="I227" s="590"/>
      <c r="J227" s="595"/>
      <c r="K227" s="590"/>
      <c r="L227" s="590"/>
      <c r="M227" s="590"/>
      <c r="N227" s="590"/>
      <c r="O227" s="590"/>
    </row>
    <row r="228" spans="1:16" x14ac:dyDescent="0.25">
      <c r="A228" s="238"/>
      <c r="B228" s="590" t="s">
        <v>998</v>
      </c>
      <c r="C228" s="590">
        <v>10262</v>
      </c>
      <c r="D228" s="590"/>
      <c r="E228" s="590"/>
      <c r="F228" s="590">
        <v>5536</v>
      </c>
      <c r="G228" s="590"/>
      <c r="H228" s="590"/>
      <c r="I228" s="590"/>
      <c r="J228" s="596">
        <f>SUM(C228+E228+F228+H228)</f>
        <v>15798</v>
      </c>
      <c r="K228" s="591">
        <f>SUM(D228+G228+I228)</f>
        <v>0</v>
      </c>
      <c r="L228" s="591">
        <f>SUM(J228:K228)</f>
        <v>15798</v>
      </c>
      <c r="M228" s="591">
        <v>198629</v>
      </c>
      <c r="N228" s="591">
        <v>1992</v>
      </c>
      <c r="O228" s="591">
        <f>SUM(L228:N228)</f>
        <v>216419</v>
      </c>
    </row>
    <row r="229" spans="1:16" s="1107" customFormat="1" x14ac:dyDescent="0.25">
      <c r="A229" s="232"/>
      <c r="B229" s="228" t="s">
        <v>1033</v>
      </c>
      <c r="C229" s="228">
        <v>10262</v>
      </c>
      <c r="D229" s="228"/>
      <c r="E229" s="228"/>
      <c r="F229" s="228">
        <v>5536</v>
      </c>
      <c r="G229" s="228"/>
      <c r="H229" s="228"/>
      <c r="I229" s="228"/>
      <c r="J229" s="239">
        <f>SUM(C229+E229+F229+H229)</f>
        <v>15798</v>
      </c>
      <c r="K229" s="229">
        <f>SUM(D229+G229+I229)</f>
        <v>0</v>
      </c>
      <c r="L229" s="229">
        <f>SUM(J229:K229)</f>
        <v>15798</v>
      </c>
      <c r="M229" s="229">
        <v>195619</v>
      </c>
      <c r="N229" s="229">
        <v>1992</v>
      </c>
      <c r="O229" s="229">
        <f>SUM(L229:N229)</f>
        <v>213409</v>
      </c>
    </row>
    <row r="230" spans="1:16" s="1107" customFormat="1" x14ac:dyDescent="0.25">
      <c r="A230" s="232"/>
      <c r="B230" s="228" t="s">
        <v>1034</v>
      </c>
      <c r="C230" s="228"/>
      <c r="D230" s="228"/>
      <c r="E230" s="228"/>
      <c r="F230" s="228"/>
      <c r="G230" s="228"/>
      <c r="H230" s="228"/>
      <c r="I230" s="228"/>
      <c r="J230" s="239">
        <f>SUM(C230+E230+F230+H230)</f>
        <v>0</v>
      </c>
      <c r="K230" s="229">
        <f>SUM(D230+G230+I230)</f>
        <v>0</v>
      </c>
      <c r="L230" s="229">
        <f>SUM(J230:K230)</f>
        <v>0</v>
      </c>
      <c r="M230" s="229">
        <v>3010</v>
      </c>
      <c r="N230" s="229"/>
      <c r="O230" s="229">
        <f>SUM(L230:N230)</f>
        <v>3010</v>
      </c>
    </row>
    <row r="231" spans="1:16" s="1107" customFormat="1" x14ac:dyDescent="0.25">
      <c r="A231" s="232"/>
      <c r="B231" s="228" t="s">
        <v>160</v>
      </c>
      <c r="C231" s="230"/>
      <c r="D231" s="230"/>
      <c r="E231" s="230"/>
      <c r="F231" s="230"/>
      <c r="G231" s="230"/>
      <c r="H231" s="230"/>
      <c r="I231" s="230"/>
      <c r="J231" s="240"/>
      <c r="K231" s="230"/>
      <c r="L231" s="230"/>
      <c r="M231" s="230"/>
      <c r="N231" s="230"/>
      <c r="O231" s="230"/>
    </row>
    <row r="232" spans="1:16" s="1107" customFormat="1" x14ac:dyDescent="0.25">
      <c r="A232" s="232"/>
      <c r="B232" s="230" t="s">
        <v>1229</v>
      </c>
      <c r="C232" s="230"/>
      <c r="D232" s="230"/>
      <c r="E232" s="230"/>
      <c r="F232" s="230"/>
      <c r="G232" s="230"/>
      <c r="H232" s="230"/>
      <c r="I232" s="230"/>
      <c r="J232" s="240">
        <f t="shared" ref="J232:J238" si="109">SUM(C232+E232+F232+H232)</f>
        <v>0</v>
      </c>
      <c r="K232" s="230">
        <f t="shared" ref="K232:K238" si="110">SUM(D232+G232+I232)</f>
        <v>0</v>
      </c>
      <c r="L232" s="230">
        <f t="shared" ref="L232:L238" si="111">SUM(J232:K232)</f>
        <v>0</v>
      </c>
      <c r="M232" s="230">
        <v>33</v>
      </c>
      <c r="N232" s="230"/>
      <c r="O232" s="230">
        <f t="shared" ref="O232:O238" si="112">SUM(L232:N232)</f>
        <v>33</v>
      </c>
    </row>
    <row r="233" spans="1:16" s="1107" customFormat="1" ht="47.25" x14ac:dyDescent="0.25">
      <c r="A233" s="232"/>
      <c r="B233" s="230" t="s">
        <v>1230</v>
      </c>
      <c r="C233" s="230"/>
      <c r="D233" s="230"/>
      <c r="E233" s="230"/>
      <c r="F233" s="230"/>
      <c r="G233" s="230"/>
      <c r="H233" s="230"/>
      <c r="I233" s="230"/>
      <c r="J233" s="240">
        <f t="shared" si="109"/>
        <v>0</v>
      </c>
      <c r="K233" s="230">
        <f t="shared" si="110"/>
        <v>0</v>
      </c>
      <c r="L233" s="230">
        <f t="shared" si="111"/>
        <v>0</v>
      </c>
      <c r="M233" s="230">
        <v>55</v>
      </c>
      <c r="N233" s="230"/>
      <c r="O233" s="230">
        <f t="shared" si="112"/>
        <v>55</v>
      </c>
    </row>
    <row r="234" spans="1:16" s="1107" customFormat="1" x14ac:dyDescent="0.25">
      <c r="A234" s="232"/>
      <c r="B234" s="228" t="s">
        <v>161</v>
      </c>
      <c r="C234" s="230"/>
      <c r="D234" s="230"/>
      <c r="E234" s="230"/>
      <c r="F234" s="230"/>
      <c r="G234" s="230"/>
      <c r="H234" s="230"/>
      <c r="I234" s="230"/>
      <c r="J234" s="240"/>
      <c r="K234" s="230"/>
      <c r="L234" s="230"/>
      <c r="M234" s="230"/>
      <c r="N234" s="230"/>
      <c r="O234" s="230"/>
    </row>
    <row r="235" spans="1:16" s="1107" customFormat="1" x14ac:dyDescent="0.25">
      <c r="A235" s="232"/>
      <c r="B235" s="230" t="s">
        <v>1237</v>
      </c>
      <c r="C235" s="230"/>
      <c r="D235" s="230"/>
      <c r="E235" s="230"/>
      <c r="F235" s="230"/>
      <c r="G235" s="230"/>
      <c r="H235" s="230"/>
      <c r="I235" s="230"/>
      <c r="J235" s="240">
        <f t="shared" si="109"/>
        <v>0</v>
      </c>
      <c r="K235" s="230">
        <f t="shared" si="110"/>
        <v>0</v>
      </c>
      <c r="L235" s="230">
        <f t="shared" si="111"/>
        <v>0</v>
      </c>
      <c r="M235" s="230">
        <v>1244</v>
      </c>
      <c r="N235" s="230"/>
      <c r="O235" s="230">
        <f t="shared" si="112"/>
        <v>1244</v>
      </c>
    </row>
    <row r="236" spans="1:16" s="1107" customFormat="1" ht="31.5" x14ac:dyDescent="0.25">
      <c r="A236" s="232"/>
      <c r="B236" s="230" t="s">
        <v>1232</v>
      </c>
      <c r="C236" s="230"/>
      <c r="D236" s="230"/>
      <c r="E236" s="230"/>
      <c r="F236" s="230"/>
      <c r="G236" s="230"/>
      <c r="H236" s="230"/>
      <c r="I236" s="230"/>
      <c r="J236" s="240">
        <f t="shared" si="109"/>
        <v>0</v>
      </c>
      <c r="K236" s="230">
        <f t="shared" si="110"/>
        <v>0</v>
      </c>
      <c r="L236" s="230">
        <f t="shared" si="111"/>
        <v>0</v>
      </c>
      <c r="M236" s="230">
        <v>133</v>
      </c>
      <c r="N236" s="230"/>
      <c r="O236" s="230">
        <f t="shared" si="112"/>
        <v>133</v>
      </c>
    </row>
    <row r="237" spans="1:16" s="1107" customFormat="1" ht="63" x14ac:dyDescent="0.25">
      <c r="A237" s="232"/>
      <c r="B237" s="230" t="s">
        <v>1235</v>
      </c>
      <c r="C237" s="230"/>
      <c r="D237" s="230"/>
      <c r="E237" s="230"/>
      <c r="F237" s="230"/>
      <c r="G237" s="230"/>
      <c r="H237" s="230"/>
      <c r="I237" s="230"/>
      <c r="J237" s="240">
        <f t="shared" si="109"/>
        <v>0</v>
      </c>
      <c r="K237" s="230">
        <f t="shared" si="110"/>
        <v>0</v>
      </c>
      <c r="L237" s="230">
        <f t="shared" si="111"/>
        <v>0</v>
      </c>
      <c r="M237" s="230">
        <v>25</v>
      </c>
      <c r="N237" s="230"/>
      <c r="O237" s="230">
        <f t="shared" si="112"/>
        <v>25</v>
      </c>
    </row>
    <row r="238" spans="1:16" s="1107" customFormat="1" ht="79.5" thickBot="1" x14ac:dyDescent="0.3">
      <c r="A238" s="232"/>
      <c r="B238" s="230" t="s">
        <v>1243</v>
      </c>
      <c r="C238" s="230"/>
      <c r="D238" s="230"/>
      <c r="E238" s="230"/>
      <c r="F238" s="230"/>
      <c r="G238" s="230"/>
      <c r="H238" s="230"/>
      <c r="I238" s="230"/>
      <c r="J238" s="240">
        <f t="shared" si="109"/>
        <v>0</v>
      </c>
      <c r="K238" s="230">
        <f t="shared" si="110"/>
        <v>0</v>
      </c>
      <c r="L238" s="230">
        <f t="shared" si="111"/>
        <v>0</v>
      </c>
      <c r="M238" s="230">
        <v>25</v>
      </c>
      <c r="N238" s="230"/>
      <c r="O238" s="230">
        <f t="shared" si="112"/>
        <v>25</v>
      </c>
    </row>
    <row r="239" spans="1:16" ht="17.25" thickTop="1" thickBot="1" x14ac:dyDescent="0.3">
      <c r="A239" s="224"/>
      <c r="B239" s="231" t="s">
        <v>1035</v>
      </c>
      <c r="C239" s="231">
        <f>+C228+C232+C235+C233+C236+C237+C238</f>
        <v>10262</v>
      </c>
      <c r="D239" s="231">
        <f t="shared" ref="D239:O239" si="113">+D228+D232+D235+D233+D236+D237+D238</f>
        <v>0</v>
      </c>
      <c r="E239" s="231">
        <f t="shared" si="113"/>
        <v>0</v>
      </c>
      <c r="F239" s="231">
        <f t="shared" si="113"/>
        <v>5536</v>
      </c>
      <c r="G239" s="231">
        <f t="shared" si="113"/>
        <v>0</v>
      </c>
      <c r="H239" s="231">
        <f t="shared" si="113"/>
        <v>0</v>
      </c>
      <c r="I239" s="231">
        <f t="shared" si="113"/>
        <v>0</v>
      </c>
      <c r="J239" s="231">
        <f t="shared" si="113"/>
        <v>15798</v>
      </c>
      <c r="K239" s="231">
        <f t="shared" si="113"/>
        <v>0</v>
      </c>
      <c r="L239" s="231">
        <f t="shared" si="113"/>
        <v>15798</v>
      </c>
      <c r="M239" s="231">
        <f t="shared" si="113"/>
        <v>200144</v>
      </c>
      <c r="N239" s="231">
        <f t="shared" si="113"/>
        <v>1992</v>
      </c>
      <c r="O239" s="231">
        <f t="shared" si="113"/>
        <v>217934</v>
      </c>
      <c r="P239" s="1104">
        <f>O240+O241</f>
        <v>217934</v>
      </c>
    </row>
    <row r="240" spans="1:16" ht="17.25" thickTop="1" thickBot="1" x14ac:dyDescent="0.3">
      <c r="A240" s="224"/>
      <c r="B240" s="231" t="s">
        <v>1036</v>
      </c>
      <c r="C240" s="231">
        <f>+C229+C232+C233</f>
        <v>10262</v>
      </c>
      <c r="D240" s="231">
        <f t="shared" ref="D240:O240" si="114">+D229+D232+D233</f>
        <v>0</v>
      </c>
      <c r="E240" s="231">
        <f t="shared" si="114"/>
        <v>0</v>
      </c>
      <c r="F240" s="231">
        <f t="shared" si="114"/>
        <v>5536</v>
      </c>
      <c r="G240" s="231">
        <f t="shared" si="114"/>
        <v>0</v>
      </c>
      <c r="H240" s="231">
        <f t="shared" si="114"/>
        <v>0</v>
      </c>
      <c r="I240" s="231">
        <f t="shared" si="114"/>
        <v>0</v>
      </c>
      <c r="J240" s="231">
        <f t="shared" si="114"/>
        <v>15798</v>
      </c>
      <c r="K240" s="231">
        <f t="shared" si="114"/>
        <v>0</v>
      </c>
      <c r="L240" s="231">
        <f t="shared" si="114"/>
        <v>15798</v>
      </c>
      <c r="M240" s="231">
        <f t="shared" si="114"/>
        <v>195707</v>
      </c>
      <c r="N240" s="231">
        <f t="shared" si="114"/>
        <v>1992</v>
      </c>
      <c r="O240" s="231">
        <f t="shared" si="114"/>
        <v>213497</v>
      </c>
    </row>
    <row r="241" spans="1:16" ht="17.25" thickTop="1" thickBot="1" x14ac:dyDescent="0.3">
      <c r="A241" s="224"/>
      <c r="B241" s="231" t="s">
        <v>1037</v>
      </c>
      <c r="C241" s="231">
        <f t="shared" ref="C241:O241" si="115">+C230+C235+C236+C237+C238</f>
        <v>0</v>
      </c>
      <c r="D241" s="231">
        <f t="shared" si="115"/>
        <v>0</v>
      </c>
      <c r="E241" s="231">
        <f t="shared" si="115"/>
        <v>0</v>
      </c>
      <c r="F241" s="231">
        <f t="shared" si="115"/>
        <v>0</v>
      </c>
      <c r="G241" s="231">
        <f t="shared" si="115"/>
        <v>0</v>
      </c>
      <c r="H241" s="231">
        <f t="shared" si="115"/>
        <v>0</v>
      </c>
      <c r="I241" s="231">
        <f t="shared" si="115"/>
        <v>0</v>
      </c>
      <c r="J241" s="231">
        <f t="shared" si="115"/>
        <v>0</v>
      </c>
      <c r="K241" s="231">
        <f t="shared" si="115"/>
        <v>0</v>
      </c>
      <c r="L241" s="231">
        <f t="shared" si="115"/>
        <v>0</v>
      </c>
      <c r="M241" s="231">
        <f t="shared" si="115"/>
        <v>4437</v>
      </c>
      <c r="N241" s="231">
        <f t="shared" si="115"/>
        <v>0</v>
      </c>
      <c r="O241" s="231">
        <f t="shared" si="115"/>
        <v>4437</v>
      </c>
    </row>
    <row r="242" spans="1:16" ht="16.5" thickTop="1" x14ac:dyDescent="0.25">
      <c r="A242" s="226" t="s">
        <v>7</v>
      </c>
      <c r="B242" s="590" t="s">
        <v>403</v>
      </c>
      <c r="C242" s="590"/>
      <c r="D242" s="590"/>
      <c r="E242" s="590"/>
      <c r="F242" s="590"/>
      <c r="G242" s="590"/>
      <c r="H242" s="590"/>
      <c r="I242" s="590"/>
      <c r="J242" s="590"/>
      <c r="K242" s="590"/>
      <c r="L242" s="590"/>
      <c r="M242" s="590"/>
      <c r="N242" s="590"/>
      <c r="O242" s="590"/>
    </row>
    <row r="243" spans="1:16" x14ac:dyDescent="0.25">
      <c r="A243" s="226"/>
      <c r="B243" s="591" t="s">
        <v>998</v>
      </c>
      <c r="C243" s="591">
        <v>4424</v>
      </c>
      <c r="D243" s="591"/>
      <c r="E243" s="591"/>
      <c r="F243" s="591">
        <v>1894</v>
      </c>
      <c r="G243" s="591"/>
      <c r="H243" s="591"/>
      <c r="I243" s="591"/>
      <c r="J243" s="591">
        <f>SUM(C243+E243+F243+H243)</f>
        <v>6318</v>
      </c>
      <c r="K243" s="591">
        <f>SUM(D243+G243+I243)</f>
        <v>0</v>
      </c>
      <c r="L243" s="591">
        <f>SUM(J243:K243)</f>
        <v>6318</v>
      </c>
      <c r="M243" s="591">
        <v>81603</v>
      </c>
      <c r="N243" s="591">
        <v>780</v>
      </c>
      <c r="O243" s="591">
        <f>SUM(L243:N243)</f>
        <v>88701</v>
      </c>
    </row>
    <row r="244" spans="1:16" s="1107" customFormat="1" x14ac:dyDescent="0.25">
      <c r="A244" s="227"/>
      <c r="B244" s="228" t="s">
        <v>1033</v>
      </c>
      <c r="C244" s="228">
        <v>4424</v>
      </c>
      <c r="D244" s="228"/>
      <c r="E244" s="228"/>
      <c r="F244" s="228">
        <v>1894</v>
      </c>
      <c r="G244" s="228"/>
      <c r="H244" s="228"/>
      <c r="I244" s="228"/>
      <c r="J244" s="229">
        <f>SUM(C244+E244+F244+H244)</f>
        <v>6318</v>
      </c>
      <c r="K244" s="229">
        <f>SUM(D244+G244+I244)</f>
        <v>0</v>
      </c>
      <c r="L244" s="229">
        <f>SUM(J244:K244)</f>
        <v>6318</v>
      </c>
      <c r="M244" s="229">
        <v>80192</v>
      </c>
      <c r="N244" s="229">
        <v>780</v>
      </c>
      <c r="O244" s="229">
        <f>SUM(L244:N244)</f>
        <v>87290</v>
      </c>
    </row>
    <row r="245" spans="1:16" s="1107" customFormat="1" x14ac:dyDescent="0.25">
      <c r="A245" s="227"/>
      <c r="B245" s="228" t="s">
        <v>1034</v>
      </c>
      <c r="C245" s="228"/>
      <c r="D245" s="228"/>
      <c r="E245" s="228"/>
      <c r="F245" s="228"/>
      <c r="G245" s="228"/>
      <c r="H245" s="228"/>
      <c r="I245" s="228"/>
      <c r="J245" s="229">
        <f>SUM(C245+E245+F245+H245)</f>
        <v>0</v>
      </c>
      <c r="K245" s="229">
        <f>SUM(D245+G245+I245)</f>
        <v>0</v>
      </c>
      <c r="L245" s="229">
        <f>SUM(J245:K245)</f>
        <v>0</v>
      </c>
      <c r="M245" s="229">
        <v>1411</v>
      </c>
      <c r="N245" s="229"/>
      <c r="O245" s="229">
        <f>SUM(L245:N245)</f>
        <v>1411</v>
      </c>
    </row>
    <row r="246" spans="1:16" s="1107" customFormat="1" x14ac:dyDescent="0.25">
      <c r="A246" s="227"/>
      <c r="B246" s="228" t="s">
        <v>160</v>
      </c>
      <c r="C246" s="230"/>
      <c r="D246" s="230"/>
      <c r="E246" s="230"/>
      <c r="F246" s="230"/>
      <c r="G246" s="230"/>
      <c r="H246" s="230"/>
      <c r="I246" s="230"/>
      <c r="J246" s="230"/>
      <c r="K246" s="230"/>
      <c r="L246" s="230"/>
      <c r="M246" s="230"/>
      <c r="N246" s="230"/>
      <c r="O246" s="230"/>
    </row>
    <row r="247" spans="1:16" s="1107" customFormat="1" ht="47.25" x14ac:dyDescent="0.25">
      <c r="A247" s="227"/>
      <c r="B247" s="230" t="s">
        <v>1230</v>
      </c>
      <c r="C247" s="230"/>
      <c r="D247" s="230"/>
      <c r="E247" s="230"/>
      <c r="F247" s="230"/>
      <c r="G247" s="230"/>
      <c r="H247" s="230"/>
      <c r="I247" s="230"/>
      <c r="J247" s="230">
        <f t="shared" ref="J247:J252" si="116">SUM(C247+E247+F247+H247)</f>
        <v>0</v>
      </c>
      <c r="K247" s="230">
        <f t="shared" ref="K247:K252" si="117">SUM(D247+G247+I247)</f>
        <v>0</v>
      </c>
      <c r="L247" s="230">
        <f t="shared" ref="L247:L252" si="118">SUM(J247:K247)</f>
        <v>0</v>
      </c>
      <c r="M247" s="230">
        <v>35</v>
      </c>
      <c r="N247" s="230"/>
      <c r="O247" s="230">
        <f t="shared" ref="O247:O252" si="119">SUM(L247:N247)</f>
        <v>35</v>
      </c>
    </row>
    <row r="248" spans="1:16" s="1107" customFormat="1" ht="31.5" x14ac:dyDescent="0.25">
      <c r="A248" s="227"/>
      <c r="B248" s="230" t="s">
        <v>1244</v>
      </c>
      <c r="C248" s="230"/>
      <c r="D248" s="230"/>
      <c r="E248" s="230"/>
      <c r="F248" s="230"/>
      <c r="G248" s="230"/>
      <c r="H248" s="230"/>
      <c r="I248" s="230"/>
      <c r="J248" s="230">
        <f t="shared" si="116"/>
        <v>0</v>
      </c>
      <c r="K248" s="230">
        <f t="shared" si="117"/>
        <v>0</v>
      </c>
      <c r="L248" s="230">
        <f t="shared" si="118"/>
        <v>0</v>
      </c>
      <c r="M248" s="230">
        <v>150</v>
      </c>
      <c r="N248" s="230"/>
      <c r="O248" s="230">
        <f t="shared" si="119"/>
        <v>150</v>
      </c>
    </row>
    <row r="249" spans="1:16" s="1107" customFormat="1" x14ac:dyDescent="0.25">
      <c r="A249" s="227"/>
      <c r="B249" s="228" t="s">
        <v>161</v>
      </c>
      <c r="C249" s="230"/>
      <c r="D249" s="230"/>
      <c r="E249" s="230"/>
      <c r="F249" s="230"/>
      <c r="G249" s="230"/>
      <c r="H249" s="230"/>
      <c r="I249" s="230"/>
      <c r="J249" s="230"/>
      <c r="K249" s="230"/>
      <c r="L249" s="230"/>
      <c r="M249" s="230"/>
      <c r="N249" s="230"/>
      <c r="O249" s="230"/>
    </row>
    <row r="250" spans="1:16" s="1107" customFormat="1" x14ac:dyDescent="0.25">
      <c r="A250" s="227"/>
      <c r="B250" s="230" t="s">
        <v>1237</v>
      </c>
      <c r="C250" s="230"/>
      <c r="D250" s="230"/>
      <c r="E250" s="230"/>
      <c r="F250" s="230"/>
      <c r="G250" s="230"/>
      <c r="H250" s="230"/>
      <c r="I250" s="230"/>
      <c r="J250" s="230">
        <f t="shared" si="116"/>
        <v>0</v>
      </c>
      <c r="K250" s="230">
        <f t="shared" si="117"/>
        <v>0</v>
      </c>
      <c r="L250" s="230">
        <f t="shared" si="118"/>
        <v>0</v>
      </c>
      <c r="M250" s="230">
        <v>485</v>
      </c>
      <c r="N250" s="230"/>
      <c r="O250" s="230">
        <f t="shared" si="119"/>
        <v>485</v>
      </c>
    </row>
    <row r="251" spans="1:16" s="1107" customFormat="1" ht="31.5" x14ac:dyDescent="0.25">
      <c r="A251" s="232"/>
      <c r="B251" s="235" t="s">
        <v>1232</v>
      </c>
      <c r="C251" s="235"/>
      <c r="D251" s="235"/>
      <c r="E251" s="235"/>
      <c r="F251" s="235"/>
      <c r="G251" s="235"/>
      <c r="H251" s="235"/>
      <c r="I251" s="235"/>
      <c r="J251" s="235">
        <f t="shared" si="116"/>
        <v>0</v>
      </c>
      <c r="K251" s="235">
        <f t="shared" si="117"/>
        <v>0</v>
      </c>
      <c r="L251" s="235">
        <f t="shared" si="118"/>
        <v>0</v>
      </c>
      <c r="M251" s="235">
        <v>80</v>
      </c>
      <c r="N251" s="235"/>
      <c r="O251" s="235">
        <f t="shared" si="119"/>
        <v>80</v>
      </c>
    </row>
    <row r="252" spans="1:16" s="1107" customFormat="1" ht="63.75" thickBot="1" x14ac:dyDescent="0.3">
      <c r="A252" s="227"/>
      <c r="B252" s="230" t="s">
        <v>1235</v>
      </c>
      <c r="C252" s="230"/>
      <c r="D252" s="230"/>
      <c r="E252" s="230"/>
      <c r="F252" s="230"/>
      <c r="G252" s="230"/>
      <c r="H252" s="230"/>
      <c r="I252" s="230"/>
      <c r="J252" s="230">
        <f t="shared" si="116"/>
        <v>0</v>
      </c>
      <c r="K252" s="230">
        <f t="shared" si="117"/>
        <v>0</v>
      </c>
      <c r="L252" s="230">
        <f t="shared" si="118"/>
        <v>0</v>
      </c>
      <c r="M252" s="230">
        <v>15</v>
      </c>
      <c r="N252" s="230"/>
      <c r="O252" s="230">
        <f t="shared" si="119"/>
        <v>15</v>
      </c>
    </row>
    <row r="253" spans="1:16" ht="17.25" thickTop="1" thickBot="1" x14ac:dyDescent="0.3">
      <c r="A253" s="224"/>
      <c r="B253" s="231" t="s">
        <v>1035</v>
      </c>
      <c r="C253" s="231">
        <f>+C243+C247+C250+C251+C248+C252</f>
        <v>4424</v>
      </c>
      <c r="D253" s="231">
        <f t="shared" ref="D253:O253" si="120">+D243+D247+D250+D251+D248+D252</f>
        <v>0</v>
      </c>
      <c r="E253" s="231">
        <f t="shared" si="120"/>
        <v>0</v>
      </c>
      <c r="F253" s="231">
        <f t="shared" si="120"/>
        <v>1894</v>
      </c>
      <c r="G253" s="231">
        <f t="shared" si="120"/>
        <v>0</v>
      </c>
      <c r="H253" s="231">
        <f t="shared" si="120"/>
        <v>0</v>
      </c>
      <c r="I253" s="231">
        <f t="shared" si="120"/>
        <v>0</v>
      </c>
      <c r="J253" s="231">
        <f t="shared" si="120"/>
        <v>6318</v>
      </c>
      <c r="K253" s="231">
        <f t="shared" si="120"/>
        <v>0</v>
      </c>
      <c r="L253" s="231">
        <f t="shared" si="120"/>
        <v>6318</v>
      </c>
      <c r="M253" s="231">
        <f t="shared" si="120"/>
        <v>82368</v>
      </c>
      <c r="N253" s="231">
        <f t="shared" si="120"/>
        <v>780</v>
      </c>
      <c r="O253" s="231">
        <f t="shared" si="120"/>
        <v>89466</v>
      </c>
      <c r="P253" s="1104">
        <f>O254+O255</f>
        <v>89466</v>
      </c>
    </row>
    <row r="254" spans="1:16" ht="17.25" thickTop="1" thickBot="1" x14ac:dyDescent="0.3">
      <c r="A254" s="224"/>
      <c r="B254" s="231" t="s">
        <v>1036</v>
      </c>
      <c r="C254" s="231">
        <f>+C244+C247+C248</f>
        <v>4424</v>
      </c>
      <c r="D254" s="231">
        <f t="shared" ref="D254:O254" si="121">+D244+D247+D248</f>
        <v>0</v>
      </c>
      <c r="E254" s="231">
        <f t="shared" si="121"/>
        <v>0</v>
      </c>
      <c r="F254" s="231">
        <f t="shared" si="121"/>
        <v>1894</v>
      </c>
      <c r="G254" s="231">
        <f t="shared" si="121"/>
        <v>0</v>
      </c>
      <c r="H254" s="231">
        <f t="shared" si="121"/>
        <v>0</v>
      </c>
      <c r="I254" s="231">
        <f t="shared" si="121"/>
        <v>0</v>
      </c>
      <c r="J254" s="231">
        <f t="shared" si="121"/>
        <v>6318</v>
      </c>
      <c r="K254" s="231">
        <f t="shared" si="121"/>
        <v>0</v>
      </c>
      <c r="L254" s="231">
        <f t="shared" si="121"/>
        <v>6318</v>
      </c>
      <c r="M254" s="231">
        <f t="shared" si="121"/>
        <v>80377</v>
      </c>
      <c r="N254" s="231">
        <f t="shared" si="121"/>
        <v>780</v>
      </c>
      <c r="O254" s="231">
        <f t="shared" si="121"/>
        <v>87475</v>
      </c>
    </row>
    <row r="255" spans="1:16" ht="17.25" thickTop="1" thickBot="1" x14ac:dyDescent="0.3">
      <c r="A255" s="224"/>
      <c r="B255" s="231" t="s">
        <v>1037</v>
      </c>
      <c r="C255" s="231">
        <f t="shared" ref="C255:O255" si="122">+C245+C250+C251+C252</f>
        <v>0</v>
      </c>
      <c r="D255" s="231">
        <f t="shared" si="122"/>
        <v>0</v>
      </c>
      <c r="E255" s="231">
        <f t="shared" si="122"/>
        <v>0</v>
      </c>
      <c r="F255" s="231">
        <f t="shared" si="122"/>
        <v>0</v>
      </c>
      <c r="G255" s="231">
        <f t="shared" si="122"/>
        <v>0</v>
      </c>
      <c r="H255" s="231">
        <f t="shared" si="122"/>
        <v>0</v>
      </c>
      <c r="I255" s="231">
        <f t="shared" si="122"/>
        <v>0</v>
      </c>
      <c r="J255" s="231">
        <f t="shared" si="122"/>
        <v>0</v>
      </c>
      <c r="K255" s="231">
        <f t="shared" si="122"/>
        <v>0</v>
      </c>
      <c r="L255" s="231">
        <f t="shared" si="122"/>
        <v>0</v>
      </c>
      <c r="M255" s="231">
        <f t="shared" si="122"/>
        <v>1991</v>
      </c>
      <c r="N255" s="231">
        <f t="shared" si="122"/>
        <v>0</v>
      </c>
      <c r="O255" s="231">
        <f t="shared" si="122"/>
        <v>1991</v>
      </c>
    </row>
    <row r="256" spans="1:16" ht="16.5" thickTop="1" x14ac:dyDescent="0.25">
      <c r="A256" s="238" t="s">
        <v>8</v>
      </c>
      <c r="B256" s="590" t="s">
        <v>515</v>
      </c>
      <c r="C256" s="590"/>
      <c r="D256" s="590"/>
      <c r="E256" s="590"/>
      <c r="F256" s="590"/>
      <c r="G256" s="590"/>
      <c r="H256" s="590"/>
      <c r="I256" s="590"/>
      <c r="J256" s="590"/>
      <c r="K256" s="590"/>
      <c r="L256" s="590"/>
      <c r="M256" s="590"/>
      <c r="N256" s="590"/>
      <c r="O256" s="590"/>
    </row>
    <row r="257" spans="1:16" x14ac:dyDescent="0.25">
      <c r="A257" s="238"/>
      <c r="B257" s="590" t="s">
        <v>998</v>
      </c>
      <c r="C257" s="590">
        <v>16208</v>
      </c>
      <c r="D257" s="590"/>
      <c r="E257" s="590"/>
      <c r="F257" s="590">
        <v>7688</v>
      </c>
      <c r="G257" s="590"/>
      <c r="H257" s="590"/>
      <c r="I257" s="590"/>
      <c r="J257" s="591">
        <f>SUM(C257+E257+F257+H257)</f>
        <v>23896</v>
      </c>
      <c r="K257" s="591">
        <f>SUM(D257+G257+I257)</f>
        <v>0</v>
      </c>
      <c r="L257" s="591">
        <f>SUM(J257:K257)</f>
        <v>23896</v>
      </c>
      <c r="M257" s="591">
        <v>293194</v>
      </c>
      <c r="N257" s="591">
        <v>2248</v>
      </c>
      <c r="O257" s="591">
        <f>SUM(L257:N257)</f>
        <v>319338</v>
      </c>
    </row>
    <row r="258" spans="1:16" s="1107" customFormat="1" x14ac:dyDescent="0.25">
      <c r="A258" s="232"/>
      <c r="B258" s="233" t="s">
        <v>1033</v>
      </c>
      <c r="C258" s="233">
        <v>16208</v>
      </c>
      <c r="D258" s="233"/>
      <c r="E258" s="233"/>
      <c r="F258" s="233">
        <v>7688</v>
      </c>
      <c r="G258" s="233"/>
      <c r="H258" s="233"/>
      <c r="I258" s="233"/>
      <c r="J258" s="234">
        <f>SUM(C258+E258+F258+H258)</f>
        <v>23896</v>
      </c>
      <c r="K258" s="234">
        <f>SUM(D258+G258+I258)</f>
        <v>0</v>
      </c>
      <c r="L258" s="234">
        <f>SUM(J258:K258)</f>
        <v>23896</v>
      </c>
      <c r="M258" s="234">
        <v>288479</v>
      </c>
      <c r="N258" s="234">
        <v>2248</v>
      </c>
      <c r="O258" s="234">
        <f>SUM(L258:N258)</f>
        <v>314623</v>
      </c>
    </row>
    <row r="259" spans="1:16" s="1107" customFormat="1" x14ac:dyDescent="0.25">
      <c r="A259" s="227"/>
      <c r="B259" s="228" t="s">
        <v>1034</v>
      </c>
      <c r="C259" s="228"/>
      <c r="D259" s="228"/>
      <c r="E259" s="228"/>
      <c r="F259" s="228"/>
      <c r="G259" s="228"/>
      <c r="H259" s="228"/>
      <c r="I259" s="228"/>
      <c r="J259" s="229">
        <f>SUM(C259+E259+F259+H259)</f>
        <v>0</v>
      </c>
      <c r="K259" s="229">
        <f>SUM(D259+G259+I259)</f>
        <v>0</v>
      </c>
      <c r="L259" s="229">
        <f>SUM(J259:K259)</f>
        <v>0</v>
      </c>
      <c r="M259" s="229">
        <v>4715</v>
      </c>
      <c r="N259" s="229"/>
      <c r="O259" s="229">
        <f>SUM(L259:N259)</f>
        <v>4715</v>
      </c>
    </row>
    <row r="260" spans="1:16" s="1107" customFormat="1" x14ac:dyDescent="0.25">
      <c r="A260" s="227"/>
      <c r="B260" s="228" t="s">
        <v>160</v>
      </c>
      <c r="C260" s="230"/>
      <c r="D260" s="230"/>
      <c r="E260" s="230"/>
      <c r="F260" s="230"/>
      <c r="G260" s="230"/>
      <c r="H260" s="230"/>
      <c r="I260" s="230"/>
      <c r="J260" s="230"/>
      <c r="K260" s="230"/>
      <c r="L260" s="230"/>
      <c r="M260" s="230"/>
      <c r="N260" s="230"/>
      <c r="O260" s="230"/>
    </row>
    <row r="261" spans="1:16" s="1107" customFormat="1" ht="47.25" x14ac:dyDescent="0.25">
      <c r="A261" s="227"/>
      <c r="B261" s="230" t="s">
        <v>1230</v>
      </c>
      <c r="C261" s="230"/>
      <c r="D261" s="230"/>
      <c r="E261" s="230"/>
      <c r="F261" s="230"/>
      <c r="G261" s="230"/>
      <c r="H261" s="230"/>
      <c r="I261" s="230"/>
      <c r="J261" s="230">
        <f t="shared" ref="J261:J267" si="123">SUM(C261+E261+F261+H261)</f>
        <v>0</v>
      </c>
      <c r="K261" s="230">
        <f t="shared" ref="K261:K267" si="124">SUM(D261+G261+I261)</f>
        <v>0</v>
      </c>
      <c r="L261" s="230">
        <f t="shared" ref="L261:L267" si="125">SUM(J261:K261)</f>
        <v>0</v>
      </c>
      <c r="M261" s="230">
        <v>120</v>
      </c>
      <c r="N261" s="230"/>
      <c r="O261" s="230">
        <f t="shared" ref="O261:O267" si="126">SUM(L261:N261)</f>
        <v>120</v>
      </c>
    </row>
    <row r="262" spans="1:16" s="1107" customFormat="1" x14ac:dyDescent="0.25">
      <c r="A262" s="227"/>
      <c r="B262" s="228" t="s">
        <v>161</v>
      </c>
      <c r="C262" s="230"/>
      <c r="D262" s="230"/>
      <c r="E262" s="230"/>
      <c r="F262" s="230"/>
      <c r="G262" s="230"/>
      <c r="H262" s="230"/>
      <c r="I262" s="230"/>
      <c r="J262" s="230"/>
      <c r="K262" s="230"/>
      <c r="L262" s="230"/>
      <c r="M262" s="230"/>
      <c r="N262" s="230"/>
      <c r="O262" s="230"/>
    </row>
    <row r="263" spans="1:16" s="1107" customFormat="1" x14ac:dyDescent="0.25">
      <c r="A263" s="227"/>
      <c r="B263" s="230" t="s">
        <v>1237</v>
      </c>
      <c r="C263" s="230"/>
      <c r="D263" s="230"/>
      <c r="E263" s="230"/>
      <c r="F263" s="230"/>
      <c r="G263" s="230"/>
      <c r="H263" s="230"/>
      <c r="I263" s="230"/>
      <c r="J263" s="230">
        <f t="shared" si="123"/>
        <v>0</v>
      </c>
      <c r="K263" s="230">
        <f t="shared" si="124"/>
        <v>0</v>
      </c>
      <c r="L263" s="230">
        <f t="shared" si="125"/>
        <v>0</v>
      </c>
      <c r="M263" s="230">
        <v>2033</v>
      </c>
      <c r="N263" s="230"/>
      <c r="O263" s="230">
        <f t="shared" si="126"/>
        <v>2033</v>
      </c>
    </row>
    <row r="264" spans="1:16" s="1107" customFormat="1" ht="31.5" x14ac:dyDescent="0.25">
      <c r="A264" s="227"/>
      <c r="B264" s="230" t="s">
        <v>1232</v>
      </c>
      <c r="C264" s="230"/>
      <c r="D264" s="230"/>
      <c r="E264" s="230"/>
      <c r="F264" s="230"/>
      <c r="G264" s="230"/>
      <c r="H264" s="230"/>
      <c r="I264" s="230"/>
      <c r="J264" s="230">
        <f t="shared" si="123"/>
        <v>0</v>
      </c>
      <c r="K264" s="230">
        <f t="shared" si="124"/>
        <v>0</v>
      </c>
      <c r="L264" s="230">
        <f t="shared" si="125"/>
        <v>0</v>
      </c>
      <c r="M264" s="230">
        <v>211</v>
      </c>
      <c r="N264" s="230"/>
      <c r="O264" s="230">
        <f t="shared" si="126"/>
        <v>211</v>
      </c>
    </row>
    <row r="265" spans="1:16" s="1107" customFormat="1" ht="63" x14ac:dyDescent="0.25">
      <c r="A265" s="227"/>
      <c r="B265" s="230" t="s">
        <v>1235</v>
      </c>
      <c r="C265" s="230"/>
      <c r="D265" s="230"/>
      <c r="E265" s="230"/>
      <c r="F265" s="230"/>
      <c r="G265" s="230"/>
      <c r="H265" s="230"/>
      <c r="I265" s="230"/>
      <c r="J265" s="230">
        <f t="shared" si="123"/>
        <v>0</v>
      </c>
      <c r="K265" s="230">
        <f t="shared" si="124"/>
        <v>0</v>
      </c>
      <c r="L265" s="230">
        <f t="shared" si="125"/>
        <v>0</v>
      </c>
      <c r="M265" s="230">
        <v>15</v>
      </c>
      <c r="N265" s="230"/>
      <c r="O265" s="230">
        <f t="shared" si="126"/>
        <v>15</v>
      </c>
    </row>
    <row r="266" spans="1:16" s="1107" customFormat="1" ht="78.75" x14ac:dyDescent="0.25">
      <c r="A266" s="227"/>
      <c r="B266" s="230" t="s">
        <v>1245</v>
      </c>
      <c r="C266" s="230"/>
      <c r="D266" s="230"/>
      <c r="E266" s="230"/>
      <c r="F266" s="230"/>
      <c r="G266" s="230"/>
      <c r="H266" s="230"/>
      <c r="I266" s="230"/>
      <c r="J266" s="230">
        <f t="shared" si="123"/>
        <v>0</v>
      </c>
      <c r="K266" s="230">
        <f t="shared" si="124"/>
        <v>0</v>
      </c>
      <c r="L266" s="230">
        <f t="shared" si="125"/>
        <v>0</v>
      </c>
      <c r="M266" s="230">
        <v>15</v>
      </c>
      <c r="N266" s="230"/>
      <c r="O266" s="230">
        <f t="shared" si="126"/>
        <v>15</v>
      </c>
    </row>
    <row r="267" spans="1:16" s="1107" customFormat="1" ht="79.5" thickBot="1" x14ac:dyDescent="0.3">
      <c r="A267" s="227"/>
      <c r="B267" s="230" t="s">
        <v>1246</v>
      </c>
      <c r="C267" s="230"/>
      <c r="D267" s="230"/>
      <c r="E267" s="230"/>
      <c r="F267" s="230"/>
      <c r="G267" s="230"/>
      <c r="H267" s="230"/>
      <c r="I267" s="230"/>
      <c r="J267" s="230">
        <f t="shared" si="123"/>
        <v>0</v>
      </c>
      <c r="K267" s="230">
        <f t="shared" si="124"/>
        <v>0</v>
      </c>
      <c r="L267" s="230">
        <f t="shared" si="125"/>
        <v>0</v>
      </c>
      <c r="M267" s="230">
        <v>15</v>
      </c>
      <c r="N267" s="230"/>
      <c r="O267" s="230">
        <f t="shared" si="126"/>
        <v>15</v>
      </c>
    </row>
    <row r="268" spans="1:16" ht="17.25" thickTop="1" thickBot="1" x14ac:dyDescent="0.3">
      <c r="A268" s="224"/>
      <c r="B268" s="231" t="s">
        <v>1035</v>
      </c>
      <c r="C268" s="231">
        <f>+C257+C261+C263+C264+C265+C266+C267</f>
        <v>16208</v>
      </c>
      <c r="D268" s="231">
        <f t="shared" ref="D268:O268" si="127">+D257+D261+D263+D264+D265+D266+D267</f>
        <v>0</v>
      </c>
      <c r="E268" s="231">
        <f t="shared" si="127"/>
        <v>0</v>
      </c>
      <c r="F268" s="231">
        <f t="shared" si="127"/>
        <v>7688</v>
      </c>
      <c r="G268" s="231">
        <f t="shared" si="127"/>
        <v>0</v>
      </c>
      <c r="H268" s="231">
        <f t="shared" si="127"/>
        <v>0</v>
      </c>
      <c r="I268" s="231">
        <f t="shared" si="127"/>
        <v>0</v>
      </c>
      <c r="J268" s="231">
        <f t="shared" si="127"/>
        <v>23896</v>
      </c>
      <c r="K268" s="231">
        <f t="shared" si="127"/>
        <v>0</v>
      </c>
      <c r="L268" s="231">
        <f t="shared" si="127"/>
        <v>23896</v>
      </c>
      <c r="M268" s="231">
        <f t="shared" si="127"/>
        <v>295603</v>
      </c>
      <c r="N268" s="231">
        <f t="shared" si="127"/>
        <v>2248</v>
      </c>
      <c r="O268" s="231">
        <f t="shared" si="127"/>
        <v>321747</v>
      </c>
      <c r="P268" s="1104">
        <f>O269+O270</f>
        <v>321747</v>
      </c>
    </row>
    <row r="269" spans="1:16" ht="17.25" thickTop="1" thickBot="1" x14ac:dyDescent="0.3">
      <c r="A269" s="224"/>
      <c r="B269" s="231" t="s">
        <v>1036</v>
      </c>
      <c r="C269" s="231">
        <f>+C258+C261</f>
        <v>16208</v>
      </c>
      <c r="D269" s="231">
        <f t="shared" ref="D269:O269" si="128">+D258+D261</f>
        <v>0</v>
      </c>
      <c r="E269" s="231">
        <f t="shared" si="128"/>
        <v>0</v>
      </c>
      <c r="F269" s="231">
        <f t="shared" si="128"/>
        <v>7688</v>
      </c>
      <c r="G269" s="231">
        <f t="shared" si="128"/>
        <v>0</v>
      </c>
      <c r="H269" s="231">
        <f t="shared" si="128"/>
        <v>0</v>
      </c>
      <c r="I269" s="231">
        <f t="shared" si="128"/>
        <v>0</v>
      </c>
      <c r="J269" s="231">
        <f t="shared" si="128"/>
        <v>23896</v>
      </c>
      <c r="K269" s="231">
        <f t="shared" si="128"/>
        <v>0</v>
      </c>
      <c r="L269" s="231">
        <f t="shared" si="128"/>
        <v>23896</v>
      </c>
      <c r="M269" s="231">
        <f t="shared" si="128"/>
        <v>288599</v>
      </c>
      <c r="N269" s="231">
        <f t="shared" si="128"/>
        <v>2248</v>
      </c>
      <c r="O269" s="231">
        <f t="shared" si="128"/>
        <v>314743</v>
      </c>
    </row>
    <row r="270" spans="1:16" ht="17.25" thickTop="1" thickBot="1" x14ac:dyDescent="0.3">
      <c r="A270" s="224"/>
      <c r="B270" s="231" t="s">
        <v>1037</v>
      </c>
      <c r="C270" s="231">
        <f t="shared" ref="C270:O270" si="129">+C259+C263+C264+C265+C266+C267</f>
        <v>0</v>
      </c>
      <c r="D270" s="231">
        <f t="shared" si="129"/>
        <v>0</v>
      </c>
      <c r="E270" s="231">
        <f t="shared" si="129"/>
        <v>0</v>
      </c>
      <c r="F270" s="231">
        <f t="shared" si="129"/>
        <v>0</v>
      </c>
      <c r="G270" s="231">
        <f t="shared" si="129"/>
        <v>0</v>
      </c>
      <c r="H270" s="231">
        <f t="shared" si="129"/>
        <v>0</v>
      </c>
      <c r="I270" s="231">
        <f t="shared" si="129"/>
        <v>0</v>
      </c>
      <c r="J270" s="231">
        <f t="shared" si="129"/>
        <v>0</v>
      </c>
      <c r="K270" s="231">
        <f t="shared" si="129"/>
        <v>0</v>
      </c>
      <c r="L270" s="231">
        <f t="shared" si="129"/>
        <v>0</v>
      </c>
      <c r="M270" s="231">
        <f t="shared" si="129"/>
        <v>7004</v>
      </c>
      <c r="N270" s="231">
        <f t="shared" si="129"/>
        <v>0</v>
      </c>
      <c r="O270" s="231">
        <f t="shared" si="129"/>
        <v>7004</v>
      </c>
    </row>
    <row r="271" spans="1:16" ht="16.5" thickTop="1" x14ac:dyDescent="0.25">
      <c r="A271" s="226" t="s">
        <v>9</v>
      </c>
      <c r="B271" s="590" t="s">
        <v>404</v>
      </c>
      <c r="C271" s="590"/>
      <c r="D271" s="590"/>
      <c r="E271" s="590"/>
      <c r="F271" s="590"/>
      <c r="G271" s="590"/>
      <c r="H271" s="590"/>
      <c r="I271" s="590"/>
      <c r="J271" s="590"/>
      <c r="K271" s="590"/>
      <c r="L271" s="590"/>
      <c r="M271" s="590"/>
      <c r="N271" s="590"/>
      <c r="O271" s="590"/>
    </row>
    <row r="272" spans="1:16" x14ac:dyDescent="0.25">
      <c r="A272" s="226"/>
      <c r="B272" s="591" t="s">
        <v>998</v>
      </c>
      <c r="C272" s="591">
        <v>10251</v>
      </c>
      <c r="D272" s="591"/>
      <c r="E272" s="591"/>
      <c r="F272" s="591">
        <v>9766</v>
      </c>
      <c r="G272" s="591"/>
      <c r="H272" s="591"/>
      <c r="I272" s="591"/>
      <c r="J272" s="591">
        <f>SUM(C272+E272+F272+H272)</f>
        <v>20017</v>
      </c>
      <c r="K272" s="591">
        <f>SUM(D272+G272+I272)</f>
        <v>0</v>
      </c>
      <c r="L272" s="591">
        <f>SUM(J272:K272)</f>
        <v>20017</v>
      </c>
      <c r="M272" s="591">
        <v>208411</v>
      </c>
      <c r="N272" s="591">
        <v>836</v>
      </c>
      <c r="O272" s="591">
        <f>SUM(L272:N272)</f>
        <v>229264</v>
      </c>
    </row>
    <row r="273" spans="1:16" s="1107" customFormat="1" x14ac:dyDescent="0.25">
      <c r="A273" s="227"/>
      <c r="B273" s="228" t="s">
        <v>1033</v>
      </c>
      <c r="C273" s="228">
        <v>10251</v>
      </c>
      <c r="D273" s="228"/>
      <c r="E273" s="228"/>
      <c r="F273" s="228">
        <v>9766</v>
      </c>
      <c r="G273" s="228"/>
      <c r="H273" s="228"/>
      <c r="I273" s="241"/>
      <c r="J273" s="239">
        <f>SUM(C273+E273+F273+H273)</f>
        <v>20017</v>
      </c>
      <c r="K273" s="239">
        <f>SUM(D273+G273+I273)</f>
        <v>0</v>
      </c>
      <c r="L273" s="229">
        <f>SUM(J273:K273)</f>
        <v>20017</v>
      </c>
      <c r="M273" s="229">
        <v>205464</v>
      </c>
      <c r="N273" s="229">
        <v>836</v>
      </c>
      <c r="O273" s="229">
        <f>SUM(L273:N273)</f>
        <v>226317</v>
      </c>
    </row>
    <row r="274" spans="1:16" s="1107" customFormat="1" x14ac:dyDescent="0.25">
      <c r="A274" s="227"/>
      <c r="B274" s="228" t="s">
        <v>1034</v>
      </c>
      <c r="C274" s="228"/>
      <c r="D274" s="228"/>
      <c r="E274" s="228"/>
      <c r="F274" s="228"/>
      <c r="G274" s="228"/>
      <c r="H274" s="228"/>
      <c r="I274" s="241"/>
      <c r="J274" s="241">
        <f>SUM(C274+E274+F274+H274)</f>
        <v>0</v>
      </c>
      <c r="K274" s="241">
        <f>SUM(D274+G274+I274)</f>
        <v>0</v>
      </c>
      <c r="L274" s="228">
        <f>SUM(J274:K274)</f>
        <v>0</v>
      </c>
      <c r="M274" s="228">
        <v>2947</v>
      </c>
      <c r="N274" s="228"/>
      <c r="O274" s="228">
        <f>SUM(L274:N274)</f>
        <v>2947</v>
      </c>
    </row>
    <row r="275" spans="1:16" s="1107" customFormat="1" x14ac:dyDescent="0.25">
      <c r="A275" s="227"/>
      <c r="B275" s="228" t="s">
        <v>160</v>
      </c>
      <c r="C275" s="230"/>
      <c r="D275" s="230"/>
      <c r="E275" s="230"/>
      <c r="F275" s="230"/>
      <c r="G275" s="230"/>
      <c r="H275" s="230"/>
      <c r="I275" s="240"/>
      <c r="J275" s="240"/>
      <c r="K275" s="240"/>
      <c r="L275" s="230"/>
      <c r="M275" s="230"/>
      <c r="N275" s="230"/>
      <c r="O275" s="230"/>
    </row>
    <row r="276" spans="1:16" s="1107" customFormat="1" x14ac:dyDescent="0.25">
      <c r="A276" s="227"/>
      <c r="B276" s="230" t="s">
        <v>1229</v>
      </c>
      <c r="C276" s="230"/>
      <c r="D276" s="230"/>
      <c r="E276" s="230"/>
      <c r="F276" s="230"/>
      <c r="G276" s="230"/>
      <c r="H276" s="230"/>
      <c r="I276" s="240"/>
      <c r="J276" s="240">
        <f t="shared" ref="J276:J282" si="130">SUM(C276+E276+F276+H276)</f>
        <v>0</v>
      </c>
      <c r="K276" s="240">
        <f t="shared" ref="K276:K282" si="131">SUM(D276+G276+I276)</f>
        <v>0</v>
      </c>
      <c r="L276" s="230">
        <f t="shared" ref="L276:L282" si="132">SUM(J276:K276)</f>
        <v>0</v>
      </c>
      <c r="M276" s="230">
        <v>35</v>
      </c>
      <c r="N276" s="230"/>
      <c r="O276" s="230">
        <f t="shared" ref="O276:O282" si="133">SUM(L276:N276)</f>
        <v>35</v>
      </c>
    </row>
    <row r="277" spans="1:16" s="1107" customFormat="1" ht="47.25" x14ac:dyDescent="0.25">
      <c r="A277" s="227"/>
      <c r="B277" s="230" t="s">
        <v>1230</v>
      </c>
      <c r="C277" s="230"/>
      <c r="D277" s="230"/>
      <c r="E277" s="230"/>
      <c r="F277" s="230"/>
      <c r="G277" s="230"/>
      <c r="H277" s="230"/>
      <c r="I277" s="240"/>
      <c r="J277" s="240">
        <f t="shared" si="130"/>
        <v>0</v>
      </c>
      <c r="K277" s="240">
        <f t="shared" si="131"/>
        <v>0</v>
      </c>
      <c r="L277" s="230">
        <f t="shared" si="132"/>
        <v>0</v>
      </c>
      <c r="M277" s="230">
        <v>1136</v>
      </c>
      <c r="N277" s="230"/>
      <c r="O277" s="230">
        <f t="shared" si="133"/>
        <v>1136</v>
      </c>
    </row>
    <row r="278" spans="1:16" s="1107" customFormat="1" x14ac:dyDescent="0.25">
      <c r="A278" s="232"/>
      <c r="B278" s="233" t="s">
        <v>161</v>
      </c>
      <c r="C278" s="235"/>
      <c r="D278" s="235"/>
      <c r="E278" s="235"/>
      <c r="F278" s="235"/>
      <c r="G278" s="235"/>
      <c r="H278" s="235"/>
      <c r="I278" s="236"/>
      <c r="J278" s="236"/>
      <c r="K278" s="236"/>
      <c r="L278" s="235"/>
      <c r="M278" s="235"/>
      <c r="N278" s="235"/>
      <c r="O278" s="235"/>
    </row>
    <row r="279" spans="1:16" s="1107" customFormat="1" x14ac:dyDescent="0.25">
      <c r="A279" s="232"/>
      <c r="B279" s="230" t="s">
        <v>1237</v>
      </c>
      <c r="C279" s="235"/>
      <c r="D279" s="235"/>
      <c r="E279" s="235"/>
      <c r="F279" s="235"/>
      <c r="G279" s="235"/>
      <c r="H279" s="235"/>
      <c r="I279" s="236"/>
      <c r="J279" s="236">
        <f t="shared" si="130"/>
        <v>0</v>
      </c>
      <c r="K279" s="236">
        <f t="shared" si="131"/>
        <v>0</v>
      </c>
      <c r="L279" s="235">
        <f t="shared" si="132"/>
        <v>0</v>
      </c>
      <c r="M279" s="235">
        <v>1154</v>
      </c>
      <c r="N279" s="235"/>
      <c r="O279" s="235">
        <f t="shared" si="133"/>
        <v>1154</v>
      </c>
    </row>
    <row r="280" spans="1:16" s="1107" customFormat="1" ht="31.5" x14ac:dyDescent="0.25">
      <c r="A280" s="227"/>
      <c r="B280" s="230" t="s">
        <v>1232</v>
      </c>
      <c r="C280" s="230"/>
      <c r="D280" s="230"/>
      <c r="E280" s="230"/>
      <c r="F280" s="230"/>
      <c r="G280" s="230"/>
      <c r="H280" s="230"/>
      <c r="I280" s="230"/>
      <c r="J280" s="230">
        <f t="shared" si="130"/>
        <v>0</v>
      </c>
      <c r="K280" s="230">
        <f t="shared" si="131"/>
        <v>0</v>
      </c>
      <c r="L280" s="230">
        <f t="shared" si="132"/>
        <v>0</v>
      </c>
      <c r="M280" s="230">
        <v>133</v>
      </c>
      <c r="N280" s="230"/>
      <c r="O280" s="230">
        <f t="shared" si="133"/>
        <v>133</v>
      </c>
    </row>
    <row r="281" spans="1:16" s="1107" customFormat="1" ht="63" x14ac:dyDescent="0.25">
      <c r="A281" s="227"/>
      <c r="B281" s="230" t="s">
        <v>1235</v>
      </c>
      <c r="C281" s="230"/>
      <c r="D281" s="230"/>
      <c r="E281" s="230"/>
      <c r="F281" s="230"/>
      <c r="G281" s="230"/>
      <c r="H281" s="230"/>
      <c r="I281" s="230"/>
      <c r="J281" s="230">
        <f t="shared" si="130"/>
        <v>0</v>
      </c>
      <c r="K281" s="230">
        <f t="shared" si="131"/>
        <v>0</v>
      </c>
      <c r="L281" s="230">
        <f t="shared" si="132"/>
        <v>0</v>
      </c>
      <c r="M281" s="230">
        <v>15</v>
      </c>
      <c r="N281" s="230"/>
      <c r="O281" s="230">
        <f t="shared" si="133"/>
        <v>15</v>
      </c>
    </row>
    <row r="282" spans="1:16" s="1107" customFormat="1" ht="79.5" thickBot="1" x14ac:dyDescent="0.3">
      <c r="A282" s="227"/>
      <c r="B282" s="230" t="s">
        <v>1247</v>
      </c>
      <c r="C282" s="230"/>
      <c r="D282" s="230"/>
      <c r="E282" s="230"/>
      <c r="F282" s="230"/>
      <c r="G282" s="230"/>
      <c r="H282" s="230"/>
      <c r="I282" s="230"/>
      <c r="J282" s="230">
        <f t="shared" si="130"/>
        <v>0</v>
      </c>
      <c r="K282" s="230">
        <f t="shared" si="131"/>
        <v>0</v>
      </c>
      <c r="L282" s="230">
        <f t="shared" si="132"/>
        <v>0</v>
      </c>
      <c r="M282" s="230">
        <v>15</v>
      </c>
      <c r="N282" s="230"/>
      <c r="O282" s="230">
        <f t="shared" si="133"/>
        <v>15</v>
      </c>
    </row>
    <row r="283" spans="1:16" ht="17.25" thickTop="1" thickBot="1" x14ac:dyDescent="0.3">
      <c r="A283" s="224"/>
      <c r="B283" s="231" t="s">
        <v>1035</v>
      </c>
      <c r="C283" s="231">
        <f>+C272+C276+C279+C277+C280+C281+C282</f>
        <v>10251</v>
      </c>
      <c r="D283" s="231">
        <f t="shared" ref="D283:O283" si="134">+D272+D276+D279+D277+D280+D281+D282</f>
        <v>0</v>
      </c>
      <c r="E283" s="231">
        <f t="shared" si="134"/>
        <v>0</v>
      </c>
      <c r="F283" s="231">
        <f t="shared" si="134"/>
        <v>9766</v>
      </c>
      <c r="G283" s="231">
        <f t="shared" si="134"/>
        <v>0</v>
      </c>
      <c r="H283" s="231">
        <f t="shared" si="134"/>
        <v>0</v>
      </c>
      <c r="I283" s="231">
        <f t="shared" si="134"/>
        <v>0</v>
      </c>
      <c r="J283" s="231">
        <f t="shared" si="134"/>
        <v>20017</v>
      </c>
      <c r="K283" s="231">
        <f t="shared" si="134"/>
        <v>0</v>
      </c>
      <c r="L283" s="231">
        <f t="shared" si="134"/>
        <v>20017</v>
      </c>
      <c r="M283" s="231">
        <f t="shared" si="134"/>
        <v>210899</v>
      </c>
      <c r="N283" s="231">
        <f t="shared" si="134"/>
        <v>836</v>
      </c>
      <c r="O283" s="231">
        <f t="shared" si="134"/>
        <v>231752</v>
      </c>
      <c r="P283" s="1104">
        <f>O284+O285</f>
        <v>231752</v>
      </c>
    </row>
    <row r="284" spans="1:16" ht="17.25" thickTop="1" thickBot="1" x14ac:dyDescent="0.3">
      <c r="A284" s="224"/>
      <c r="B284" s="231" t="s">
        <v>1036</v>
      </c>
      <c r="C284" s="231">
        <f>+C273+C276+C277</f>
        <v>10251</v>
      </c>
      <c r="D284" s="231">
        <f t="shared" ref="D284:O284" si="135">+D273+D276+D277</f>
        <v>0</v>
      </c>
      <c r="E284" s="231">
        <f t="shared" si="135"/>
        <v>0</v>
      </c>
      <c r="F284" s="231">
        <f t="shared" si="135"/>
        <v>9766</v>
      </c>
      <c r="G284" s="231">
        <f t="shared" si="135"/>
        <v>0</v>
      </c>
      <c r="H284" s="231">
        <f t="shared" si="135"/>
        <v>0</v>
      </c>
      <c r="I284" s="231">
        <f t="shared" si="135"/>
        <v>0</v>
      </c>
      <c r="J284" s="231">
        <f t="shared" si="135"/>
        <v>20017</v>
      </c>
      <c r="K284" s="231">
        <f t="shared" si="135"/>
        <v>0</v>
      </c>
      <c r="L284" s="231">
        <f t="shared" si="135"/>
        <v>20017</v>
      </c>
      <c r="M284" s="231">
        <f t="shared" si="135"/>
        <v>206635</v>
      </c>
      <c r="N284" s="231">
        <f t="shared" si="135"/>
        <v>836</v>
      </c>
      <c r="O284" s="231">
        <f t="shared" si="135"/>
        <v>227488</v>
      </c>
    </row>
    <row r="285" spans="1:16" ht="17.25" thickTop="1" thickBot="1" x14ac:dyDescent="0.3">
      <c r="A285" s="224"/>
      <c r="B285" s="231" t="s">
        <v>1037</v>
      </c>
      <c r="C285" s="231">
        <f t="shared" ref="C285:O285" si="136">+C274+C279+C280+C281+C282</f>
        <v>0</v>
      </c>
      <c r="D285" s="231">
        <f t="shared" si="136"/>
        <v>0</v>
      </c>
      <c r="E285" s="231">
        <f t="shared" si="136"/>
        <v>0</v>
      </c>
      <c r="F285" s="231">
        <f t="shared" si="136"/>
        <v>0</v>
      </c>
      <c r="G285" s="231">
        <f t="shared" si="136"/>
        <v>0</v>
      </c>
      <c r="H285" s="231">
        <f t="shared" si="136"/>
        <v>0</v>
      </c>
      <c r="I285" s="231">
        <f t="shared" si="136"/>
        <v>0</v>
      </c>
      <c r="J285" s="231">
        <f t="shared" si="136"/>
        <v>0</v>
      </c>
      <c r="K285" s="231">
        <f t="shared" si="136"/>
        <v>0</v>
      </c>
      <c r="L285" s="231">
        <f t="shared" si="136"/>
        <v>0</v>
      </c>
      <c r="M285" s="231">
        <f t="shared" si="136"/>
        <v>4264</v>
      </c>
      <c r="N285" s="231">
        <f t="shared" si="136"/>
        <v>0</v>
      </c>
      <c r="O285" s="231">
        <f t="shared" si="136"/>
        <v>4264</v>
      </c>
    </row>
    <row r="286" spans="1:16" ht="16.5" thickTop="1" x14ac:dyDescent="0.25">
      <c r="A286" s="243" t="s">
        <v>10</v>
      </c>
      <c r="B286" s="598" t="s">
        <v>32</v>
      </c>
      <c r="C286" s="598"/>
      <c r="D286" s="598"/>
      <c r="E286" s="598"/>
      <c r="F286" s="598"/>
      <c r="G286" s="598"/>
      <c r="H286" s="598"/>
      <c r="I286" s="598"/>
      <c r="J286" s="598"/>
      <c r="K286" s="598"/>
      <c r="L286" s="598"/>
      <c r="M286" s="598"/>
      <c r="N286" s="598"/>
      <c r="O286" s="598"/>
    </row>
    <row r="287" spans="1:16" x14ac:dyDescent="0.25">
      <c r="A287" s="226"/>
      <c r="B287" s="590" t="s">
        <v>998</v>
      </c>
      <c r="C287" s="590">
        <v>12513</v>
      </c>
      <c r="D287" s="590"/>
      <c r="E287" s="590"/>
      <c r="F287" s="590">
        <v>6314</v>
      </c>
      <c r="G287" s="590"/>
      <c r="H287" s="590"/>
      <c r="I287" s="590"/>
      <c r="J287" s="596">
        <f>SUM(C287+E287+F287+H287)</f>
        <v>18827</v>
      </c>
      <c r="K287" s="596">
        <f>SUM(D287+G287+I287)</f>
        <v>0</v>
      </c>
      <c r="L287" s="591">
        <f>SUM(J287:K287)</f>
        <v>18827</v>
      </c>
      <c r="M287" s="591">
        <v>239305</v>
      </c>
      <c r="N287" s="596">
        <v>1599</v>
      </c>
      <c r="O287" s="591">
        <f>SUM(L287:N287)</f>
        <v>259731</v>
      </c>
    </row>
    <row r="288" spans="1:16" s="1107" customFormat="1" x14ac:dyDescent="0.25">
      <c r="A288" s="232"/>
      <c r="B288" s="233" t="s">
        <v>1033</v>
      </c>
      <c r="C288" s="233">
        <v>12513</v>
      </c>
      <c r="D288" s="233"/>
      <c r="E288" s="233"/>
      <c r="F288" s="233">
        <v>6314</v>
      </c>
      <c r="G288" s="233"/>
      <c r="H288" s="233"/>
      <c r="I288" s="237"/>
      <c r="J288" s="242">
        <f>SUM(C288+E288+F288+H288)</f>
        <v>18827</v>
      </c>
      <c r="K288" s="242">
        <f>SUM(D288+G288+I288)</f>
        <v>0</v>
      </c>
      <c r="L288" s="234">
        <f>SUM(J288:K288)</f>
        <v>18827</v>
      </c>
      <c r="M288" s="234">
        <v>235628</v>
      </c>
      <c r="N288" s="242">
        <v>1599</v>
      </c>
      <c r="O288" s="234">
        <f>SUM(L288:N288)</f>
        <v>256054</v>
      </c>
    </row>
    <row r="289" spans="1:16" s="1107" customFormat="1" x14ac:dyDescent="0.25">
      <c r="A289" s="232"/>
      <c r="B289" s="233" t="s">
        <v>1034</v>
      </c>
      <c r="C289" s="233"/>
      <c r="D289" s="233"/>
      <c r="E289" s="233"/>
      <c r="F289" s="233"/>
      <c r="G289" s="233"/>
      <c r="H289" s="233"/>
      <c r="I289" s="237"/>
      <c r="J289" s="237">
        <f>SUM(C289+E289+F289+H289)</f>
        <v>0</v>
      </c>
      <c r="K289" s="237">
        <f>SUM(D289+G289+I289)</f>
        <v>0</v>
      </c>
      <c r="L289" s="233">
        <f>SUM(J289:K289)</f>
        <v>0</v>
      </c>
      <c r="M289" s="233">
        <v>3677</v>
      </c>
      <c r="N289" s="237"/>
      <c r="O289" s="233">
        <f>SUM(L289:N289)</f>
        <v>3677</v>
      </c>
    </row>
    <row r="290" spans="1:16" s="1107" customFormat="1" x14ac:dyDescent="0.25">
      <c r="A290" s="232"/>
      <c r="B290" s="233" t="s">
        <v>160</v>
      </c>
      <c r="C290" s="235"/>
      <c r="D290" s="235"/>
      <c r="E290" s="235"/>
      <c r="F290" s="235"/>
      <c r="G290" s="235"/>
      <c r="H290" s="235"/>
      <c r="I290" s="236"/>
      <c r="J290" s="236"/>
      <c r="K290" s="236"/>
      <c r="L290" s="235"/>
      <c r="M290" s="235"/>
      <c r="N290" s="236"/>
      <c r="O290" s="235"/>
    </row>
    <row r="291" spans="1:16" s="1107" customFormat="1" x14ac:dyDescent="0.25">
      <c r="A291" s="232"/>
      <c r="B291" s="230" t="s">
        <v>1229</v>
      </c>
      <c r="C291" s="235"/>
      <c r="D291" s="235"/>
      <c r="E291" s="235"/>
      <c r="F291" s="235"/>
      <c r="G291" s="235"/>
      <c r="H291" s="235"/>
      <c r="I291" s="236"/>
      <c r="J291" s="236">
        <f t="shared" ref="J291:J296" si="137">SUM(C291+E291+F291+H291)</f>
        <v>0</v>
      </c>
      <c r="K291" s="236">
        <f t="shared" ref="K291:K296" si="138">SUM(D291+G291+I291)</f>
        <v>0</v>
      </c>
      <c r="L291" s="235">
        <f t="shared" ref="L291:L296" si="139">SUM(J291:K291)</f>
        <v>0</v>
      </c>
      <c r="M291" s="235">
        <v>48</v>
      </c>
      <c r="N291" s="236"/>
      <c r="O291" s="235">
        <f t="shared" ref="O291:O296" si="140">SUM(L291:N291)</f>
        <v>48</v>
      </c>
    </row>
    <row r="292" spans="1:16" s="1107" customFormat="1" x14ac:dyDescent="0.25">
      <c r="A292" s="232"/>
      <c r="B292" s="233" t="s">
        <v>161</v>
      </c>
      <c r="C292" s="235"/>
      <c r="D292" s="235"/>
      <c r="E292" s="235"/>
      <c r="F292" s="235"/>
      <c r="G292" s="235"/>
      <c r="H292" s="235"/>
      <c r="I292" s="236"/>
      <c r="J292" s="236"/>
      <c r="K292" s="236"/>
      <c r="L292" s="235"/>
      <c r="M292" s="235"/>
      <c r="N292" s="236"/>
      <c r="O292" s="235"/>
    </row>
    <row r="293" spans="1:16" s="1107" customFormat="1" x14ac:dyDescent="0.25">
      <c r="A293" s="232"/>
      <c r="B293" s="230" t="s">
        <v>1237</v>
      </c>
      <c r="C293" s="235"/>
      <c r="D293" s="235"/>
      <c r="E293" s="235"/>
      <c r="F293" s="235"/>
      <c r="G293" s="235"/>
      <c r="H293" s="235"/>
      <c r="I293" s="236"/>
      <c r="J293" s="236">
        <f t="shared" si="137"/>
        <v>0</v>
      </c>
      <c r="K293" s="236">
        <f t="shared" si="138"/>
        <v>0</v>
      </c>
      <c r="L293" s="235">
        <f t="shared" si="139"/>
        <v>0</v>
      </c>
      <c r="M293" s="235">
        <v>1520</v>
      </c>
      <c r="N293" s="236"/>
      <c r="O293" s="235">
        <f t="shared" si="140"/>
        <v>1520</v>
      </c>
    </row>
    <row r="294" spans="1:16" s="1107" customFormat="1" ht="31.5" x14ac:dyDescent="0.25">
      <c r="A294" s="232"/>
      <c r="B294" s="230" t="s">
        <v>1232</v>
      </c>
      <c r="C294" s="235"/>
      <c r="D294" s="235"/>
      <c r="E294" s="235"/>
      <c r="F294" s="235"/>
      <c r="G294" s="235"/>
      <c r="H294" s="235"/>
      <c r="I294" s="236"/>
      <c r="J294" s="236">
        <f t="shared" si="137"/>
        <v>0</v>
      </c>
      <c r="K294" s="236">
        <f t="shared" si="138"/>
        <v>0</v>
      </c>
      <c r="L294" s="235">
        <f t="shared" si="139"/>
        <v>0</v>
      </c>
      <c r="M294" s="235">
        <v>211</v>
      </c>
      <c r="N294" s="236"/>
      <c r="O294" s="235">
        <f t="shared" si="140"/>
        <v>211</v>
      </c>
    </row>
    <row r="295" spans="1:16" s="1107" customFormat="1" ht="63" x14ac:dyDescent="0.25">
      <c r="A295" s="232"/>
      <c r="B295" s="230" t="s">
        <v>1235</v>
      </c>
      <c r="C295" s="235"/>
      <c r="D295" s="235"/>
      <c r="E295" s="235"/>
      <c r="F295" s="235"/>
      <c r="G295" s="235"/>
      <c r="H295" s="235"/>
      <c r="I295" s="236"/>
      <c r="J295" s="236">
        <f t="shared" si="137"/>
        <v>0</v>
      </c>
      <c r="K295" s="236">
        <f t="shared" si="138"/>
        <v>0</v>
      </c>
      <c r="L295" s="235">
        <f t="shared" si="139"/>
        <v>0</v>
      </c>
      <c r="M295" s="235">
        <v>15</v>
      </c>
      <c r="N295" s="236"/>
      <c r="O295" s="235">
        <f t="shared" si="140"/>
        <v>15</v>
      </c>
    </row>
    <row r="296" spans="1:16" s="1107" customFormat="1" ht="79.5" thickBot="1" x14ac:dyDescent="0.3">
      <c r="A296" s="232"/>
      <c r="B296" s="230" t="s">
        <v>1248</v>
      </c>
      <c r="C296" s="235"/>
      <c r="D296" s="235"/>
      <c r="E296" s="235"/>
      <c r="F296" s="235"/>
      <c r="G296" s="235"/>
      <c r="H296" s="235"/>
      <c r="I296" s="236"/>
      <c r="J296" s="236">
        <f t="shared" si="137"/>
        <v>0</v>
      </c>
      <c r="K296" s="236">
        <f t="shared" si="138"/>
        <v>0</v>
      </c>
      <c r="L296" s="235">
        <f t="shared" si="139"/>
        <v>0</v>
      </c>
      <c r="M296" s="235">
        <v>15</v>
      </c>
      <c r="N296" s="236"/>
      <c r="O296" s="235">
        <f t="shared" si="140"/>
        <v>15</v>
      </c>
    </row>
    <row r="297" spans="1:16" ht="17.25" thickTop="1" thickBot="1" x14ac:dyDescent="0.3">
      <c r="A297" s="224"/>
      <c r="B297" s="231" t="s">
        <v>1035</v>
      </c>
      <c r="C297" s="231">
        <f>+C287+C291+C293+C294+C295+C296</f>
        <v>12513</v>
      </c>
      <c r="D297" s="231">
        <f t="shared" ref="D297:O297" si="141">+D287+D291+D293+D294+D295+D296</f>
        <v>0</v>
      </c>
      <c r="E297" s="231">
        <f t="shared" si="141"/>
        <v>0</v>
      </c>
      <c r="F297" s="231">
        <f t="shared" si="141"/>
        <v>6314</v>
      </c>
      <c r="G297" s="231">
        <f t="shared" si="141"/>
        <v>0</v>
      </c>
      <c r="H297" s="231">
        <f t="shared" si="141"/>
        <v>0</v>
      </c>
      <c r="I297" s="231">
        <f t="shared" si="141"/>
        <v>0</v>
      </c>
      <c r="J297" s="231">
        <f t="shared" si="141"/>
        <v>18827</v>
      </c>
      <c r="K297" s="231">
        <f t="shared" si="141"/>
        <v>0</v>
      </c>
      <c r="L297" s="231">
        <f t="shared" si="141"/>
        <v>18827</v>
      </c>
      <c r="M297" s="231">
        <f t="shared" si="141"/>
        <v>241114</v>
      </c>
      <c r="N297" s="231">
        <f t="shared" si="141"/>
        <v>1599</v>
      </c>
      <c r="O297" s="231">
        <f t="shared" si="141"/>
        <v>261540</v>
      </c>
      <c r="P297" s="1104">
        <f>O298+O299</f>
        <v>261540</v>
      </c>
    </row>
    <row r="298" spans="1:16" ht="17.25" thickTop="1" thickBot="1" x14ac:dyDescent="0.3">
      <c r="A298" s="224"/>
      <c r="B298" s="231" t="s">
        <v>1036</v>
      </c>
      <c r="C298" s="231">
        <f>+C288+C291</f>
        <v>12513</v>
      </c>
      <c r="D298" s="231">
        <f t="shared" ref="D298:O298" si="142">+D288+D291</f>
        <v>0</v>
      </c>
      <c r="E298" s="231">
        <f t="shared" si="142"/>
        <v>0</v>
      </c>
      <c r="F298" s="231">
        <f t="shared" si="142"/>
        <v>6314</v>
      </c>
      <c r="G298" s="231">
        <f t="shared" si="142"/>
        <v>0</v>
      </c>
      <c r="H298" s="231">
        <f t="shared" si="142"/>
        <v>0</v>
      </c>
      <c r="I298" s="231">
        <f t="shared" si="142"/>
        <v>0</v>
      </c>
      <c r="J298" s="231">
        <f t="shared" si="142"/>
        <v>18827</v>
      </c>
      <c r="K298" s="231">
        <f t="shared" si="142"/>
        <v>0</v>
      </c>
      <c r="L298" s="231">
        <f t="shared" si="142"/>
        <v>18827</v>
      </c>
      <c r="M298" s="231">
        <f t="shared" si="142"/>
        <v>235676</v>
      </c>
      <c r="N298" s="231">
        <f t="shared" si="142"/>
        <v>1599</v>
      </c>
      <c r="O298" s="231">
        <f t="shared" si="142"/>
        <v>256102</v>
      </c>
    </row>
    <row r="299" spans="1:16" ht="17.25" thickTop="1" thickBot="1" x14ac:dyDescent="0.3">
      <c r="A299" s="224"/>
      <c r="B299" s="231" t="s">
        <v>1037</v>
      </c>
      <c r="C299" s="231">
        <f t="shared" ref="C299:O299" si="143">+C289+C293+C294+C295+C296</f>
        <v>0</v>
      </c>
      <c r="D299" s="231">
        <f t="shared" si="143"/>
        <v>0</v>
      </c>
      <c r="E299" s="231">
        <f t="shared" si="143"/>
        <v>0</v>
      </c>
      <c r="F299" s="231">
        <f t="shared" si="143"/>
        <v>0</v>
      </c>
      <c r="G299" s="231">
        <f t="shared" si="143"/>
        <v>0</v>
      </c>
      <c r="H299" s="231">
        <f t="shared" si="143"/>
        <v>0</v>
      </c>
      <c r="I299" s="231">
        <f t="shared" si="143"/>
        <v>0</v>
      </c>
      <c r="J299" s="231">
        <f t="shared" si="143"/>
        <v>0</v>
      </c>
      <c r="K299" s="231">
        <f t="shared" si="143"/>
        <v>0</v>
      </c>
      <c r="L299" s="231">
        <f t="shared" si="143"/>
        <v>0</v>
      </c>
      <c r="M299" s="231">
        <f t="shared" si="143"/>
        <v>5438</v>
      </c>
      <c r="N299" s="231">
        <f t="shared" si="143"/>
        <v>0</v>
      </c>
      <c r="O299" s="231">
        <f t="shared" si="143"/>
        <v>5438</v>
      </c>
    </row>
    <row r="300" spans="1:16" ht="17.25" thickTop="1" thickBot="1" x14ac:dyDescent="0.3">
      <c r="A300" s="224"/>
      <c r="B300" s="231" t="s">
        <v>405</v>
      </c>
      <c r="C300" s="231">
        <f t="shared" ref="C300:O300" si="144">SUM(C139+C152+C165+C180+C195+C208+C224+C239+C253+C268+C283+C297)</f>
        <v>141457</v>
      </c>
      <c r="D300" s="231">
        <f t="shared" si="144"/>
        <v>0</v>
      </c>
      <c r="E300" s="231">
        <f t="shared" si="144"/>
        <v>0</v>
      </c>
      <c r="F300" s="231">
        <f t="shared" si="144"/>
        <v>91233</v>
      </c>
      <c r="G300" s="231">
        <f t="shared" si="144"/>
        <v>0</v>
      </c>
      <c r="H300" s="231">
        <f t="shared" si="144"/>
        <v>0</v>
      </c>
      <c r="I300" s="231">
        <f t="shared" si="144"/>
        <v>0</v>
      </c>
      <c r="J300" s="231">
        <f t="shared" si="144"/>
        <v>232690</v>
      </c>
      <c r="K300" s="231">
        <f t="shared" si="144"/>
        <v>0</v>
      </c>
      <c r="L300" s="231">
        <f t="shared" si="144"/>
        <v>232690</v>
      </c>
      <c r="M300" s="231">
        <f t="shared" si="144"/>
        <v>2758675</v>
      </c>
      <c r="N300" s="231">
        <f t="shared" si="144"/>
        <v>23908</v>
      </c>
      <c r="O300" s="231">
        <f t="shared" si="144"/>
        <v>3015273</v>
      </c>
    </row>
    <row r="301" spans="1:16" ht="17.25" thickTop="1" thickBot="1" x14ac:dyDescent="0.3">
      <c r="A301" s="224"/>
      <c r="B301" s="231" t="s">
        <v>406</v>
      </c>
      <c r="C301" s="231">
        <f t="shared" ref="C301:O301" si="145">SUM(C35+C126+C300)</f>
        <v>660595</v>
      </c>
      <c r="D301" s="231">
        <f t="shared" si="145"/>
        <v>0</v>
      </c>
      <c r="E301" s="231">
        <f t="shared" si="145"/>
        <v>0</v>
      </c>
      <c r="F301" s="231">
        <f t="shared" si="145"/>
        <v>146549</v>
      </c>
      <c r="G301" s="231">
        <f t="shared" si="145"/>
        <v>0</v>
      </c>
      <c r="H301" s="231">
        <f t="shared" si="145"/>
        <v>0</v>
      </c>
      <c r="I301" s="231">
        <f t="shared" si="145"/>
        <v>0</v>
      </c>
      <c r="J301" s="231">
        <f t="shared" si="145"/>
        <v>807144</v>
      </c>
      <c r="K301" s="231">
        <f t="shared" si="145"/>
        <v>0</v>
      </c>
      <c r="L301" s="231">
        <f t="shared" si="145"/>
        <v>807144</v>
      </c>
      <c r="M301" s="231">
        <f t="shared" si="145"/>
        <v>3789133</v>
      </c>
      <c r="N301" s="231">
        <f t="shared" si="145"/>
        <v>142536</v>
      </c>
      <c r="O301" s="231">
        <f t="shared" si="145"/>
        <v>4738813</v>
      </c>
    </row>
    <row r="302" spans="1:16" ht="16.5" thickTop="1" x14ac:dyDescent="0.25">
      <c r="A302" s="226" t="s">
        <v>11</v>
      </c>
      <c r="B302" s="590" t="s">
        <v>33</v>
      </c>
      <c r="C302" s="590"/>
      <c r="D302" s="590"/>
      <c r="E302" s="590"/>
      <c r="F302" s="590"/>
      <c r="G302" s="590"/>
      <c r="H302" s="590"/>
      <c r="I302" s="590"/>
      <c r="J302" s="590"/>
      <c r="K302" s="590"/>
      <c r="L302" s="590"/>
      <c r="M302" s="590"/>
      <c r="N302" s="590"/>
      <c r="O302" s="590"/>
    </row>
    <row r="303" spans="1:16" x14ac:dyDescent="0.25">
      <c r="A303" s="226"/>
      <c r="B303" s="591" t="s">
        <v>998</v>
      </c>
      <c r="C303" s="591">
        <v>100264</v>
      </c>
      <c r="D303" s="591"/>
      <c r="E303" s="591"/>
      <c r="F303" s="591">
        <v>321401</v>
      </c>
      <c r="G303" s="591"/>
      <c r="H303" s="591"/>
      <c r="I303" s="591"/>
      <c r="J303" s="596">
        <f>SUM(C303+E303+F303+H303)</f>
        <v>421665</v>
      </c>
      <c r="K303" s="596">
        <f>SUM(D303+G303+I303)</f>
        <v>0</v>
      </c>
      <c r="L303" s="591">
        <f>SUM(J303:K303)</f>
        <v>421665</v>
      </c>
      <c r="M303" s="591">
        <v>940284</v>
      </c>
      <c r="N303" s="596">
        <v>21144</v>
      </c>
      <c r="O303" s="591">
        <f>SUM(L303:N303)</f>
        <v>1383093</v>
      </c>
    </row>
    <row r="304" spans="1:16" s="1107" customFormat="1" x14ac:dyDescent="0.25">
      <c r="A304" s="227"/>
      <c r="B304" s="228" t="s">
        <v>1033</v>
      </c>
      <c r="C304" s="228">
        <v>100264</v>
      </c>
      <c r="D304" s="228"/>
      <c r="E304" s="228"/>
      <c r="F304" s="228">
        <v>321401</v>
      </c>
      <c r="G304" s="228"/>
      <c r="H304" s="228"/>
      <c r="I304" s="241"/>
      <c r="J304" s="239">
        <f>SUM(C304+E304+F304+H304)</f>
        <v>421665</v>
      </c>
      <c r="K304" s="239">
        <f>SUM(D304+G304+I304)</f>
        <v>0</v>
      </c>
      <c r="L304" s="229">
        <f>SUM(J304:K304)</f>
        <v>421665</v>
      </c>
      <c r="M304" s="229">
        <v>921772</v>
      </c>
      <c r="N304" s="239">
        <v>21144</v>
      </c>
      <c r="O304" s="229">
        <f>SUM(L304:N304)</f>
        <v>1364581</v>
      </c>
    </row>
    <row r="305" spans="1:16" s="1107" customFormat="1" x14ac:dyDescent="0.25">
      <c r="A305" s="227"/>
      <c r="B305" s="228" t="s">
        <v>1034</v>
      </c>
      <c r="C305" s="228"/>
      <c r="D305" s="228"/>
      <c r="E305" s="228"/>
      <c r="F305" s="228"/>
      <c r="G305" s="228"/>
      <c r="H305" s="228"/>
      <c r="I305" s="241"/>
      <c r="J305" s="241">
        <f>SUM(C305+E305+F305+H305)</f>
        <v>0</v>
      </c>
      <c r="K305" s="241">
        <f>SUM(D305+G305+I305)</f>
        <v>0</v>
      </c>
      <c r="L305" s="228">
        <f>SUM(J305:K305)</f>
        <v>0</v>
      </c>
      <c r="M305" s="228">
        <v>18512</v>
      </c>
      <c r="N305" s="241"/>
      <c r="O305" s="228">
        <f>SUM(L305:N305)</f>
        <v>18512</v>
      </c>
    </row>
    <row r="306" spans="1:16" s="1107" customFormat="1" x14ac:dyDescent="0.25">
      <c r="A306" s="227"/>
      <c r="B306" s="228" t="s">
        <v>160</v>
      </c>
      <c r="C306" s="230"/>
      <c r="D306" s="230"/>
      <c r="E306" s="230"/>
      <c r="F306" s="230"/>
      <c r="G306" s="230"/>
      <c r="H306" s="230"/>
      <c r="I306" s="240"/>
      <c r="J306" s="240"/>
      <c r="K306" s="240"/>
      <c r="L306" s="230"/>
      <c r="M306" s="230"/>
      <c r="N306" s="240"/>
      <c r="O306" s="230"/>
    </row>
    <row r="307" spans="1:16" s="1107" customFormat="1" x14ac:dyDescent="0.25">
      <c r="A307" s="227"/>
      <c r="B307" s="230" t="s">
        <v>1229</v>
      </c>
      <c r="C307" s="230"/>
      <c r="D307" s="230"/>
      <c r="E307" s="230"/>
      <c r="F307" s="230"/>
      <c r="G307" s="230"/>
      <c r="H307" s="230"/>
      <c r="I307" s="240"/>
      <c r="J307" s="240">
        <f t="shared" ref="J307:J314" si="146">SUM(C307+E307+F307+H307)</f>
        <v>0</v>
      </c>
      <c r="K307" s="240">
        <f t="shared" ref="K307:K314" si="147">SUM(D307+G307+I307)</f>
        <v>0</v>
      </c>
      <c r="L307" s="230">
        <f t="shared" ref="L307:L314" si="148">SUM(J307:K307)</f>
        <v>0</v>
      </c>
      <c r="M307" s="230">
        <v>363</v>
      </c>
      <c r="N307" s="240"/>
      <c r="O307" s="230">
        <f t="shared" ref="O307:O314" si="149">SUM(L307:N307)</f>
        <v>363</v>
      </c>
    </row>
    <row r="308" spans="1:16" s="1107" customFormat="1" ht="31.5" x14ac:dyDescent="0.25">
      <c r="A308" s="227"/>
      <c r="B308" s="230" t="s">
        <v>1233</v>
      </c>
      <c r="C308" s="230"/>
      <c r="D308" s="230"/>
      <c r="E308" s="230"/>
      <c r="F308" s="230"/>
      <c r="G308" s="230"/>
      <c r="H308" s="230"/>
      <c r="I308" s="240"/>
      <c r="J308" s="240">
        <f t="shared" si="146"/>
        <v>0</v>
      </c>
      <c r="K308" s="240">
        <f t="shared" si="147"/>
        <v>0</v>
      </c>
      <c r="L308" s="230">
        <f t="shared" si="148"/>
        <v>0</v>
      </c>
      <c r="M308" s="230">
        <v>16325</v>
      </c>
      <c r="N308" s="240"/>
      <c r="O308" s="230">
        <f t="shared" si="149"/>
        <v>16325</v>
      </c>
    </row>
    <row r="309" spans="1:16" s="1107" customFormat="1" ht="31.5" x14ac:dyDescent="0.25">
      <c r="A309" s="227"/>
      <c r="B309" s="230" t="s">
        <v>1249</v>
      </c>
      <c r="C309" s="230"/>
      <c r="D309" s="230"/>
      <c r="E309" s="230"/>
      <c r="F309" s="230"/>
      <c r="G309" s="230"/>
      <c r="H309" s="230"/>
      <c r="I309" s="240"/>
      <c r="J309" s="240">
        <f t="shared" si="146"/>
        <v>0</v>
      </c>
      <c r="K309" s="240">
        <f t="shared" si="147"/>
        <v>0</v>
      </c>
      <c r="L309" s="230">
        <f t="shared" si="148"/>
        <v>0</v>
      </c>
      <c r="M309" s="230">
        <v>1706</v>
      </c>
      <c r="N309" s="240"/>
      <c r="O309" s="230">
        <f t="shared" si="149"/>
        <v>1706</v>
      </c>
    </row>
    <row r="310" spans="1:16" s="1107" customFormat="1" ht="47.25" x14ac:dyDescent="0.25">
      <c r="A310" s="227"/>
      <c r="B310" s="230" t="s">
        <v>1230</v>
      </c>
      <c r="C310" s="230"/>
      <c r="D310" s="230"/>
      <c r="E310" s="230"/>
      <c r="F310" s="230"/>
      <c r="G310" s="230"/>
      <c r="H310" s="230"/>
      <c r="I310" s="240"/>
      <c r="J310" s="240">
        <f t="shared" si="146"/>
        <v>0</v>
      </c>
      <c r="K310" s="240">
        <f t="shared" si="147"/>
        <v>0</v>
      </c>
      <c r="L310" s="230">
        <f t="shared" si="148"/>
        <v>0</v>
      </c>
      <c r="M310" s="230">
        <v>2979</v>
      </c>
      <c r="N310" s="240"/>
      <c r="O310" s="230">
        <f t="shared" si="149"/>
        <v>2979</v>
      </c>
    </row>
    <row r="311" spans="1:16" s="1107" customFormat="1" x14ac:dyDescent="0.25">
      <c r="A311" s="227"/>
      <c r="B311" s="228" t="s">
        <v>161</v>
      </c>
      <c r="C311" s="230"/>
      <c r="D311" s="230"/>
      <c r="E311" s="230"/>
      <c r="F311" s="230"/>
      <c r="G311" s="230"/>
      <c r="H311" s="230"/>
      <c r="I311" s="240"/>
      <c r="J311" s="240"/>
      <c r="K311" s="240"/>
      <c r="L311" s="230"/>
      <c r="M311" s="230"/>
      <c r="N311" s="240"/>
      <c r="O311" s="230"/>
    </row>
    <row r="312" spans="1:16" s="1107" customFormat="1" x14ac:dyDescent="0.25">
      <c r="A312" s="227"/>
      <c r="B312" s="230" t="s">
        <v>1237</v>
      </c>
      <c r="C312" s="230"/>
      <c r="D312" s="230"/>
      <c r="E312" s="230"/>
      <c r="F312" s="230"/>
      <c r="G312" s="230"/>
      <c r="H312" s="230"/>
      <c r="I312" s="240"/>
      <c r="J312" s="240">
        <f t="shared" si="146"/>
        <v>0</v>
      </c>
      <c r="K312" s="240">
        <f t="shared" si="147"/>
        <v>0</v>
      </c>
      <c r="L312" s="230">
        <f t="shared" si="148"/>
        <v>0</v>
      </c>
      <c r="M312" s="230">
        <v>7380</v>
      </c>
      <c r="N312" s="240"/>
      <c r="O312" s="230">
        <f t="shared" si="149"/>
        <v>7380</v>
      </c>
    </row>
    <row r="313" spans="1:16" s="1107" customFormat="1" ht="31.5" x14ac:dyDescent="0.25">
      <c r="A313" s="227"/>
      <c r="B313" s="230" t="s">
        <v>1232</v>
      </c>
      <c r="C313" s="230"/>
      <c r="D313" s="230"/>
      <c r="E313" s="230"/>
      <c r="F313" s="230"/>
      <c r="G313" s="230"/>
      <c r="H313" s="230"/>
      <c r="I313" s="240"/>
      <c r="J313" s="240">
        <f t="shared" si="146"/>
        <v>0</v>
      </c>
      <c r="K313" s="240">
        <f t="shared" si="147"/>
        <v>0</v>
      </c>
      <c r="L313" s="230">
        <f t="shared" si="148"/>
        <v>0</v>
      </c>
      <c r="M313" s="230">
        <v>1021</v>
      </c>
      <c r="N313" s="240"/>
      <c r="O313" s="230">
        <f t="shared" si="149"/>
        <v>1021</v>
      </c>
    </row>
    <row r="314" spans="1:16" s="1107" customFormat="1" ht="79.5" thickBot="1" x14ac:dyDescent="0.3">
      <c r="A314" s="227"/>
      <c r="B314" s="230" t="s">
        <v>1234</v>
      </c>
      <c r="C314" s="230"/>
      <c r="D314" s="230"/>
      <c r="E314" s="230"/>
      <c r="F314" s="230"/>
      <c r="G314" s="230"/>
      <c r="H314" s="230"/>
      <c r="I314" s="240"/>
      <c r="J314" s="240">
        <f t="shared" si="146"/>
        <v>0</v>
      </c>
      <c r="K314" s="240">
        <f t="shared" si="147"/>
        <v>0</v>
      </c>
      <c r="L314" s="230">
        <f t="shared" si="148"/>
        <v>0</v>
      </c>
      <c r="M314" s="230">
        <v>400</v>
      </c>
      <c r="N314" s="240"/>
      <c r="O314" s="230">
        <f t="shared" si="149"/>
        <v>400</v>
      </c>
    </row>
    <row r="315" spans="1:16" ht="17.25" thickTop="1" thickBot="1" x14ac:dyDescent="0.3">
      <c r="A315" s="224"/>
      <c r="B315" s="231" t="s">
        <v>1035</v>
      </c>
      <c r="C315" s="231">
        <f>+C303+C307+C312+C308+C309+C310+C313+C314</f>
        <v>100264</v>
      </c>
      <c r="D315" s="231">
        <f t="shared" ref="D315:O315" si="150">+D303+D307+D312+D308+D309+D310+D313+D314</f>
        <v>0</v>
      </c>
      <c r="E315" s="231">
        <f t="shared" si="150"/>
        <v>0</v>
      </c>
      <c r="F315" s="231">
        <f t="shared" si="150"/>
        <v>321401</v>
      </c>
      <c r="G315" s="231">
        <f t="shared" si="150"/>
        <v>0</v>
      </c>
      <c r="H315" s="231">
        <f t="shared" si="150"/>
        <v>0</v>
      </c>
      <c r="I315" s="231">
        <f t="shared" si="150"/>
        <v>0</v>
      </c>
      <c r="J315" s="231">
        <f t="shared" si="150"/>
        <v>421665</v>
      </c>
      <c r="K315" s="231">
        <f t="shared" si="150"/>
        <v>0</v>
      </c>
      <c r="L315" s="231">
        <f t="shared" si="150"/>
        <v>421665</v>
      </c>
      <c r="M315" s="231">
        <f t="shared" si="150"/>
        <v>970458</v>
      </c>
      <c r="N315" s="231">
        <f t="shared" si="150"/>
        <v>21144</v>
      </c>
      <c r="O315" s="231">
        <f t="shared" si="150"/>
        <v>1413267</v>
      </c>
      <c r="P315" s="1104">
        <f>O316+O317</f>
        <v>1413267</v>
      </c>
    </row>
    <row r="316" spans="1:16" ht="17.25" thickTop="1" thickBot="1" x14ac:dyDescent="0.3">
      <c r="A316" s="224"/>
      <c r="B316" s="231" t="s">
        <v>1036</v>
      </c>
      <c r="C316" s="231">
        <f>+C304+C307+C308+C309+C310</f>
        <v>100264</v>
      </c>
      <c r="D316" s="231">
        <f t="shared" ref="D316:O316" si="151">+D304+D307+D308+D309+D310</f>
        <v>0</v>
      </c>
      <c r="E316" s="231">
        <f t="shared" si="151"/>
        <v>0</v>
      </c>
      <c r="F316" s="231">
        <f t="shared" si="151"/>
        <v>321401</v>
      </c>
      <c r="G316" s="231">
        <f t="shared" si="151"/>
        <v>0</v>
      </c>
      <c r="H316" s="231">
        <f t="shared" si="151"/>
        <v>0</v>
      </c>
      <c r="I316" s="231">
        <f t="shared" si="151"/>
        <v>0</v>
      </c>
      <c r="J316" s="231">
        <f t="shared" si="151"/>
        <v>421665</v>
      </c>
      <c r="K316" s="231">
        <f t="shared" si="151"/>
        <v>0</v>
      </c>
      <c r="L316" s="231">
        <f t="shared" si="151"/>
        <v>421665</v>
      </c>
      <c r="M316" s="231">
        <f t="shared" si="151"/>
        <v>943145</v>
      </c>
      <c r="N316" s="231">
        <f t="shared" si="151"/>
        <v>21144</v>
      </c>
      <c r="O316" s="231">
        <f t="shared" si="151"/>
        <v>1385954</v>
      </c>
    </row>
    <row r="317" spans="1:16" ht="17.25" thickTop="1" thickBot="1" x14ac:dyDescent="0.3">
      <c r="A317" s="224"/>
      <c r="B317" s="231" t="s">
        <v>1037</v>
      </c>
      <c r="C317" s="231">
        <f t="shared" ref="C317:O317" si="152">+C305+C312+C313+C314</f>
        <v>0</v>
      </c>
      <c r="D317" s="231">
        <f t="shared" si="152"/>
        <v>0</v>
      </c>
      <c r="E317" s="231">
        <f t="shared" si="152"/>
        <v>0</v>
      </c>
      <c r="F317" s="231">
        <f t="shared" si="152"/>
        <v>0</v>
      </c>
      <c r="G317" s="231">
        <f t="shared" si="152"/>
        <v>0</v>
      </c>
      <c r="H317" s="231">
        <f t="shared" si="152"/>
        <v>0</v>
      </c>
      <c r="I317" s="231">
        <f t="shared" si="152"/>
        <v>0</v>
      </c>
      <c r="J317" s="231">
        <f t="shared" si="152"/>
        <v>0</v>
      </c>
      <c r="K317" s="231">
        <f t="shared" si="152"/>
        <v>0</v>
      </c>
      <c r="L317" s="231">
        <f t="shared" si="152"/>
        <v>0</v>
      </c>
      <c r="M317" s="231">
        <f t="shared" si="152"/>
        <v>27313</v>
      </c>
      <c r="N317" s="231">
        <f t="shared" si="152"/>
        <v>0</v>
      </c>
      <c r="O317" s="231">
        <f t="shared" si="152"/>
        <v>27313</v>
      </c>
    </row>
    <row r="318" spans="1:16" ht="32.25" thickTop="1" x14ac:dyDescent="0.25">
      <c r="A318" s="226" t="s">
        <v>12</v>
      </c>
      <c r="B318" s="590" t="s">
        <v>561</v>
      </c>
      <c r="C318" s="590"/>
      <c r="D318" s="590"/>
      <c r="E318" s="590"/>
      <c r="F318" s="590"/>
      <c r="G318" s="590"/>
      <c r="H318" s="590"/>
      <c r="I318" s="590"/>
      <c r="J318" s="590"/>
      <c r="K318" s="590"/>
      <c r="L318" s="590"/>
      <c r="M318" s="590"/>
      <c r="N318" s="590"/>
      <c r="O318" s="590"/>
    </row>
    <row r="319" spans="1:16" x14ac:dyDescent="0.25">
      <c r="A319" s="226"/>
      <c r="B319" s="591" t="s">
        <v>998</v>
      </c>
      <c r="C319" s="591">
        <v>14903</v>
      </c>
      <c r="D319" s="591"/>
      <c r="E319" s="591"/>
      <c r="F319" s="591"/>
      <c r="G319" s="591"/>
      <c r="H319" s="591"/>
      <c r="I319" s="591"/>
      <c r="J319" s="596">
        <f>SUM(C319+E319+F319+H319)</f>
        <v>14903</v>
      </c>
      <c r="K319" s="596">
        <f>SUM(D319+G319+I319)</f>
        <v>0</v>
      </c>
      <c r="L319" s="591">
        <f>SUM(J319:K319)</f>
        <v>14903</v>
      </c>
      <c r="M319" s="591">
        <v>297805</v>
      </c>
      <c r="N319" s="596">
        <v>185103</v>
      </c>
      <c r="O319" s="591">
        <f>SUM(L319:N319)</f>
        <v>497811</v>
      </c>
    </row>
    <row r="320" spans="1:16" s="1107" customFormat="1" x14ac:dyDescent="0.25">
      <c r="A320" s="227"/>
      <c r="B320" s="228" t="s">
        <v>1033</v>
      </c>
      <c r="C320" s="228">
        <v>14903</v>
      </c>
      <c r="D320" s="228"/>
      <c r="E320" s="228"/>
      <c r="F320" s="228"/>
      <c r="G320" s="228"/>
      <c r="H320" s="228"/>
      <c r="I320" s="241"/>
      <c r="J320" s="239">
        <f>SUM(C320+E320+F320+H320)</f>
        <v>14903</v>
      </c>
      <c r="K320" s="239">
        <f>SUM(D320+G320+I320)</f>
        <v>0</v>
      </c>
      <c r="L320" s="229">
        <f>SUM(J320:K320)</f>
        <v>14903</v>
      </c>
      <c r="M320" s="229">
        <v>289448</v>
      </c>
      <c r="N320" s="239">
        <v>185103</v>
      </c>
      <c r="O320" s="229">
        <f>SUM(L320:N320)</f>
        <v>489454</v>
      </c>
    </row>
    <row r="321" spans="1:16" s="1107" customFormat="1" x14ac:dyDescent="0.25">
      <c r="A321" s="227"/>
      <c r="B321" s="228" t="s">
        <v>1034</v>
      </c>
      <c r="C321" s="228"/>
      <c r="D321" s="228"/>
      <c r="E321" s="228"/>
      <c r="F321" s="228"/>
      <c r="G321" s="228"/>
      <c r="H321" s="228"/>
      <c r="I321" s="241"/>
      <c r="J321" s="241">
        <f>SUM(C321+E321+F321+H321)</f>
        <v>0</v>
      </c>
      <c r="K321" s="241">
        <f>SUM(D321+G321+I321)</f>
        <v>0</v>
      </c>
      <c r="L321" s="228">
        <f>SUM(J321:K321)</f>
        <v>0</v>
      </c>
      <c r="M321" s="228">
        <v>8357</v>
      </c>
      <c r="N321" s="241"/>
      <c r="O321" s="228">
        <f>SUM(L321:N321)</f>
        <v>8357</v>
      </c>
    </row>
    <row r="322" spans="1:16" s="1107" customFormat="1" x14ac:dyDescent="0.25">
      <c r="A322" s="232"/>
      <c r="B322" s="228" t="s">
        <v>160</v>
      </c>
      <c r="C322" s="230"/>
      <c r="D322" s="230"/>
      <c r="E322" s="230"/>
      <c r="F322" s="230"/>
      <c r="G322" s="230"/>
      <c r="H322" s="230"/>
      <c r="I322" s="240"/>
      <c r="J322" s="240"/>
      <c r="K322" s="240"/>
      <c r="L322" s="230"/>
      <c r="M322" s="230"/>
      <c r="N322" s="240"/>
      <c r="O322" s="230"/>
    </row>
    <row r="323" spans="1:16" s="1107" customFormat="1" x14ac:dyDescent="0.25">
      <c r="A323" s="227"/>
      <c r="B323" s="230" t="s">
        <v>1229</v>
      </c>
      <c r="C323" s="235"/>
      <c r="D323" s="235"/>
      <c r="E323" s="235"/>
      <c r="F323" s="235"/>
      <c r="G323" s="235"/>
      <c r="H323" s="235"/>
      <c r="I323" s="236"/>
      <c r="J323" s="236">
        <f t="shared" ref="J323:J329" si="153">SUM(C323+E323+F323+H323)</f>
        <v>0</v>
      </c>
      <c r="K323" s="236">
        <f t="shared" ref="K323:K329" si="154">SUM(D323+G323+I323)</f>
        <v>0</v>
      </c>
      <c r="L323" s="235">
        <f t="shared" ref="L323:L329" si="155">SUM(J323:K323)</f>
        <v>0</v>
      </c>
      <c r="M323" s="235">
        <v>298</v>
      </c>
      <c r="N323" s="236"/>
      <c r="O323" s="235">
        <f t="shared" ref="O323:O329" si="156">SUM(L323:N323)</f>
        <v>298</v>
      </c>
    </row>
    <row r="324" spans="1:16" s="1107" customFormat="1" ht="31.5" x14ac:dyDescent="0.25">
      <c r="A324" s="232"/>
      <c r="B324" s="230" t="s">
        <v>1233</v>
      </c>
      <c r="C324" s="235"/>
      <c r="D324" s="235"/>
      <c r="E324" s="235"/>
      <c r="F324" s="235"/>
      <c r="G324" s="235"/>
      <c r="H324" s="235"/>
      <c r="I324" s="236"/>
      <c r="J324" s="236">
        <f t="shared" si="153"/>
        <v>0</v>
      </c>
      <c r="K324" s="236">
        <f t="shared" si="154"/>
        <v>0</v>
      </c>
      <c r="L324" s="235">
        <f t="shared" si="155"/>
        <v>0</v>
      </c>
      <c r="M324" s="235">
        <v>14397</v>
      </c>
      <c r="N324" s="236"/>
      <c r="O324" s="235">
        <f t="shared" si="156"/>
        <v>14397</v>
      </c>
    </row>
    <row r="325" spans="1:16" s="1107" customFormat="1" x14ac:dyDescent="0.25">
      <c r="A325" s="227"/>
      <c r="B325" s="230" t="s">
        <v>1236</v>
      </c>
      <c r="C325" s="230"/>
      <c r="D325" s="230"/>
      <c r="E325" s="230"/>
      <c r="F325" s="230"/>
      <c r="G325" s="230"/>
      <c r="H325" s="230"/>
      <c r="I325" s="240"/>
      <c r="J325" s="240">
        <f t="shared" si="153"/>
        <v>0</v>
      </c>
      <c r="K325" s="240">
        <f t="shared" si="154"/>
        <v>0</v>
      </c>
      <c r="L325" s="230">
        <f t="shared" si="155"/>
        <v>0</v>
      </c>
      <c r="M325" s="230">
        <v>239</v>
      </c>
      <c r="N325" s="240"/>
      <c r="O325" s="230">
        <f t="shared" si="156"/>
        <v>239</v>
      </c>
    </row>
    <row r="326" spans="1:16" s="1107" customFormat="1" ht="47.25" x14ac:dyDescent="0.25">
      <c r="A326" s="227"/>
      <c r="B326" s="230" t="s">
        <v>1230</v>
      </c>
      <c r="C326" s="230"/>
      <c r="D326" s="230"/>
      <c r="E326" s="230"/>
      <c r="F326" s="230"/>
      <c r="G326" s="230"/>
      <c r="H326" s="230"/>
      <c r="I326" s="240"/>
      <c r="J326" s="240">
        <f t="shared" si="153"/>
        <v>0</v>
      </c>
      <c r="K326" s="240">
        <f t="shared" si="154"/>
        <v>0</v>
      </c>
      <c r="L326" s="230">
        <f t="shared" si="155"/>
        <v>0</v>
      </c>
      <c r="M326" s="230">
        <v>1195</v>
      </c>
      <c r="N326" s="240"/>
      <c r="O326" s="230">
        <f t="shared" si="156"/>
        <v>1195</v>
      </c>
    </row>
    <row r="327" spans="1:16" s="1107" customFormat="1" x14ac:dyDescent="0.25">
      <c r="A327" s="232"/>
      <c r="B327" s="233" t="s">
        <v>161</v>
      </c>
      <c r="C327" s="235"/>
      <c r="D327" s="235"/>
      <c r="E327" s="235"/>
      <c r="F327" s="235"/>
      <c r="G327" s="235"/>
      <c r="H327" s="235"/>
      <c r="I327" s="236"/>
      <c r="J327" s="236"/>
      <c r="K327" s="236"/>
      <c r="L327" s="235"/>
      <c r="M327" s="235"/>
      <c r="N327" s="236"/>
      <c r="O327" s="235"/>
    </row>
    <row r="328" spans="1:16" s="1107" customFormat="1" x14ac:dyDescent="0.25">
      <c r="A328" s="227"/>
      <c r="B328" s="230" t="s">
        <v>1237</v>
      </c>
      <c r="C328" s="230"/>
      <c r="D328" s="230"/>
      <c r="E328" s="230"/>
      <c r="F328" s="230"/>
      <c r="G328" s="230"/>
      <c r="H328" s="230"/>
      <c r="I328" s="240"/>
      <c r="J328" s="240">
        <f t="shared" si="153"/>
        <v>0</v>
      </c>
      <c r="K328" s="240">
        <f t="shared" si="154"/>
        <v>0</v>
      </c>
      <c r="L328" s="230">
        <f t="shared" si="155"/>
        <v>0</v>
      </c>
      <c r="M328" s="230">
        <v>2343</v>
      </c>
      <c r="N328" s="240"/>
      <c r="O328" s="230">
        <f t="shared" si="156"/>
        <v>2343</v>
      </c>
    </row>
    <row r="329" spans="1:16" s="1107" customFormat="1" ht="32.25" thickBot="1" x14ac:dyDescent="0.3">
      <c r="A329" s="227"/>
      <c r="B329" s="230" t="s">
        <v>1232</v>
      </c>
      <c r="C329" s="230"/>
      <c r="D329" s="230"/>
      <c r="E329" s="230"/>
      <c r="F329" s="230"/>
      <c r="G329" s="230"/>
      <c r="H329" s="230"/>
      <c r="I329" s="240"/>
      <c r="J329" s="240">
        <f t="shared" si="153"/>
        <v>0</v>
      </c>
      <c r="K329" s="240">
        <f t="shared" si="154"/>
        <v>0</v>
      </c>
      <c r="L329" s="230">
        <f t="shared" si="155"/>
        <v>0</v>
      </c>
      <c r="M329" s="230">
        <v>344</v>
      </c>
      <c r="N329" s="240"/>
      <c r="O329" s="230">
        <f t="shared" si="156"/>
        <v>344</v>
      </c>
    </row>
    <row r="330" spans="1:16" ht="17.25" thickTop="1" thickBot="1" x14ac:dyDescent="0.3">
      <c r="A330" s="224"/>
      <c r="B330" s="231" t="s">
        <v>1035</v>
      </c>
      <c r="C330" s="231">
        <f>+C319+C323+C328+C324+C325+C329+C326</f>
        <v>14903</v>
      </c>
      <c r="D330" s="231">
        <f t="shared" ref="D330:O330" si="157">+D319+D323+D328+D324+D325+D329+D326</f>
        <v>0</v>
      </c>
      <c r="E330" s="231">
        <f t="shared" si="157"/>
        <v>0</v>
      </c>
      <c r="F330" s="231">
        <f t="shared" si="157"/>
        <v>0</v>
      </c>
      <c r="G330" s="231">
        <f t="shared" si="157"/>
        <v>0</v>
      </c>
      <c r="H330" s="231">
        <f t="shared" si="157"/>
        <v>0</v>
      </c>
      <c r="I330" s="231">
        <f t="shared" si="157"/>
        <v>0</v>
      </c>
      <c r="J330" s="231">
        <f t="shared" si="157"/>
        <v>14903</v>
      </c>
      <c r="K330" s="231">
        <f t="shared" si="157"/>
        <v>0</v>
      </c>
      <c r="L330" s="231">
        <f t="shared" si="157"/>
        <v>14903</v>
      </c>
      <c r="M330" s="231">
        <f t="shared" si="157"/>
        <v>316621</v>
      </c>
      <c r="N330" s="231">
        <f t="shared" si="157"/>
        <v>185103</v>
      </c>
      <c r="O330" s="231">
        <f t="shared" si="157"/>
        <v>516627</v>
      </c>
      <c r="P330" s="1104">
        <f>O331+O332</f>
        <v>516627</v>
      </c>
    </row>
    <row r="331" spans="1:16" ht="17.25" thickTop="1" thickBot="1" x14ac:dyDescent="0.3">
      <c r="A331" s="224"/>
      <c r="B331" s="231" t="s">
        <v>1036</v>
      </c>
      <c r="C331" s="231">
        <f>+C320+C323+C324+C325+C326</f>
        <v>14903</v>
      </c>
      <c r="D331" s="231">
        <f t="shared" ref="D331:O331" si="158">+D320+D323+D324+D325+D326</f>
        <v>0</v>
      </c>
      <c r="E331" s="231">
        <f t="shared" si="158"/>
        <v>0</v>
      </c>
      <c r="F331" s="231">
        <f t="shared" si="158"/>
        <v>0</v>
      </c>
      <c r="G331" s="231">
        <f t="shared" si="158"/>
        <v>0</v>
      </c>
      <c r="H331" s="231">
        <f t="shared" si="158"/>
        <v>0</v>
      </c>
      <c r="I331" s="231">
        <f t="shared" si="158"/>
        <v>0</v>
      </c>
      <c r="J331" s="231">
        <f t="shared" si="158"/>
        <v>14903</v>
      </c>
      <c r="K331" s="231">
        <f t="shared" si="158"/>
        <v>0</v>
      </c>
      <c r="L331" s="231">
        <f t="shared" si="158"/>
        <v>14903</v>
      </c>
      <c r="M331" s="231">
        <f t="shared" si="158"/>
        <v>305577</v>
      </c>
      <c r="N331" s="231">
        <f t="shared" si="158"/>
        <v>185103</v>
      </c>
      <c r="O331" s="231">
        <f t="shared" si="158"/>
        <v>505583</v>
      </c>
    </row>
    <row r="332" spans="1:16" ht="17.25" thickTop="1" thickBot="1" x14ac:dyDescent="0.3">
      <c r="A332" s="224"/>
      <c r="B332" s="231" t="s">
        <v>1037</v>
      </c>
      <c r="C332" s="231">
        <f t="shared" ref="C332:O332" si="159">+C321+C328+C329</f>
        <v>0</v>
      </c>
      <c r="D332" s="231">
        <f t="shared" si="159"/>
        <v>0</v>
      </c>
      <c r="E332" s="231">
        <f t="shared" si="159"/>
        <v>0</v>
      </c>
      <c r="F332" s="231">
        <f t="shared" si="159"/>
        <v>0</v>
      </c>
      <c r="G332" s="231">
        <f t="shared" si="159"/>
        <v>0</v>
      </c>
      <c r="H332" s="231">
        <f t="shared" si="159"/>
        <v>0</v>
      </c>
      <c r="I332" s="231">
        <f t="shared" si="159"/>
        <v>0</v>
      </c>
      <c r="J332" s="231">
        <f t="shared" si="159"/>
        <v>0</v>
      </c>
      <c r="K332" s="231">
        <f t="shared" si="159"/>
        <v>0</v>
      </c>
      <c r="L332" s="231">
        <f t="shared" si="159"/>
        <v>0</v>
      </c>
      <c r="M332" s="231">
        <f t="shared" si="159"/>
        <v>11044</v>
      </c>
      <c r="N332" s="231">
        <f t="shared" si="159"/>
        <v>0</v>
      </c>
      <c r="O332" s="231">
        <f t="shared" si="159"/>
        <v>11044</v>
      </c>
    </row>
    <row r="333" spans="1:16" ht="16.5" thickTop="1" x14ac:dyDescent="0.25">
      <c r="A333" s="226" t="s">
        <v>13</v>
      </c>
      <c r="B333" s="590" t="s">
        <v>407</v>
      </c>
      <c r="C333" s="590"/>
      <c r="D333" s="590"/>
      <c r="E333" s="590"/>
      <c r="F333" s="590"/>
      <c r="G333" s="590"/>
      <c r="H333" s="590"/>
      <c r="I333" s="590"/>
      <c r="J333" s="590"/>
      <c r="K333" s="590"/>
      <c r="L333" s="590"/>
      <c r="M333" s="590"/>
      <c r="N333" s="590"/>
      <c r="O333" s="590"/>
    </row>
    <row r="334" spans="1:16" x14ac:dyDescent="0.25">
      <c r="A334" s="226"/>
      <c r="B334" s="591" t="s">
        <v>998</v>
      </c>
      <c r="C334" s="591">
        <v>23423</v>
      </c>
      <c r="D334" s="591"/>
      <c r="E334" s="591"/>
      <c r="F334" s="591">
        <v>9200</v>
      </c>
      <c r="G334" s="591"/>
      <c r="H334" s="591">
        <v>300</v>
      </c>
      <c r="I334" s="591"/>
      <c r="J334" s="591">
        <f>SUM(C334+E334+F334+H334)</f>
        <v>32923</v>
      </c>
      <c r="K334" s="591">
        <f>SUM(D334+G334+I334)</f>
        <v>0</v>
      </c>
      <c r="L334" s="591">
        <f>SUM(J334:K334)</f>
        <v>32923</v>
      </c>
      <c r="M334" s="591">
        <v>275114</v>
      </c>
      <c r="N334" s="591">
        <v>165089</v>
      </c>
      <c r="O334" s="591">
        <f>SUM(L334:N334)</f>
        <v>473126</v>
      </c>
    </row>
    <row r="335" spans="1:16" s="1107" customFormat="1" x14ac:dyDescent="0.25">
      <c r="A335" s="227"/>
      <c r="B335" s="228" t="s">
        <v>1033</v>
      </c>
      <c r="C335" s="228">
        <v>23423</v>
      </c>
      <c r="D335" s="228"/>
      <c r="E335" s="228"/>
      <c r="F335" s="228">
        <v>9200</v>
      </c>
      <c r="G335" s="228"/>
      <c r="H335" s="228">
        <v>300</v>
      </c>
      <c r="I335" s="228"/>
      <c r="J335" s="229">
        <f>SUM(C335+E335+F335+H335)</f>
        <v>32923</v>
      </c>
      <c r="K335" s="229">
        <f>SUM(D335+G335+I335)</f>
        <v>0</v>
      </c>
      <c r="L335" s="229">
        <f>SUM(J335:K335)</f>
        <v>32923</v>
      </c>
      <c r="M335" s="229">
        <v>270402</v>
      </c>
      <c r="N335" s="229">
        <v>165089</v>
      </c>
      <c r="O335" s="229">
        <f>SUM(L335:N335)</f>
        <v>468414</v>
      </c>
    </row>
    <row r="336" spans="1:16" s="1107" customFormat="1" x14ac:dyDescent="0.25">
      <c r="A336" s="227"/>
      <c r="B336" s="228" t="s">
        <v>1034</v>
      </c>
      <c r="C336" s="228"/>
      <c r="D336" s="228"/>
      <c r="E336" s="228"/>
      <c r="F336" s="228"/>
      <c r="G336" s="228"/>
      <c r="H336" s="228"/>
      <c r="I336" s="228"/>
      <c r="J336" s="228">
        <f>SUM(C336+E336+F336+H336)</f>
        <v>0</v>
      </c>
      <c r="K336" s="228">
        <f>SUM(D336+G336+I336)</f>
        <v>0</v>
      </c>
      <c r="L336" s="228">
        <f>SUM(J336:K336)</f>
        <v>0</v>
      </c>
      <c r="M336" s="228">
        <v>4712</v>
      </c>
      <c r="N336" s="228"/>
      <c r="O336" s="228">
        <f>SUM(L336:N336)</f>
        <v>4712</v>
      </c>
    </row>
    <row r="337" spans="1:16" s="1107" customFormat="1" x14ac:dyDescent="0.25">
      <c r="A337" s="227"/>
      <c r="B337" s="228" t="s">
        <v>160</v>
      </c>
      <c r="C337" s="230"/>
      <c r="D337" s="230"/>
      <c r="E337" s="230"/>
      <c r="F337" s="230"/>
      <c r="G337" s="230"/>
      <c r="H337" s="230"/>
      <c r="I337" s="230"/>
      <c r="J337" s="230"/>
      <c r="K337" s="230"/>
      <c r="L337" s="230"/>
      <c r="M337" s="230"/>
      <c r="N337" s="230"/>
      <c r="O337" s="230"/>
    </row>
    <row r="338" spans="1:16" s="1107" customFormat="1" x14ac:dyDescent="0.25">
      <c r="A338" s="227"/>
      <c r="B338" s="230" t="s">
        <v>1229</v>
      </c>
      <c r="C338" s="230"/>
      <c r="D338" s="230"/>
      <c r="E338" s="230"/>
      <c r="F338" s="230"/>
      <c r="G338" s="230"/>
      <c r="H338" s="230"/>
      <c r="I338" s="230"/>
      <c r="J338" s="230">
        <f t="shared" ref="J338:J342" si="160">SUM(C338+E338+F338+H338)</f>
        <v>0</v>
      </c>
      <c r="K338" s="230">
        <f t="shared" ref="K338:K342" si="161">SUM(D338+G338+I338)</f>
        <v>0</v>
      </c>
      <c r="L338" s="230">
        <f t="shared" ref="L338:L342" si="162">SUM(J338:K338)</f>
        <v>0</v>
      </c>
      <c r="M338" s="230">
        <v>137</v>
      </c>
      <c r="N338" s="230"/>
      <c r="O338" s="230">
        <f t="shared" ref="O338:O342" si="163">SUM(L338:N338)</f>
        <v>137</v>
      </c>
    </row>
    <row r="339" spans="1:16" s="1107" customFormat="1" ht="31.5" x14ac:dyDescent="0.25">
      <c r="A339" s="227"/>
      <c r="B339" s="230" t="s">
        <v>1233</v>
      </c>
      <c r="C339" s="230"/>
      <c r="D339" s="230"/>
      <c r="E339" s="230"/>
      <c r="F339" s="230"/>
      <c r="G339" s="230"/>
      <c r="H339" s="230"/>
      <c r="I339" s="230"/>
      <c r="J339" s="230">
        <f t="shared" si="160"/>
        <v>0</v>
      </c>
      <c r="K339" s="230">
        <f t="shared" si="161"/>
        <v>0</v>
      </c>
      <c r="L339" s="230">
        <f t="shared" si="162"/>
        <v>0</v>
      </c>
      <c r="M339" s="230">
        <v>7346</v>
      </c>
      <c r="N339" s="230"/>
      <c r="O339" s="230">
        <f t="shared" si="163"/>
        <v>7346</v>
      </c>
    </row>
    <row r="340" spans="1:16" s="1107" customFormat="1" x14ac:dyDescent="0.25">
      <c r="A340" s="227"/>
      <c r="B340" s="228" t="s">
        <v>161</v>
      </c>
      <c r="C340" s="230"/>
      <c r="D340" s="230"/>
      <c r="E340" s="230"/>
      <c r="F340" s="230"/>
      <c r="G340" s="230"/>
      <c r="H340" s="230"/>
      <c r="I340" s="230"/>
      <c r="J340" s="230"/>
      <c r="K340" s="230"/>
      <c r="L340" s="230"/>
      <c r="M340" s="230"/>
      <c r="N340" s="230"/>
      <c r="O340" s="230"/>
    </row>
    <row r="341" spans="1:16" s="1107" customFormat="1" x14ac:dyDescent="0.25">
      <c r="A341" s="227"/>
      <c r="B341" s="230" t="s">
        <v>1237</v>
      </c>
      <c r="C341" s="235"/>
      <c r="D341" s="235"/>
      <c r="E341" s="235"/>
      <c r="F341" s="235"/>
      <c r="G341" s="235"/>
      <c r="H341" s="235"/>
      <c r="I341" s="235"/>
      <c r="J341" s="235">
        <f t="shared" si="160"/>
        <v>0</v>
      </c>
      <c r="K341" s="235">
        <f t="shared" si="161"/>
        <v>0</v>
      </c>
      <c r="L341" s="235">
        <f t="shared" si="162"/>
        <v>0</v>
      </c>
      <c r="M341" s="235">
        <v>1766</v>
      </c>
      <c r="N341" s="235"/>
      <c r="O341" s="235">
        <f t="shared" si="163"/>
        <v>1766</v>
      </c>
    </row>
    <row r="342" spans="1:16" s="1107" customFormat="1" ht="32.25" thickBot="1" x14ac:dyDescent="0.3">
      <c r="A342" s="227"/>
      <c r="B342" s="230" t="s">
        <v>1232</v>
      </c>
      <c r="C342" s="235"/>
      <c r="D342" s="235"/>
      <c r="E342" s="235"/>
      <c r="F342" s="235"/>
      <c r="G342" s="235"/>
      <c r="H342" s="235"/>
      <c r="I342" s="235"/>
      <c r="J342" s="235">
        <f t="shared" si="160"/>
        <v>0</v>
      </c>
      <c r="K342" s="235">
        <f t="shared" si="161"/>
        <v>0</v>
      </c>
      <c r="L342" s="235">
        <f t="shared" si="162"/>
        <v>0</v>
      </c>
      <c r="M342" s="235">
        <v>133</v>
      </c>
      <c r="N342" s="235"/>
      <c r="O342" s="235">
        <f t="shared" si="163"/>
        <v>133</v>
      </c>
    </row>
    <row r="343" spans="1:16" ht="17.25" thickTop="1" thickBot="1" x14ac:dyDescent="0.3">
      <c r="A343" s="224"/>
      <c r="B343" s="231" t="s">
        <v>1035</v>
      </c>
      <c r="C343" s="231">
        <f>+C334+C338+C341+C339+C342</f>
        <v>23423</v>
      </c>
      <c r="D343" s="231">
        <f t="shared" ref="D343:O343" si="164">+D334+D338+D341+D339+D342</f>
        <v>0</v>
      </c>
      <c r="E343" s="231">
        <f t="shared" si="164"/>
        <v>0</v>
      </c>
      <c r="F343" s="231">
        <f t="shared" si="164"/>
        <v>9200</v>
      </c>
      <c r="G343" s="231">
        <f t="shared" si="164"/>
        <v>0</v>
      </c>
      <c r="H343" s="231">
        <f t="shared" si="164"/>
        <v>300</v>
      </c>
      <c r="I343" s="231">
        <f t="shared" si="164"/>
        <v>0</v>
      </c>
      <c r="J343" s="231">
        <f t="shared" si="164"/>
        <v>32923</v>
      </c>
      <c r="K343" s="231">
        <f t="shared" si="164"/>
        <v>0</v>
      </c>
      <c r="L343" s="231">
        <f t="shared" si="164"/>
        <v>32923</v>
      </c>
      <c r="M343" s="231">
        <f t="shared" si="164"/>
        <v>284496</v>
      </c>
      <c r="N343" s="231">
        <f t="shared" si="164"/>
        <v>165089</v>
      </c>
      <c r="O343" s="231">
        <f t="shared" si="164"/>
        <v>482508</v>
      </c>
      <c r="P343" s="1104">
        <f>O344+O345</f>
        <v>482508</v>
      </c>
    </row>
    <row r="344" spans="1:16" ht="17.25" thickTop="1" thickBot="1" x14ac:dyDescent="0.3">
      <c r="A344" s="224"/>
      <c r="B344" s="231" t="s">
        <v>1036</v>
      </c>
      <c r="C344" s="231">
        <f>+C335+C338+C339</f>
        <v>23423</v>
      </c>
      <c r="D344" s="231">
        <f t="shared" ref="D344:O344" si="165">+D335+D338+D339</f>
        <v>0</v>
      </c>
      <c r="E344" s="231">
        <f t="shared" si="165"/>
        <v>0</v>
      </c>
      <c r="F344" s="231">
        <f t="shared" si="165"/>
        <v>9200</v>
      </c>
      <c r="G344" s="231">
        <f t="shared" si="165"/>
        <v>0</v>
      </c>
      <c r="H344" s="231">
        <f t="shared" si="165"/>
        <v>300</v>
      </c>
      <c r="I344" s="231">
        <f t="shared" si="165"/>
        <v>0</v>
      </c>
      <c r="J344" s="231">
        <f t="shared" si="165"/>
        <v>32923</v>
      </c>
      <c r="K344" s="231">
        <f t="shared" si="165"/>
        <v>0</v>
      </c>
      <c r="L344" s="231">
        <f t="shared" si="165"/>
        <v>32923</v>
      </c>
      <c r="M344" s="231">
        <f t="shared" si="165"/>
        <v>277885</v>
      </c>
      <c r="N344" s="231">
        <f t="shared" si="165"/>
        <v>165089</v>
      </c>
      <c r="O344" s="231">
        <f t="shared" si="165"/>
        <v>475897</v>
      </c>
    </row>
    <row r="345" spans="1:16" ht="17.25" thickTop="1" thickBot="1" x14ac:dyDescent="0.3">
      <c r="A345" s="224"/>
      <c r="B345" s="231" t="s">
        <v>1037</v>
      </c>
      <c r="C345" s="231">
        <f>+C336+C341+C342</f>
        <v>0</v>
      </c>
      <c r="D345" s="231">
        <f t="shared" ref="D345:O345" si="166">+D336+D341+D342</f>
        <v>0</v>
      </c>
      <c r="E345" s="231">
        <f t="shared" si="166"/>
        <v>0</v>
      </c>
      <c r="F345" s="231">
        <f t="shared" si="166"/>
        <v>0</v>
      </c>
      <c r="G345" s="231">
        <f t="shared" si="166"/>
        <v>0</v>
      </c>
      <c r="H345" s="231">
        <f t="shared" si="166"/>
        <v>0</v>
      </c>
      <c r="I345" s="231">
        <f t="shared" si="166"/>
        <v>0</v>
      </c>
      <c r="J345" s="231">
        <f t="shared" si="166"/>
        <v>0</v>
      </c>
      <c r="K345" s="231">
        <f t="shared" si="166"/>
        <v>0</v>
      </c>
      <c r="L345" s="231">
        <f t="shared" si="166"/>
        <v>0</v>
      </c>
      <c r="M345" s="231">
        <f t="shared" si="166"/>
        <v>6611</v>
      </c>
      <c r="N345" s="231">
        <f t="shared" si="166"/>
        <v>0</v>
      </c>
      <c r="O345" s="231">
        <f t="shared" si="166"/>
        <v>6611</v>
      </c>
    </row>
    <row r="346" spans="1:16" ht="17.25" thickTop="1" thickBot="1" x14ac:dyDescent="0.3">
      <c r="A346" s="224"/>
      <c r="B346" s="231" t="s">
        <v>408</v>
      </c>
      <c r="C346" s="231">
        <f t="shared" ref="C346:O346" si="167">SUM(C315+C330+C343)</f>
        <v>138590</v>
      </c>
      <c r="D346" s="231">
        <f t="shared" si="167"/>
        <v>0</v>
      </c>
      <c r="E346" s="231">
        <f t="shared" si="167"/>
        <v>0</v>
      </c>
      <c r="F346" s="231">
        <f t="shared" si="167"/>
        <v>330601</v>
      </c>
      <c r="G346" s="231">
        <f t="shared" si="167"/>
        <v>0</v>
      </c>
      <c r="H346" s="231">
        <f t="shared" si="167"/>
        <v>300</v>
      </c>
      <c r="I346" s="231">
        <f t="shared" si="167"/>
        <v>0</v>
      </c>
      <c r="J346" s="231">
        <f t="shared" si="167"/>
        <v>469491</v>
      </c>
      <c r="K346" s="231">
        <f t="shared" si="167"/>
        <v>0</v>
      </c>
      <c r="L346" s="231">
        <f t="shared" si="167"/>
        <v>469491</v>
      </c>
      <c r="M346" s="231">
        <f t="shared" si="167"/>
        <v>1571575</v>
      </c>
      <c r="N346" s="231">
        <f t="shared" si="167"/>
        <v>371336</v>
      </c>
      <c r="O346" s="231">
        <f t="shared" si="167"/>
        <v>2412402</v>
      </c>
    </row>
    <row r="347" spans="1:16" ht="16.5" thickTop="1" x14ac:dyDescent="0.25">
      <c r="A347" s="243" t="s">
        <v>14</v>
      </c>
      <c r="B347" s="244" t="s">
        <v>409</v>
      </c>
      <c r="C347" s="244"/>
      <c r="D347" s="244"/>
      <c r="E347" s="244"/>
      <c r="F347" s="244"/>
      <c r="G347" s="244"/>
      <c r="H347" s="244"/>
      <c r="I347" s="244"/>
      <c r="J347" s="244"/>
      <c r="K347" s="244"/>
      <c r="L347" s="244"/>
      <c r="M347" s="244"/>
      <c r="N347" s="244"/>
      <c r="O347" s="244"/>
    </row>
    <row r="348" spans="1:16" x14ac:dyDescent="0.25">
      <c r="A348" s="226"/>
      <c r="B348" s="599" t="s">
        <v>998</v>
      </c>
      <c r="C348" s="599">
        <v>15506</v>
      </c>
      <c r="D348" s="599"/>
      <c r="E348" s="599"/>
      <c r="F348" s="599">
        <v>521652</v>
      </c>
      <c r="G348" s="599"/>
      <c r="H348" s="599"/>
      <c r="I348" s="599"/>
      <c r="J348" s="591">
        <f>SUM(C348+E348+F348+H348)</f>
        <v>537158</v>
      </c>
      <c r="K348" s="591">
        <f>SUM(D348+G348+I348)</f>
        <v>0</v>
      </c>
      <c r="L348" s="591">
        <f>SUM(J348:K348)</f>
        <v>537158</v>
      </c>
      <c r="M348" s="591">
        <v>984027</v>
      </c>
      <c r="N348" s="591">
        <v>10630</v>
      </c>
      <c r="O348" s="591">
        <f>SUM(L348:N348)</f>
        <v>1531815</v>
      </c>
    </row>
    <row r="349" spans="1:16" s="1107" customFormat="1" x14ac:dyDescent="0.25">
      <c r="A349" s="227"/>
      <c r="B349" s="228" t="s">
        <v>1033</v>
      </c>
      <c r="C349" s="228">
        <v>15506</v>
      </c>
      <c r="D349" s="228"/>
      <c r="E349" s="228"/>
      <c r="F349" s="228">
        <v>521652</v>
      </c>
      <c r="G349" s="228"/>
      <c r="H349" s="228"/>
      <c r="I349" s="228"/>
      <c r="J349" s="229">
        <f>SUM(C349+E349+F349+H349)</f>
        <v>537158</v>
      </c>
      <c r="K349" s="229">
        <f>SUM(D349+G349+I349)</f>
        <v>0</v>
      </c>
      <c r="L349" s="229">
        <f>SUM(J349:K349)</f>
        <v>537158</v>
      </c>
      <c r="M349" s="229">
        <v>978749</v>
      </c>
      <c r="N349" s="229">
        <v>10630</v>
      </c>
      <c r="O349" s="229">
        <f>SUM(L349:N349)</f>
        <v>1526537</v>
      </c>
    </row>
    <row r="350" spans="1:16" s="1107" customFormat="1" x14ac:dyDescent="0.25">
      <c r="A350" s="227"/>
      <c r="B350" s="228" t="s">
        <v>1034</v>
      </c>
      <c r="C350" s="228"/>
      <c r="D350" s="228"/>
      <c r="E350" s="228"/>
      <c r="F350" s="228"/>
      <c r="G350" s="228"/>
      <c r="H350" s="228"/>
      <c r="I350" s="228"/>
      <c r="J350" s="228">
        <f>SUM(C350+E350+F350+H350)</f>
        <v>0</v>
      </c>
      <c r="K350" s="228">
        <f>SUM(D350+G350+I350)</f>
        <v>0</v>
      </c>
      <c r="L350" s="228">
        <f>SUM(J350:K350)</f>
        <v>0</v>
      </c>
      <c r="M350" s="228">
        <v>5278</v>
      </c>
      <c r="N350" s="228"/>
      <c r="O350" s="228">
        <f>SUM(L350:N350)</f>
        <v>5278</v>
      </c>
    </row>
    <row r="351" spans="1:16" x14ac:dyDescent="0.25">
      <c r="A351" s="226"/>
      <c r="B351" s="228" t="s">
        <v>160</v>
      </c>
      <c r="C351" s="228"/>
      <c r="D351" s="228"/>
      <c r="E351" s="228"/>
      <c r="F351" s="228"/>
      <c r="G351" s="228"/>
      <c r="H351" s="228"/>
      <c r="I351" s="228"/>
      <c r="J351" s="591"/>
      <c r="K351" s="591"/>
      <c r="L351" s="591"/>
      <c r="M351" s="591"/>
      <c r="N351" s="591"/>
      <c r="O351" s="591"/>
    </row>
    <row r="352" spans="1:16" x14ac:dyDescent="0.25">
      <c r="A352" s="226"/>
      <c r="B352" s="230" t="s">
        <v>1229</v>
      </c>
      <c r="C352" s="591"/>
      <c r="D352" s="591"/>
      <c r="E352" s="591"/>
      <c r="F352" s="591"/>
      <c r="G352" s="591"/>
      <c r="H352" s="591"/>
      <c r="I352" s="591"/>
      <c r="J352" s="591">
        <f t="shared" ref="J352:J356" si="168">SUM(C352+E352+F352+H352)</f>
        <v>0</v>
      </c>
      <c r="K352" s="591">
        <f t="shared" ref="K352:K356" si="169">SUM(D352+G352+I352)</f>
        <v>0</v>
      </c>
      <c r="L352" s="591">
        <f t="shared" ref="L352:L356" si="170">SUM(J352:K352)</f>
        <v>0</v>
      </c>
      <c r="M352" s="591">
        <v>174</v>
      </c>
      <c r="N352" s="591"/>
      <c r="O352" s="591">
        <f t="shared" ref="O352:O356" si="171">SUM(L352:N352)</f>
        <v>174</v>
      </c>
    </row>
    <row r="353" spans="1:16" ht="31.5" x14ac:dyDescent="0.25">
      <c r="A353" s="226"/>
      <c r="B353" s="230" t="s">
        <v>1250</v>
      </c>
      <c r="C353" s="591"/>
      <c r="D353" s="591"/>
      <c r="E353" s="591"/>
      <c r="F353" s="591"/>
      <c r="G353" s="591"/>
      <c r="H353" s="591"/>
      <c r="I353" s="591"/>
      <c r="J353" s="591">
        <f t="shared" si="168"/>
        <v>0</v>
      </c>
      <c r="K353" s="591">
        <f t="shared" si="169"/>
        <v>0</v>
      </c>
      <c r="L353" s="591">
        <f t="shared" si="170"/>
        <v>0</v>
      </c>
      <c r="M353" s="591">
        <v>2199</v>
      </c>
      <c r="N353" s="591"/>
      <c r="O353" s="591">
        <f t="shared" si="171"/>
        <v>2199</v>
      </c>
    </row>
    <row r="354" spans="1:16" x14ac:dyDescent="0.25">
      <c r="A354" s="226"/>
      <c r="B354" s="228" t="s">
        <v>161</v>
      </c>
      <c r="C354" s="591"/>
      <c r="D354" s="591"/>
      <c r="E354" s="591"/>
      <c r="F354" s="591"/>
      <c r="G354" s="591"/>
      <c r="H354" s="591"/>
      <c r="I354" s="591"/>
      <c r="J354" s="591"/>
      <c r="K354" s="591"/>
      <c r="L354" s="591"/>
      <c r="M354" s="591"/>
      <c r="N354" s="591"/>
      <c r="O354" s="591"/>
    </row>
    <row r="355" spans="1:16" x14ac:dyDescent="0.25">
      <c r="A355" s="226"/>
      <c r="B355" s="230" t="s">
        <v>1237</v>
      </c>
      <c r="C355" s="591"/>
      <c r="D355" s="591"/>
      <c r="E355" s="591"/>
      <c r="F355" s="591"/>
      <c r="G355" s="591"/>
      <c r="H355" s="591"/>
      <c r="I355" s="591"/>
      <c r="J355" s="591">
        <f t="shared" si="168"/>
        <v>0</v>
      </c>
      <c r="K355" s="591">
        <f t="shared" si="169"/>
        <v>0</v>
      </c>
      <c r="L355" s="591">
        <f t="shared" si="170"/>
        <v>0</v>
      </c>
      <c r="M355" s="591">
        <v>2253</v>
      </c>
      <c r="N355" s="591"/>
      <c r="O355" s="591">
        <f t="shared" si="171"/>
        <v>2253</v>
      </c>
    </row>
    <row r="356" spans="1:16" ht="32.25" thickBot="1" x14ac:dyDescent="0.3">
      <c r="A356" s="226"/>
      <c r="B356" s="230" t="s">
        <v>1232</v>
      </c>
      <c r="C356" s="591"/>
      <c r="D356" s="591"/>
      <c r="E356" s="591"/>
      <c r="F356" s="591"/>
      <c r="G356" s="591"/>
      <c r="H356" s="591"/>
      <c r="I356" s="591"/>
      <c r="J356" s="591">
        <f t="shared" si="168"/>
        <v>0</v>
      </c>
      <c r="K356" s="591">
        <f t="shared" si="169"/>
        <v>0</v>
      </c>
      <c r="L356" s="591">
        <f t="shared" si="170"/>
        <v>0</v>
      </c>
      <c r="M356" s="591">
        <v>53</v>
      </c>
      <c r="N356" s="591"/>
      <c r="O356" s="591">
        <f t="shared" si="171"/>
        <v>53</v>
      </c>
    </row>
    <row r="357" spans="1:16" ht="17.25" thickTop="1" thickBot="1" x14ac:dyDescent="0.3">
      <c r="A357" s="224"/>
      <c r="B357" s="231" t="s">
        <v>1035</v>
      </c>
      <c r="C357" s="231">
        <f>+C348+C352+C353+C355+C356</f>
        <v>15506</v>
      </c>
      <c r="D357" s="231">
        <f t="shared" ref="D357:O357" si="172">+D348+D352+D353+D355+D356</f>
        <v>0</v>
      </c>
      <c r="E357" s="231">
        <f t="shared" si="172"/>
        <v>0</v>
      </c>
      <c r="F357" s="231">
        <f t="shared" si="172"/>
        <v>521652</v>
      </c>
      <c r="G357" s="231">
        <f t="shared" si="172"/>
        <v>0</v>
      </c>
      <c r="H357" s="231">
        <f t="shared" si="172"/>
        <v>0</v>
      </c>
      <c r="I357" s="231">
        <f t="shared" si="172"/>
        <v>0</v>
      </c>
      <c r="J357" s="231">
        <f t="shared" si="172"/>
        <v>537158</v>
      </c>
      <c r="K357" s="231">
        <f t="shared" si="172"/>
        <v>0</v>
      </c>
      <c r="L357" s="231">
        <f t="shared" si="172"/>
        <v>537158</v>
      </c>
      <c r="M357" s="231">
        <f t="shared" si="172"/>
        <v>988706</v>
      </c>
      <c r="N357" s="231">
        <f t="shared" si="172"/>
        <v>10630</v>
      </c>
      <c r="O357" s="231">
        <f t="shared" si="172"/>
        <v>1536494</v>
      </c>
      <c r="P357" s="1104">
        <f>O358+O359</f>
        <v>1536494</v>
      </c>
    </row>
    <row r="358" spans="1:16" ht="17.25" thickTop="1" thickBot="1" x14ac:dyDescent="0.3">
      <c r="A358" s="224"/>
      <c r="B358" s="231" t="s">
        <v>1036</v>
      </c>
      <c r="C358" s="231">
        <f>+C349+C352+C353</f>
        <v>15506</v>
      </c>
      <c r="D358" s="231">
        <f t="shared" ref="D358:O358" si="173">+D349+D352+D353</f>
        <v>0</v>
      </c>
      <c r="E358" s="231">
        <f t="shared" si="173"/>
        <v>0</v>
      </c>
      <c r="F358" s="231">
        <f t="shared" si="173"/>
        <v>521652</v>
      </c>
      <c r="G358" s="231">
        <f t="shared" si="173"/>
        <v>0</v>
      </c>
      <c r="H358" s="231">
        <f t="shared" si="173"/>
        <v>0</v>
      </c>
      <c r="I358" s="231">
        <f t="shared" si="173"/>
        <v>0</v>
      </c>
      <c r="J358" s="231">
        <f t="shared" si="173"/>
        <v>537158</v>
      </c>
      <c r="K358" s="231">
        <f t="shared" si="173"/>
        <v>0</v>
      </c>
      <c r="L358" s="231">
        <f t="shared" si="173"/>
        <v>537158</v>
      </c>
      <c r="M358" s="231">
        <f t="shared" si="173"/>
        <v>981122</v>
      </c>
      <c r="N358" s="231">
        <f t="shared" si="173"/>
        <v>10630</v>
      </c>
      <c r="O358" s="231">
        <f t="shared" si="173"/>
        <v>1528910</v>
      </c>
    </row>
    <row r="359" spans="1:16" ht="17.25" thickTop="1" thickBot="1" x14ac:dyDescent="0.3">
      <c r="A359" s="224"/>
      <c r="B359" s="231" t="s">
        <v>1037</v>
      </c>
      <c r="C359" s="231">
        <f t="shared" ref="C359:O359" si="174">+C350+C355+C356</f>
        <v>0</v>
      </c>
      <c r="D359" s="231">
        <f t="shared" si="174"/>
        <v>0</v>
      </c>
      <c r="E359" s="231">
        <f t="shared" si="174"/>
        <v>0</v>
      </c>
      <c r="F359" s="231">
        <f t="shared" si="174"/>
        <v>0</v>
      </c>
      <c r="G359" s="231">
        <f t="shared" si="174"/>
        <v>0</v>
      </c>
      <c r="H359" s="231">
        <f t="shared" si="174"/>
        <v>0</v>
      </c>
      <c r="I359" s="231">
        <f t="shared" si="174"/>
        <v>0</v>
      </c>
      <c r="J359" s="231">
        <f t="shared" si="174"/>
        <v>0</v>
      </c>
      <c r="K359" s="231">
        <f t="shared" si="174"/>
        <v>0</v>
      </c>
      <c r="L359" s="231">
        <f t="shared" si="174"/>
        <v>0</v>
      </c>
      <c r="M359" s="231">
        <f t="shared" si="174"/>
        <v>7584</v>
      </c>
      <c r="N359" s="231">
        <f t="shared" si="174"/>
        <v>0</v>
      </c>
      <c r="O359" s="231">
        <f t="shared" si="174"/>
        <v>7584</v>
      </c>
    </row>
    <row r="360" spans="1:16" ht="16.5" thickTop="1" x14ac:dyDescent="0.25">
      <c r="A360" s="226" t="s">
        <v>15</v>
      </c>
      <c r="B360" s="593" t="s">
        <v>410</v>
      </c>
      <c r="C360" s="593"/>
      <c r="D360" s="593"/>
      <c r="E360" s="593"/>
      <c r="F360" s="593"/>
      <c r="G360" s="593"/>
      <c r="H360" s="593"/>
      <c r="I360" s="593"/>
      <c r="J360" s="593"/>
      <c r="K360" s="593"/>
      <c r="L360" s="593"/>
      <c r="M360" s="593"/>
      <c r="N360" s="593"/>
      <c r="O360" s="593"/>
    </row>
    <row r="361" spans="1:16" x14ac:dyDescent="0.25">
      <c r="A361" s="226"/>
      <c r="B361" s="591" t="s">
        <v>998</v>
      </c>
      <c r="C361" s="591">
        <v>3977</v>
      </c>
      <c r="D361" s="591"/>
      <c r="E361" s="591"/>
      <c r="F361" s="591">
        <v>350</v>
      </c>
      <c r="G361" s="591"/>
      <c r="H361" s="591"/>
      <c r="I361" s="591"/>
      <c r="J361" s="591">
        <f>SUM(C361+E361+F361+H361)</f>
        <v>4327</v>
      </c>
      <c r="K361" s="591">
        <f>SUM(D361+G361+I361)</f>
        <v>0</v>
      </c>
      <c r="L361" s="591">
        <f>SUM(J361:K361)</f>
        <v>4327</v>
      </c>
      <c r="M361" s="591">
        <v>87706</v>
      </c>
      <c r="N361" s="591">
        <v>1401</v>
      </c>
      <c r="O361" s="591">
        <f>SUM(L361:N361)</f>
        <v>93434</v>
      </c>
    </row>
    <row r="362" spans="1:16" s="1107" customFormat="1" x14ac:dyDescent="0.25">
      <c r="A362" s="227"/>
      <c r="B362" s="228" t="s">
        <v>1046</v>
      </c>
      <c r="C362" s="228">
        <v>3977</v>
      </c>
      <c r="D362" s="228"/>
      <c r="E362" s="228"/>
      <c r="F362" s="228">
        <v>350</v>
      </c>
      <c r="G362" s="228"/>
      <c r="H362" s="228"/>
      <c r="I362" s="228"/>
      <c r="J362" s="229">
        <f>SUM(C362+E362+F362+H362)</f>
        <v>4327</v>
      </c>
      <c r="K362" s="229">
        <f>SUM(D362+G362+I362)</f>
        <v>0</v>
      </c>
      <c r="L362" s="229">
        <f>SUM(J362:K362)</f>
        <v>4327</v>
      </c>
      <c r="M362" s="229">
        <v>87706</v>
      </c>
      <c r="N362" s="229">
        <v>1401</v>
      </c>
      <c r="O362" s="229">
        <f>SUM(L362:N362)</f>
        <v>93434</v>
      </c>
    </row>
    <row r="363" spans="1:16" s="1107" customFormat="1" x14ac:dyDescent="0.25">
      <c r="A363" s="227"/>
      <c r="B363" s="228" t="s">
        <v>161</v>
      </c>
      <c r="C363" s="228"/>
      <c r="D363" s="228"/>
      <c r="E363" s="228"/>
      <c r="F363" s="228"/>
      <c r="G363" s="228"/>
      <c r="H363" s="228"/>
      <c r="I363" s="228"/>
      <c r="J363" s="229"/>
      <c r="K363" s="229"/>
      <c r="L363" s="229"/>
      <c r="M363" s="229"/>
      <c r="N363" s="229"/>
      <c r="O363" s="229"/>
    </row>
    <row r="364" spans="1:16" s="1107" customFormat="1" ht="33" customHeight="1" x14ac:dyDescent="0.25">
      <c r="A364" s="227"/>
      <c r="B364" s="230" t="s">
        <v>1251</v>
      </c>
      <c r="C364" s="230"/>
      <c r="D364" s="230"/>
      <c r="E364" s="230"/>
      <c r="F364" s="230"/>
      <c r="G364" s="230"/>
      <c r="H364" s="230"/>
      <c r="I364" s="230"/>
      <c r="J364" s="230">
        <f t="shared" ref="J364:J365" si="175">SUM(C364+E364+F364+H364)</f>
        <v>0</v>
      </c>
      <c r="K364" s="230">
        <f t="shared" ref="K364:K365" si="176">SUM(D364+G364+I364)</f>
        <v>0</v>
      </c>
      <c r="L364" s="230">
        <f t="shared" ref="L364:L365" si="177">SUM(J364:K364)</f>
        <v>0</v>
      </c>
      <c r="M364" s="230">
        <v>962</v>
      </c>
      <c r="N364" s="230"/>
      <c r="O364" s="230">
        <f t="shared" ref="O364:O365" si="178">SUM(L364:N364)</f>
        <v>962</v>
      </c>
    </row>
    <row r="365" spans="1:16" ht="16.5" thickBot="1" x14ac:dyDescent="0.3">
      <c r="A365" s="226"/>
      <c r="B365" s="230" t="s">
        <v>1237</v>
      </c>
      <c r="C365" s="230"/>
      <c r="D365" s="230"/>
      <c r="E365" s="230"/>
      <c r="F365" s="230"/>
      <c r="G365" s="230"/>
      <c r="H365" s="230"/>
      <c r="I365" s="230"/>
      <c r="J365" s="591">
        <f t="shared" si="175"/>
        <v>0</v>
      </c>
      <c r="K365" s="591">
        <f t="shared" si="176"/>
        <v>0</v>
      </c>
      <c r="L365" s="591">
        <f t="shared" si="177"/>
        <v>0</v>
      </c>
      <c r="M365" s="591">
        <v>405</v>
      </c>
      <c r="N365" s="591"/>
      <c r="O365" s="591">
        <f t="shared" si="178"/>
        <v>405</v>
      </c>
    </row>
    <row r="366" spans="1:16" ht="17.25" thickTop="1" thickBot="1" x14ac:dyDescent="0.3">
      <c r="A366" s="224"/>
      <c r="B366" s="231" t="s">
        <v>1035</v>
      </c>
      <c r="C366" s="231">
        <f>+C361+C364+C365</f>
        <v>3977</v>
      </c>
      <c r="D366" s="231">
        <f t="shared" ref="D366:O366" si="179">+D361+D364+D365</f>
        <v>0</v>
      </c>
      <c r="E366" s="231">
        <f t="shared" si="179"/>
        <v>0</v>
      </c>
      <c r="F366" s="231">
        <f t="shared" si="179"/>
        <v>350</v>
      </c>
      <c r="G366" s="231">
        <f t="shared" si="179"/>
        <v>0</v>
      </c>
      <c r="H366" s="231">
        <f t="shared" si="179"/>
        <v>0</v>
      </c>
      <c r="I366" s="231">
        <f t="shared" si="179"/>
        <v>0</v>
      </c>
      <c r="J366" s="231">
        <f t="shared" si="179"/>
        <v>4327</v>
      </c>
      <c r="K366" s="231">
        <f t="shared" si="179"/>
        <v>0</v>
      </c>
      <c r="L366" s="231">
        <f t="shared" si="179"/>
        <v>4327</v>
      </c>
      <c r="M366" s="231">
        <f t="shared" si="179"/>
        <v>89073</v>
      </c>
      <c r="N366" s="231">
        <f t="shared" si="179"/>
        <v>1401</v>
      </c>
      <c r="O366" s="231">
        <f t="shared" si="179"/>
        <v>94801</v>
      </c>
    </row>
    <row r="367" spans="1:16" ht="17.25" thickTop="1" thickBot="1" x14ac:dyDescent="0.3">
      <c r="A367" s="224"/>
      <c r="B367" s="231" t="s">
        <v>1047</v>
      </c>
      <c r="C367" s="231">
        <f>+C362+C364+C365</f>
        <v>3977</v>
      </c>
      <c r="D367" s="231">
        <f t="shared" ref="D367:O367" si="180">+D362+D364+D365</f>
        <v>0</v>
      </c>
      <c r="E367" s="231">
        <f t="shared" si="180"/>
        <v>0</v>
      </c>
      <c r="F367" s="231">
        <f t="shared" si="180"/>
        <v>350</v>
      </c>
      <c r="G367" s="231">
        <f t="shared" si="180"/>
        <v>0</v>
      </c>
      <c r="H367" s="231">
        <f t="shared" si="180"/>
        <v>0</v>
      </c>
      <c r="I367" s="231">
        <f t="shared" si="180"/>
        <v>0</v>
      </c>
      <c r="J367" s="231">
        <f t="shared" si="180"/>
        <v>4327</v>
      </c>
      <c r="K367" s="231">
        <f t="shared" si="180"/>
        <v>0</v>
      </c>
      <c r="L367" s="231">
        <f t="shared" si="180"/>
        <v>4327</v>
      </c>
      <c r="M367" s="231">
        <f t="shared" si="180"/>
        <v>89073</v>
      </c>
      <c r="N367" s="231">
        <f t="shared" si="180"/>
        <v>1401</v>
      </c>
      <c r="O367" s="231">
        <f t="shared" si="180"/>
        <v>94801</v>
      </c>
    </row>
    <row r="368" spans="1:16" ht="16.5" thickTop="1" x14ac:dyDescent="0.25">
      <c r="A368" s="226" t="s">
        <v>16</v>
      </c>
      <c r="B368" s="593" t="s">
        <v>258</v>
      </c>
      <c r="C368" s="593"/>
      <c r="D368" s="593"/>
      <c r="E368" s="593"/>
      <c r="F368" s="593"/>
      <c r="G368" s="593"/>
      <c r="H368" s="593"/>
      <c r="I368" s="593"/>
      <c r="J368" s="593"/>
      <c r="K368" s="593"/>
      <c r="L368" s="593"/>
      <c r="M368" s="593"/>
      <c r="N368" s="593"/>
      <c r="O368" s="593"/>
    </row>
    <row r="369" spans="1:16" x14ac:dyDescent="0.25">
      <c r="A369" s="226"/>
      <c r="B369" s="591" t="s">
        <v>998</v>
      </c>
      <c r="C369" s="591">
        <v>22301</v>
      </c>
      <c r="D369" s="591"/>
      <c r="E369" s="591"/>
      <c r="F369" s="591">
        <v>17975</v>
      </c>
      <c r="G369" s="591"/>
      <c r="H369" s="591">
        <v>123</v>
      </c>
      <c r="I369" s="591"/>
      <c r="J369" s="591">
        <f>SUM(C369+E369+F369+H369)</f>
        <v>40399</v>
      </c>
      <c r="K369" s="591">
        <f>SUM(D369+G369+I369)</f>
        <v>0</v>
      </c>
      <c r="L369" s="591">
        <f>SUM(J369:K369)</f>
        <v>40399</v>
      </c>
      <c r="M369" s="591">
        <v>447464</v>
      </c>
      <c r="N369" s="591">
        <v>29045</v>
      </c>
      <c r="O369" s="591">
        <f>SUM(L369:N369)</f>
        <v>516908</v>
      </c>
    </row>
    <row r="370" spans="1:16" s="1107" customFormat="1" x14ac:dyDescent="0.25">
      <c r="A370" s="227"/>
      <c r="B370" s="228" t="s">
        <v>1033</v>
      </c>
      <c r="C370" s="228">
        <v>21615</v>
      </c>
      <c r="D370" s="228"/>
      <c r="E370" s="228"/>
      <c r="F370" s="228">
        <v>10990</v>
      </c>
      <c r="G370" s="228"/>
      <c r="H370" s="228"/>
      <c r="I370" s="228"/>
      <c r="J370" s="229">
        <f>SUM(C370+E370+F370+H370)</f>
        <v>32605</v>
      </c>
      <c r="K370" s="229">
        <f>SUM(D370+G370+I370)</f>
        <v>0</v>
      </c>
      <c r="L370" s="229">
        <f>SUM(J370:K370)</f>
        <v>32605</v>
      </c>
      <c r="M370" s="229">
        <v>439753</v>
      </c>
      <c r="N370" s="229">
        <v>29045</v>
      </c>
      <c r="O370" s="229">
        <f>SUM(L370:N370)</f>
        <v>501403</v>
      </c>
    </row>
    <row r="371" spans="1:16" s="1107" customFormat="1" x14ac:dyDescent="0.25">
      <c r="A371" s="227"/>
      <c r="B371" s="228" t="s">
        <v>1034</v>
      </c>
      <c r="C371" s="228">
        <v>686</v>
      </c>
      <c r="D371" s="228"/>
      <c r="E371" s="228"/>
      <c r="F371" s="228">
        <v>6985</v>
      </c>
      <c r="G371" s="228"/>
      <c r="H371" s="228">
        <v>123</v>
      </c>
      <c r="I371" s="228"/>
      <c r="J371" s="228">
        <f>SUM(C371+E371+F371+H371)</f>
        <v>7794</v>
      </c>
      <c r="K371" s="228">
        <f>SUM(D371+G371+I371)</f>
        <v>0</v>
      </c>
      <c r="L371" s="228">
        <f>SUM(J371:K371)</f>
        <v>7794</v>
      </c>
      <c r="M371" s="228">
        <v>7711</v>
      </c>
      <c r="N371" s="228"/>
      <c r="O371" s="228">
        <f>SUM(L371:N371)</f>
        <v>15505</v>
      </c>
    </row>
    <row r="372" spans="1:16" s="1107" customFormat="1" x14ac:dyDescent="0.25">
      <c r="A372" s="227"/>
      <c r="B372" s="228" t="s">
        <v>160</v>
      </c>
      <c r="C372" s="228"/>
      <c r="D372" s="228"/>
      <c r="E372" s="228"/>
      <c r="F372" s="228"/>
      <c r="G372" s="228"/>
      <c r="H372" s="228"/>
      <c r="I372" s="228"/>
      <c r="J372" s="228"/>
      <c r="K372" s="228"/>
      <c r="L372" s="228"/>
      <c r="M372" s="228"/>
      <c r="N372" s="228"/>
      <c r="O372" s="228"/>
    </row>
    <row r="373" spans="1:16" s="1107" customFormat="1" x14ac:dyDescent="0.25">
      <c r="A373" s="227"/>
      <c r="B373" s="230" t="s">
        <v>1229</v>
      </c>
      <c r="C373" s="230"/>
      <c r="D373" s="228"/>
      <c r="E373" s="228"/>
      <c r="F373" s="228"/>
      <c r="G373" s="228"/>
      <c r="H373" s="228"/>
      <c r="I373" s="228"/>
      <c r="J373" s="230">
        <f t="shared" ref="J373:J379" si="181">SUM(C373+E373+F373+H373)</f>
        <v>0</v>
      </c>
      <c r="K373" s="230">
        <f t="shared" ref="K373:K379" si="182">SUM(D373+G373+I373)</f>
        <v>0</v>
      </c>
      <c r="L373" s="230">
        <f t="shared" ref="L373:L379" si="183">SUM(J373:K373)</f>
        <v>0</v>
      </c>
      <c r="M373" s="230">
        <v>128</v>
      </c>
      <c r="N373" s="230"/>
      <c r="O373" s="230">
        <f t="shared" ref="O373:O379" si="184">SUM(L373:N373)</f>
        <v>128</v>
      </c>
    </row>
    <row r="374" spans="1:16" s="1107" customFormat="1" ht="33.75" customHeight="1" x14ac:dyDescent="0.25">
      <c r="A374" s="227"/>
      <c r="B374" s="230" t="s">
        <v>1251</v>
      </c>
      <c r="C374" s="228"/>
      <c r="D374" s="228"/>
      <c r="E374" s="228"/>
      <c r="F374" s="228"/>
      <c r="G374" s="228"/>
      <c r="H374" s="228"/>
      <c r="I374" s="228"/>
      <c r="J374" s="230">
        <f t="shared" si="181"/>
        <v>0</v>
      </c>
      <c r="K374" s="230">
        <f t="shared" si="182"/>
        <v>0</v>
      </c>
      <c r="L374" s="230">
        <f t="shared" si="183"/>
        <v>0</v>
      </c>
      <c r="M374" s="230">
        <v>6200</v>
      </c>
      <c r="N374" s="230"/>
      <c r="O374" s="230">
        <f t="shared" si="184"/>
        <v>6200</v>
      </c>
    </row>
    <row r="375" spans="1:16" s="1107" customFormat="1" ht="47.25" x14ac:dyDescent="0.25">
      <c r="A375" s="227"/>
      <c r="B375" s="230" t="s">
        <v>1230</v>
      </c>
      <c r="C375" s="228"/>
      <c r="D375" s="228"/>
      <c r="E375" s="228"/>
      <c r="F375" s="228"/>
      <c r="G375" s="228"/>
      <c r="H375" s="228"/>
      <c r="I375" s="228"/>
      <c r="J375" s="230">
        <f t="shared" si="181"/>
        <v>0</v>
      </c>
      <c r="K375" s="230">
        <f t="shared" si="182"/>
        <v>0</v>
      </c>
      <c r="L375" s="230">
        <f t="shared" si="183"/>
        <v>0</v>
      </c>
      <c r="M375" s="230">
        <v>1264</v>
      </c>
      <c r="N375" s="230"/>
      <c r="O375" s="230">
        <f t="shared" si="184"/>
        <v>1264</v>
      </c>
    </row>
    <row r="376" spans="1:16" s="1107" customFormat="1" x14ac:dyDescent="0.25">
      <c r="A376" s="227"/>
      <c r="B376" s="228" t="s">
        <v>161</v>
      </c>
      <c r="C376" s="228"/>
      <c r="D376" s="228"/>
      <c r="E376" s="228"/>
      <c r="F376" s="228"/>
      <c r="G376" s="228"/>
      <c r="H376" s="228"/>
      <c r="I376" s="228"/>
      <c r="J376" s="228"/>
      <c r="K376" s="228"/>
      <c r="L376" s="228"/>
      <c r="M376" s="228"/>
      <c r="N376" s="228"/>
      <c r="O376" s="228"/>
    </row>
    <row r="377" spans="1:16" s="1107" customFormat="1" x14ac:dyDescent="0.25">
      <c r="A377" s="227"/>
      <c r="B377" s="230" t="s">
        <v>1237</v>
      </c>
      <c r="C377" s="228"/>
      <c r="D377" s="228"/>
      <c r="E377" s="228"/>
      <c r="F377" s="228"/>
      <c r="G377" s="228"/>
      <c r="H377" s="228"/>
      <c r="I377" s="228"/>
      <c r="J377" s="230">
        <f t="shared" si="181"/>
        <v>0</v>
      </c>
      <c r="K377" s="230">
        <f t="shared" si="182"/>
        <v>0</v>
      </c>
      <c r="L377" s="230">
        <f t="shared" si="183"/>
        <v>0</v>
      </c>
      <c r="M377" s="230">
        <v>3141</v>
      </c>
      <c r="N377" s="230"/>
      <c r="O377" s="230">
        <f t="shared" si="184"/>
        <v>3141</v>
      </c>
    </row>
    <row r="378" spans="1:16" s="1107" customFormat="1" ht="31.5" x14ac:dyDescent="0.25">
      <c r="A378" s="232"/>
      <c r="B378" s="235" t="s">
        <v>1232</v>
      </c>
      <c r="C378" s="233"/>
      <c r="D378" s="233"/>
      <c r="E378" s="233"/>
      <c r="F378" s="233"/>
      <c r="G378" s="233"/>
      <c r="H378" s="233"/>
      <c r="I378" s="233"/>
      <c r="J378" s="235">
        <f t="shared" si="181"/>
        <v>0</v>
      </c>
      <c r="K378" s="235">
        <f t="shared" si="182"/>
        <v>0</v>
      </c>
      <c r="L378" s="235">
        <f t="shared" si="183"/>
        <v>0</v>
      </c>
      <c r="M378" s="235">
        <v>229</v>
      </c>
      <c r="N378" s="235"/>
      <c r="O378" s="235">
        <f t="shared" si="184"/>
        <v>229</v>
      </c>
    </row>
    <row r="379" spans="1:16" s="1107" customFormat="1" ht="32.25" thickBot="1" x14ac:dyDescent="0.3">
      <c r="A379" s="232"/>
      <c r="B379" s="235" t="s">
        <v>1153</v>
      </c>
      <c r="C379" s="235">
        <v>1792</v>
      </c>
      <c r="D379" s="233"/>
      <c r="E379" s="233"/>
      <c r="F379" s="233"/>
      <c r="G379" s="233"/>
      <c r="H379" s="233">
        <v>72</v>
      </c>
      <c r="I379" s="233"/>
      <c r="J379" s="235">
        <f t="shared" si="181"/>
        <v>1864</v>
      </c>
      <c r="K379" s="235">
        <f t="shared" si="182"/>
        <v>0</v>
      </c>
      <c r="L379" s="235">
        <f t="shared" si="183"/>
        <v>1864</v>
      </c>
      <c r="M379" s="235"/>
      <c r="N379" s="235"/>
      <c r="O379" s="235">
        <f t="shared" si="184"/>
        <v>1864</v>
      </c>
    </row>
    <row r="380" spans="1:16" ht="17.25" thickTop="1" thickBot="1" x14ac:dyDescent="0.3">
      <c r="A380" s="224"/>
      <c r="B380" s="231" t="s">
        <v>1035</v>
      </c>
      <c r="C380" s="231">
        <f>+C369+C373+C377+C374+C375+C378+C379</f>
        <v>24093</v>
      </c>
      <c r="D380" s="231">
        <f t="shared" ref="D380:O380" si="185">+D369+D373+D377+D374+D375+D378+D379</f>
        <v>0</v>
      </c>
      <c r="E380" s="231">
        <f t="shared" si="185"/>
        <v>0</v>
      </c>
      <c r="F380" s="231">
        <f t="shared" si="185"/>
        <v>17975</v>
      </c>
      <c r="G380" s="231">
        <f t="shared" si="185"/>
        <v>0</v>
      </c>
      <c r="H380" s="231">
        <f t="shared" si="185"/>
        <v>195</v>
      </c>
      <c r="I380" s="231">
        <f t="shared" si="185"/>
        <v>0</v>
      </c>
      <c r="J380" s="231">
        <f t="shared" si="185"/>
        <v>42263</v>
      </c>
      <c r="K380" s="231">
        <f t="shared" si="185"/>
        <v>0</v>
      </c>
      <c r="L380" s="231">
        <f t="shared" si="185"/>
        <v>42263</v>
      </c>
      <c r="M380" s="231">
        <f t="shared" si="185"/>
        <v>458426</v>
      </c>
      <c r="N380" s="231">
        <f t="shared" si="185"/>
        <v>29045</v>
      </c>
      <c r="O380" s="231">
        <f t="shared" si="185"/>
        <v>529734</v>
      </c>
      <c r="P380" s="1104">
        <f>O381+O382</f>
        <v>529734</v>
      </c>
    </row>
    <row r="381" spans="1:16" ht="17.25" thickTop="1" thickBot="1" x14ac:dyDescent="0.3">
      <c r="A381" s="224"/>
      <c r="B381" s="231" t="s">
        <v>1036</v>
      </c>
      <c r="C381" s="231">
        <f>+C370+C373+C374+C375</f>
        <v>21615</v>
      </c>
      <c r="D381" s="231">
        <f t="shared" ref="D381:O381" si="186">+D370+D373+D374+D375</f>
        <v>0</v>
      </c>
      <c r="E381" s="231">
        <f t="shared" si="186"/>
        <v>0</v>
      </c>
      <c r="F381" s="231">
        <f t="shared" si="186"/>
        <v>10990</v>
      </c>
      <c r="G381" s="231">
        <f t="shared" si="186"/>
        <v>0</v>
      </c>
      <c r="H381" s="231">
        <f t="shared" si="186"/>
        <v>0</v>
      </c>
      <c r="I381" s="231">
        <f t="shared" si="186"/>
        <v>0</v>
      </c>
      <c r="J381" s="231">
        <f t="shared" si="186"/>
        <v>32605</v>
      </c>
      <c r="K381" s="231">
        <f t="shared" si="186"/>
        <v>0</v>
      </c>
      <c r="L381" s="231">
        <f t="shared" si="186"/>
        <v>32605</v>
      </c>
      <c r="M381" s="231">
        <f t="shared" si="186"/>
        <v>447345</v>
      </c>
      <c r="N381" s="231">
        <f t="shared" si="186"/>
        <v>29045</v>
      </c>
      <c r="O381" s="231">
        <f t="shared" si="186"/>
        <v>508995</v>
      </c>
    </row>
    <row r="382" spans="1:16" ht="17.25" thickTop="1" thickBot="1" x14ac:dyDescent="0.3">
      <c r="A382" s="224"/>
      <c r="B382" s="231" t="s">
        <v>1037</v>
      </c>
      <c r="C382" s="231">
        <f>+C371+C377+C378+C379</f>
        <v>2478</v>
      </c>
      <c r="D382" s="231">
        <f t="shared" ref="D382:O382" si="187">+D371+D377+D378+D379</f>
        <v>0</v>
      </c>
      <c r="E382" s="231">
        <f t="shared" si="187"/>
        <v>0</v>
      </c>
      <c r="F382" s="231">
        <f t="shared" si="187"/>
        <v>6985</v>
      </c>
      <c r="G382" s="231">
        <f t="shared" si="187"/>
        <v>0</v>
      </c>
      <c r="H382" s="231">
        <f t="shared" si="187"/>
        <v>195</v>
      </c>
      <c r="I382" s="231">
        <f t="shared" si="187"/>
        <v>0</v>
      </c>
      <c r="J382" s="231">
        <f t="shared" si="187"/>
        <v>9658</v>
      </c>
      <c r="K382" s="231">
        <f t="shared" si="187"/>
        <v>0</v>
      </c>
      <c r="L382" s="231">
        <f t="shared" si="187"/>
        <v>9658</v>
      </c>
      <c r="M382" s="231">
        <f t="shared" si="187"/>
        <v>11081</v>
      </c>
      <c r="N382" s="231">
        <f t="shared" si="187"/>
        <v>0</v>
      </c>
      <c r="O382" s="231">
        <f t="shared" si="187"/>
        <v>20739</v>
      </c>
    </row>
    <row r="383" spans="1:16" ht="16.5" thickTop="1" x14ac:dyDescent="0.25">
      <c r="A383" s="226" t="s">
        <v>17</v>
      </c>
      <c r="B383" s="593" t="s">
        <v>411</v>
      </c>
      <c r="C383" s="593"/>
      <c r="D383" s="593"/>
      <c r="E383" s="593"/>
      <c r="F383" s="593"/>
      <c r="G383" s="593"/>
      <c r="H383" s="593"/>
      <c r="I383" s="593"/>
      <c r="J383" s="593"/>
      <c r="K383" s="593"/>
      <c r="L383" s="593"/>
      <c r="M383" s="593"/>
      <c r="N383" s="593"/>
      <c r="O383" s="593"/>
    </row>
    <row r="384" spans="1:16" x14ac:dyDescent="0.25">
      <c r="A384" s="226"/>
      <c r="B384" s="591" t="s">
        <v>998</v>
      </c>
      <c r="C384" s="591">
        <v>35616</v>
      </c>
      <c r="D384" s="591"/>
      <c r="E384" s="591"/>
      <c r="F384" s="591">
        <v>94341</v>
      </c>
      <c r="G384" s="591"/>
      <c r="H384" s="591">
        <v>102</v>
      </c>
      <c r="I384" s="591"/>
      <c r="J384" s="591">
        <f>SUM(C384+E384+F384+H384)</f>
        <v>130059</v>
      </c>
      <c r="K384" s="591">
        <f>SUM(D384+G384+I384)</f>
        <v>0</v>
      </c>
      <c r="L384" s="591">
        <f>SUM(J384:K384)</f>
        <v>130059</v>
      </c>
      <c r="M384" s="591">
        <v>775263</v>
      </c>
      <c r="N384" s="591">
        <v>120782</v>
      </c>
      <c r="O384" s="591">
        <f>SUM(L384:N384)</f>
        <v>1026104</v>
      </c>
    </row>
    <row r="385" spans="1:16" s="1107" customFormat="1" x14ac:dyDescent="0.25">
      <c r="A385" s="227"/>
      <c r="B385" s="228" t="s">
        <v>1033</v>
      </c>
      <c r="C385" s="228">
        <v>33306</v>
      </c>
      <c r="D385" s="228"/>
      <c r="E385" s="228"/>
      <c r="F385" s="228">
        <v>94341</v>
      </c>
      <c r="G385" s="228"/>
      <c r="H385" s="228"/>
      <c r="I385" s="228"/>
      <c r="J385" s="229">
        <f>SUM(C385+E385+F385+H385)</f>
        <v>127647</v>
      </c>
      <c r="K385" s="229">
        <f>SUM(D385+G385+I385)</f>
        <v>0</v>
      </c>
      <c r="L385" s="229">
        <f>SUM(J385:K385)</f>
        <v>127647</v>
      </c>
      <c r="M385" s="229">
        <v>764642</v>
      </c>
      <c r="N385" s="229">
        <v>120782</v>
      </c>
      <c r="O385" s="229">
        <f>SUM(L385:N385)</f>
        <v>1013071</v>
      </c>
    </row>
    <row r="386" spans="1:16" s="1107" customFormat="1" x14ac:dyDescent="0.25">
      <c r="A386" s="227"/>
      <c r="B386" s="228" t="s">
        <v>1034</v>
      </c>
      <c r="C386" s="228">
        <v>2310</v>
      </c>
      <c r="D386" s="228"/>
      <c r="E386" s="228"/>
      <c r="F386" s="228"/>
      <c r="G386" s="228"/>
      <c r="H386" s="228">
        <v>102</v>
      </c>
      <c r="I386" s="228"/>
      <c r="J386" s="228">
        <f>SUM(C386+E386+F386+H386)</f>
        <v>2412</v>
      </c>
      <c r="K386" s="228">
        <f>SUM(D386+G386+I386)</f>
        <v>0</v>
      </c>
      <c r="L386" s="228">
        <f>SUM(J386:K386)</f>
        <v>2412</v>
      </c>
      <c r="M386" s="228">
        <v>10621</v>
      </c>
      <c r="N386" s="228"/>
      <c r="O386" s="228">
        <f>SUM(L386:N386)</f>
        <v>13033</v>
      </c>
    </row>
    <row r="387" spans="1:16" x14ac:dyDescent="0.25">
      <c r="A387" s="226"/>
      <c r="B387" s="228" t="s">
        <v>160</v>
      </c>
      <c r="C387" s="228"/>
      <c r="D387" s="228"/>
      <c r="E387" s="228"/>
      <c r="F387" s="228"/>
      <c r="G387" s="228"/>
      <c r="H387" s="228"/>
      <c r="I387" s="228"/>
      <c r="J387" s="591"/>
      <c r="K387" s="591"/>
      <c r="L387" s="591"/>
      <c r="M387" s="591"/>
      <c r="N387" s="591"/>
      <c r="O387" s="591"/>
    </row>
    <row r="388" spans="1:16" x14ac:dyDescent="0.25">
      <c r="A388" s="226"/>
      <c r="B388" s="230" t="s">
        <v>1229</v>
      </c>
      <c r="C388" s="591"/>
      <c r="D388" s="591"/>
      <c r="E388" s="591"/>
      <c r="F388" s="591"/>
      <c r="G388" s="591"/>
      <c r="H388" s="591"/>
      <c r="I388" s="591"/>
      <c r="J388" s="591">
        <f t="shared" ref="J388:J392" si="188">SUM(C388+E388+F388+H388)</f>
        <v>0</v>
      </c>
      <c r="K388" s="591">
        <f t="shared" ref="K388:K392" si="189">SUM(D388+G388+I388)</f>
        <v>0</v>
      </c>
      <c r="L388" s="591">
        <f t="shared" ref="L388:L392" si="190">SUM(J388:K388)</f>
        <v>0</v>
      </c>
      <c r="M388" s="591">
        <v>49</v>
      </c>
      <c r="N388" s="591"/>
      <c r="O388" s="591">
        <f t="shared" ref="O388:O392" si="191">SUM(L388:N388)</f>
        <v>49</v>
      </c>
    </row>
    <row r="389" spans="1:16" ht="31.5" customHeight="1" x14ac:dyDescent="0.25">
      <c r="A389" s="226"/>
      <c r="B389" s="230" t="s">
        <v>1251</v>
      </c>
      <c r="C389" s="591"/>
      <c r="D389" s="591"/>
      <c r="E389" s="591"/>
      <c r="F389" s="591"/>
      <c r="G389" s="591"/>
      <c r="H389" s="591"/>
      <c r="I389" s="591"/>
      <c r="J389" s="591">
        <f t="shared" si="188"/>
        <v>0</v>
      </c>
      <c r="K389" s="591">
        <f t="shared" si="189"/>
        <v>0</v>
      </c>
      <c r="L389" s="591">
        <f t="shared" si="190"/>
        <v>0</v>
      </c>
      <c r="M389" s="591">
        <v>6225</v>
      </c>
      <c r="N389" s="591"/>
      <c r="O389" s="591">
        <f t="shared" si="191"/>
        <v>6225</v>
      </c>
    </row>
    <row r="390" spans="1:16" ht="47.25" x14ac:dyDescent="0.25">
      <c r="A390" s="226"/>
      <c r="B390" s="230" t="s">
        <v>1230</v>
      </c>
      <c r="C390" s="591"/>
      <c r="D390" s="591"/>
      <c r="E390" s="591"/>
      <c r="F390" s="591"/>
      <c r="G390" s="591"/>
      <c r="H390" s="591"/>
      <c r="I390" s="591"/>
      <c r="J390" s="591">
        <f t="shared" si="188"/>
        <v>0</v>
      </c>
      <c r="K390" s="591">
        <f t="shared" si="189"/>
        <v>0</v>
      </c>
      <c r="L390" s="591">
        <f t="shared" si="190"/>
        <v>0</v>
      </c>
      <c r="M390" s="591">
        <v>1391</v>
      </c>
      <c r="N390" s="591"/>
      <c r="O390" s="591">
        <f t="shared" si="191"/>
        <v>1391</v>
      </c>
    </row>
    <row r="391" spans="1:16" ht="31.5" x14ac:dyDescent="0.25">
      <c r="A391" s="226"/>
      <c r="B391" s="236" t="s">
        <v>1252</v>
      </c>
      <c r="C391" s="590"/>
      <c r="D391" s="590"/>
      <c r="E391" s="590"/>
      <c r="F391" s="590"/>
      <c r="G391" s="590"/>
      <c r="H391" s="590"/>
      <c r="I391" s="590"/>
      <c r="J391" s="590">
        <f t="shared" si="188"/>
        <v>0</v>
      </c>
      <c r="K391" s="590">
        <f t="shared" si="189"/>
        <v>0</v>
      </c>
      <c r="L391" s="590">
        <f t="shared" si="190"/>
        <v>0</v>
      </c>
      <c r="M391" s="590">
        <v>233</v>
      </c>
      <c r="N391" s="590"/>
      <c r="O391" s="590">
        <f t="shared" si="191"/>
        <v>233</v>
      </c>
    </row>
    <row r="392" spans="1:16" x14ac:dyDescent="0.25">
      <c r="A392" s="226"/>
      <c r="B392" s="230" t="s">
        <v>1253</v>
      </c>
      <c r="C392" s="591"/>
      <c r="D392" s="591"/>
      <c r="E392" s="591"/>
      <c r="F392" s="591"/>
      <c r="G392" s="591"/>
      <c r="H392" s="591"/>
      <c r="I392" s="591"/>
      <c r="J392" s="591">
        <f t="shared" si="188"/>
        <v>0</v>
      </c>
      <c r="K392" s="591">
        <f t="shared" si="189"/>
        <v>0</v>
      </c>
      <c r="L392" s="591">
        <f t="shared" si="190"/>
        <v>0</v>
      </c>
      <c r="M392" s="591">
        <v>-7405</v>
      </c>
      <c r="N392" s="591"/>
      <c r="O392" s="591">
        <f t="shared" si="191"/>
        <v>-7405</v>
      </c>
    </row>
    <row r="393" spans="1:16" x14ac:dyDescent="0.25">
      <c r="A393" s="226"/>
      <c r="B393" s="228" t="s">
        <v>161</v>
      </c>
      <c r="C393" s="228"/>
      <c r="D393" s="228"/>
      <c r="E393" s="228"/>
      <c r="F393" s="228"/>
      <c r="G393" s="228"/>
      <c r="H393" s="228"/>
      <c r="I393" s="228"/>
      <c r="J393" s="591"/>
      <c r="K393" s="591"/>
      <c r="L393" s="591"/>
      <c r="M393" s="591"/>
      <c r="N393" s="591"/>
      <c r="O393" s="591"/>
    </row>
    <row r="394" spans="1:16" x14ac:dyDescent="0.25">
      <c r="A394" s="226"/>
      <c r="B394" s="230" t="s">
        <v>1237</v>
      </c>
      <c r="C394" s="591"/>
      <c r="D394" s="591"/>
      <c r="E394" s="591"/>
      <c r="F394" s="591"/>
      <c r="G394" s="591"/>
      <c r="H394" s="591"/>
      <c r="I394" s="591"/>
      <c r="J394" s="591">
        <f>SUM(C394+E394+F394+H394)</f>
        <v>0</v>
      </c>
      <c r="K394" s="591">
        <f>SUM(D394+G394+I394)</f>
        <v>0</v>
      </c>
      <c r="L394" s="591">
        <f>SUM(J394:K394)</f>
        <v>0</v>
      </c>
      <c r="M394" s="591">
        <v>4147</v>
      </c>
      <c r="N394" s="591"/>
      <c r="O394" s="591">
        <f>SUM(L394:N394)</f>
        <v>4147</v>
      </c>
    </row>
    <row r="395" spans="1:16" ht="31.5" x14ac:dyDescent="0.25">
      <c r="A395" s="226"/>
      <c r="B395" s="230" t="s">
        <v>1232</v>
      </c>
      <c r="C395" s="591"/>
      <c r="D395" s="591"/>
      <c r="E395" s="591"/>
      <c r="F395" s="591"/>
      <c r="G395" s="591"/>
      <c r="H395" s="591"/>
      <c r="I395" s="591"/>
      <c r="J395" s="591">
        <f t="shared" ref="J395:J397" si="192">SUM(C395+E395+F395+H395)</f>
        <v>0</v>
      </c>
      <c r="K395" s="591">
        <f t="shared" ref="K395:K397" si="193">SUM(D395+G395+I395)</f>
        <v>0</v>
      </c>
      <c r="L395" s="591">
        <f t="shared" ref="L395:L397" si="194">SUM(J395:K395)</f>
        <v>0</v>
      </c>
      <c r="M395" s="591">
        <v>455</v>
      </c>
      <c r="N395" s="591"/>
      <c r="O395" s="591">
        <f t="shared" ref="O395:O397" si="195">SUM(L395:N395)</f>
        <v>455</v>
      </c>
    </row>
    <row r="396" spans="1:16" ht="63" x14ac:dyDescent="0.25">
      <c r="A396" s="226"/>
      <c r="B396" s="230" t="s">
        <v>1254</v>
      </c>
      <c r="C396" s="591"/>
      <c r="D396" s="591"/>
      <c r="E396" s="591"/>
      <c r="F396" s="591"/>
      <c r="G396" s="591"/>
      <c r="H396" s="591"/>
      <c r="I396" s="591"/>
      <c r="J396" s="591">
        <f t="shared" si="192"/>
        <v>0</v>
      </c>
      <c r="K396" s="591">
        <f t="shared" si="193"/>
        <v>0</v>
      </c>
      <c r="L396" s="591">
        <f t="shared" si="194"/>
        <v>0</v>
      </c>
      <c r="M396" s="591">
        <v>700</v>
      </c>
      <c r="N396" s="591"/>
      <c r="O396" s="591">
        <f t="shared" si="195"/>
        <v>700</v>
      </c>
    </row>
    <row r="397" spans="1:16" ht="32.25" thickBot="1" x14ac:dyDescent="0.3">
      <c r="A397" s="226"/>
      <c r="B397" s="230" t="s">
        <v>1153</v>
      </c>
      <c r="C397" s="591">
        <v>3400</v>
      </c>
      <c r="D397" s="591"/>
      <c r="E397" s="591"/>
      <c r="F397" s="591"/>
      <c r="G397" s="591"/>
      <c r="H397" s="591">
        <v>500</v>
      </c>
      <c r="I397" s="591"/>
      <c r="J397" s="591">
        <f t="shared" si="192"/>
        <v>3900</v>
      </c>
      <c r="K397" s="591">
        <f t="shared" si="193"/>
        <v>0</v>
      </c>
      <c r="L397" s="591">
        <f t="shared" si="194"/>
        <v>3900</v>
      </c>
      <c r="M397" s="591"/>
      <c r="N397" s="591"/>
      <c r="O397" s="591">
        <f t="shared" si="195"/>
        <v>3900</v>
      </c>
    </row>
    <row r="398" spans="1:16" ht="17.25" thickTop="1" thickBot="1" x14ac:dyDescent="0.3">
      <c r="A398" s="224"/>
      <c r="B398" s="231" t="s">
        <v>1035</v>
      </c>
      <c r="C398" s="231">
        <f>+C384+C388+C389+C394+C390+C395+C391+C392+C396+C397</f>
        <v>39016</v>
      </c>
      <c r="D398" s="231">
        <f t="shared" ref="D398:O398" si="196">+D384+D388+D389+D394+D390+D395+D391+D392+D396+D397</f>
        <v>0</v>
      </c>
      <c r="E398" s="231">
        <f t="shared" si="196"/>
        <v>0</v>
      </c>
      <c r="F398" s="231">
        <f t="shared" si="196"/>
        <v>94341</v>
      </c>
      <c r="G398" s="231">
        <f t="shared" si="196"/>
        <v>0</v>
      </c>
      <c r="H398" s="231">
        <f t="shared" si="196"/>
        <v>602</v>
      </c>
      <c r="I398" s="231">
        <f t="shared" si="196"/>
        <v>0</v>
      </c>
      <c r="J398" s="231">
        <f t="shared" si="196"/>
        <v>133959</v>
      </c>
      <c r="K398" s="231">
        <f t="shared" si="196"/>
        <v>0</v>
      </c>
      <c r="L398" s="231">
        <f t="shared" si="196"/>
        <v>133959</v>
      </c>
      <c r="M398" s="231">
        <f t="shared" si="196"/>
        <v>781058</v>
      </c>
      <c r="N398" s="231">
        <f t="shared" si="196"/>
        <v>120782</v>
      </c>
      <c r="O398" s="231">
        <f t="shared" si="196"/>
        <v>1035799</v>
      </c>
      <c r="P398" s="1104">
        <f>O399+O400</f>
        <v>1035799</v>
      </c>
    </row>
    <row r="399" spans="1:16" ht="17.25" thickTop="1" thickBot="1" x14ac:dyDescent="0.3">
      <c r="A399" s="224"/>
      <c r="B399" s="231" t="s">
        <v>1036</v>
      </c>
      <c r="C399" s="231">
        <f>+C385+C388+C389+C390+C391+C392</f>
        <v>33306</v>
      </c>
      <c r="D399" s="231">
        <f t="shared" ref="D399:O399" si="197">+D385+D388+D389+D390+D391+D392</f>
        <v>0</v>
      </c>
      <c r="E399" s="231">
        <f t="shared" si="197"/>
        <v>0</v>
      </c>
      <c r="F399" s="231">
        <f t="shared" si="197"/>
        <v>94341</v>
      </c>
      <c r="G399" s="231">
        <f t="shared" si="197"/>
        <v>0</v>
      </c>
      <c r="H399" s="231">
        <f t="shared" si="197"/>
        <v>0</v>
      </c>
      <c r="I399" s="231">
        <f t="shared" si="197"/>
        <v>0</v>
      </c>
      <c r="J399" s="231">
        <f t="shared" si="197"/>
        <v>127647</v>
      </c>
      <c r="K399" s="231">
        <f t="shared" si="197"/>
        <v>0</v>
      </c>
      <c r="L399" s="231">
        <f t="shared" si="197"/>
        <v>127647</v>
      </c>
      <c r="M399" s="231">
        <f t="shared" si="197"/>
        <v>765135</v>
      </c>
      <c r="N399" s="231">
        <f t="shared" si="197"/>
        <v>120782</v>
      </c>
      <c r="O399" s="231">
        <f t="shared" si="197"/>
        <v>1013564</v>
      </c>
    </row>
    <row r="400" spans="1:16" ht="17.25" thickTop="1" thickBot="1" x14ac:dyDescent="0.3">
      <c r="A400" s="226"/>
      <c r="B400" s="231" t="s">
        <v>1037</v>
      </c>
      <c r="C400" s="231">
        <f t="shared" ref="C400:O400" si="198">+C386+C394+C395+C396+C397</f>
        <v>5710</v>
      </c>
      <c r="D400" s="231">
        <f t="shared" si="198"/>
        <v>0</v>
      </c>
      <c r="E400" s="231">
        <f t="shared" si="198"/>
        <v>0</v>
      </c>
      <c r="F400" s="231">
        <f t="shared" si="198"/>
        <v>0</v>
      </c>
      <c r="G400" s="231">
        <f t="shared" si="198"/>
        <v>0</v>
      </c>
      <c r="H400" s="231">
        <f t="shared" si="198"/>
        <v>602</v>
      </c>
      <c r="I400" s="231">
        <f t="shared" si="198"/>
        <v>0</v>
      </c>
      <c r="J400" s="231">
        <f t="shared" si="198"/>
        <v>6312</v>
      </c>
      <c r="K400" s="231">
        <f t="shared" si="198"/>
        <v>0</v>
      </c>
      <c r="L400" s="231">
        <f t="shared" si="198"/>
        <v>6312</v>
      </c>
      <c r="M400" s="231">
        <f t="shared" si="198"/>
        <v>15923</v>
      </c>
      <c r="N400" s="231">
        <f t="shared" si="198"/>
        <v>0</v>
      </c>
      <c r="O400" s="231">
        <f t="shared" si="198"/>
        <v>22235</v>
      </c>
    </row>
    <row r="401" spans="1:15" ht="16.5" thickTop="1" x14ac:dyDescent="0.25">
      <c r="A401" s="238" t="s">
        <v>18</v>
      </c>
      <c r="B401" s="593" t="s">
        <v>844</v>
      </c>
      <c r="C401" s="593"/>
      <c r="D401" s="593"/>
      <c r="E401" s="593"/>
      <c r="F401" s="593"/>
      <c r="G401" s="593"/>
      <c r="H401" s="593"/>
      <c r="I401" s="593"/>
      <c r="J401" s="593"/>
      <c r="K401" s="593"/>
      <c r="L401" s="593"/>
      <c r="M401" s="593"/>
      <c r="N401" s="593"/>
      <c r="O401" s="593"/>
    </row>
    <row r="402" spans="1:15" x14ac:dyDescent="0.25">
      <c r="A402" s="238"/>
      <c r="B402" s="590" t="s">
        <v>998</v>
      </c>
      <c r="C402" s="590">
        <v>1475</v>
      </c>
      <c r="D402" s="590"/>
      <c r="E402" s="590"/>
      <c r="F402" s="590"/>
      <c r="G402" s="590"/>
      <c r="H402" s="590"/>
      <c r="I402" s="590"/>
      <c r="J402" s="591">
        <f>SUM(C402+E402+F402+H402)</f>
        <v>1475</v>
      </c>
      <c r="K402" s="591">
        <f>SUM(D402+G402+I402)</f>
        <v>0</v>
      </c>
      <c r="L402" s="591">
        <f>SUM(J402:K402)</f>
        <v>1475</v>
      </c>
      <c r="M402" s="591">
        <v>51110</v>
      </c>
      <c r="N402" s="591">
        <v>1214</v>
      </c>
      <c r="O402" s="591">
        <f>SUM(L402:N402)</f>
        <v>53799</v>
      </c>
    </row>
    <row r="403" spans="1:15" s="1107" customFormat="1" x14ac:dyDescent="0.25">
      <c r="A403" s="232"/>
      <c r="B403" s="228" t="s">
        <v>1046</v>
      </c>
      <c r="C403" s="228">
        <v>1475</v>
      </c>
      <c r="D403" s="228"/>
      <c r="E403" s="228"/>
      <c r="F403" s="228"/>
      <c r="G403" s="228"/>
      <c r="H403" s="228"/>
      <c r="I403" s="228"/>
      <c r="J403" s="229">
        <f>SUM(C403+E403+F403+H403)</f>
        <v>1475</v>
      </c>
      <c r="K403" s="229">
        <f>SUM(D403+G403+I403)</f>
        <v>0</v>
      </c>
      <c r="L403" s="229">
        <f>SUM(J403:K403)</f>
        <v>1475</v>
      </c>
      <c r="M403" s="229">
        <v>51110</v>
      </c>
      <c r="N403" s="229">
        <v>1214</v>
      </c>
      <c r="O403" s="229">
        <f>SUM(L403:N403)</f>
        <v>53799</v>
      </c>
    </row>
    <row r="404" spans="1:15" s="1107" customFormat="1" x14ac:dyDescent="0.25">
      <c r="A404" s="232"/>
      <c r="B404" s="228" t="s">
        <v>161</v>
      </c>
      <c r="C404" s="228"/>
      <c r="D404" s="228"/>
      <c r="E404" s="228"/>
      <c r="F404" s="228"/>
      <c r="G404" s="228"/>
      <c r="H404" s="228"/>
      <c r="I404" s="228"/>
      <c r="J404" s="229"/>
      <c r="K404" s="229"/>
      <c r="L404" s="229"/>
      <c r="M404" s="229"/>
      <c r="N404" s="229"/>
      <c r="O404" s="229"/>
    </row>
    <row r="405" spans="1:15" s="1107" customFormat="1" ht="33" customHeight="1" x14ac:dyDescent="0.25">
      <c r="A405" s="232"/>
      <c r="B405" s="230" t="s">
        <v>1251</v>
      </c>
      <c r="C405" s="230"/>
      <c r="D405" s="230"/>
      <c r="E405" s="230"/>
      <c r="F405" s="230"/>
      <c r="G405" s="230"/>
      <c r="H405" s="230"/>
      <c r="I405" s="230"/>
      <c r="J405" s="230">
        <f t="shared" ref="J405:J406" si="199">SUM(C405+E405+F405+H405)</f>
        <v>0</v>
      </c>
      <c r="K405" s="230">
        <f t="shared" ref="K405:K406" si="200">SUM(D405+G405+I405)</f>
        <v>0</v>
      </c>
      <c r="L405" s="230">
        <f t="shared" ref="L405:L406" si="201">SUM(J405:K405)</f>
        <v>0</v>
      </c>
      <c r="M405" s="230">
        <v>316</v>
      </c>
      <c r="N405" s="230"/>
      <c r="O405" s="230">
        <f t="shared" ref="O405:O406" si="202">SUM(L405:N405)</f>
        <v>316</v>
      </c>
    </row>
    <row r="406" spans="1:15" s="1107" customFormat="1" ht="16.5" thickBot="1" x14ac:dyDescent="0.3">
      <c r="A406" s="232"/>
      <c r="B406" s="230" t="s">
        <v>1237</v>
      </c>
      <c r="C406" s="230"/>
      <c r="D406" s="230"/>
      <c r="E406" s="230"/>
      <c r="F406" s="230"/>
      <c r="G406" s="230"/>
      <c r="H406" s="230"/>
      <c r="I406" s="230"/>
      <c r="J406" s="230">
        <f t="shared" si="199"/>
        <v>0</v>
      </c>
      <c r="K406" s="230">
        <f t="shared" si="200"/>
        <v>0</v>
      </c>
      <c r="L406" s="230">
        <f t="shared" si="201"/>
        <v>0</v>
      </c>
      <c r="M406" s="230">
        <v>135</v>
      </c>
      <c r="N406" s="230"/>
      <c r="O406" s="230">
        <f t="shared" si="202"/>
        <v>135</v>
      </c>
    </row>
    <row r="407" spans="1:15" ht="17.25" thickTop="1" thickBot="1" x14ac:dyDescent="0.3">
      <c r="A407" s="224"/>
      <c r="B407" s="231" t="s">
        <v>1035</v>
      </c>
      <c r="C407" s="231">
        <f>+C402+C405+C406</f>
        <v>1475</v>
      </c>
      <c r="D407" s="231">
        <f t="shared" ref="D407:O407" si="203">+D402+D405+D406</f>
        <v>0</v>
      </c>
      <c r="E407" s="231">
        <f t="shared" si="203"/>
        <v>0</v>
      </c>
      <c r="F407" s="231">
        <f t="shared" si="203"/>
        <v>0</v>
      </c>
      <c r="G407" s="231">
        <f t="shared" si="203"/>
        <v>0</v>
      </c>
      <c r="H407" s="231">
        <f t="shared" si="203"/>
        <v>0</v>
      </c>
      <c r="I407" s="231">
        <f t="shared" si="203"/>
        <v>0</v>
      </c>
      <c r="J407" s="231">
        <f t="shared" si="203"/>
        <v>1475</v>
      </c>
      <c r="K407" s="231">
        <f t="shared" si="203"/>
        <v>0</v>
      </c>
      <c r="L407" s="231">
        <f t="shared" si="203"/>
        <v>1475</v>
      </c>
      <c r="M407" s="231">
        <f t="shared" si="203"/>
        <v>51561</v>
      </c>
      <c r="N407" s="231">
        <f t="shared" si="203"/>
        <v>1214</v>
      </c>
      <c r="O407" s="231">
        <f t="shared" si="203"/>
        <v>54250</v>
      </c>
    </row>
    <row r="408" spans="1:15" ht="17.25" thickTop="1" thickBot="1" x14ac:dyDescent="0.3">
      <c r="A408" s="224"/>
      <c r="B408" s="231" t="s">
        <v>1047</v>
      </c>
      <c r="C408" s="231">
        <f>+C403+C405+C406</f>
        <v>1475</v>
      </c>
      <c r="D408" s="231">
        <f t="shared" ref="D408:O408" si="204">+D403+D405+D406</f>
        <v>0</v>
      </c>
      <c r="E408" s="231">
        <f t="shared" si="204"/>
        <v>0</v>
      </c>
      <c r="F408" s="231">
        <f t="shared" si="204"/>
        <v>0</v>
      </c>
      <c r="G408" s="231">
        <f t="shared" si="204"/>
        <v>0</v>
      </c>
      <c r="H408" s="231">
        <f t="shared" si="204"/>
        <v>0</v>
      </c>
      <c r="I408" s="231">
        <f t="shared" si="204"/>
        <v>0</v>
      </c>
      <c r="J408" s="231">
        <f t="shared" si="204"/>
        <v>1475</v>
      </c>
      <c r="K408" s="231">
        <f t="shared" si="204"/>
        <v>0</v>
      </c>
      <c r="L408" s="231">
        <f t="shared" si="204"/>
        <v>1475</v>
      </c>
      <c r="M408" s="231">
        <f t="shared" si="204"/>
        <v>51561</v>
      </c>
      <c r="N408" s="231">
        <f t="shared" si="204"/>
        <v>1214</v>
      </c>
      <c r="O408" s="231">
        <f t="shared" si="204"/>
        <v>54250</v>
      </c>
    </row>
    <row r="409" spans="1:15" ht="16.5" thickTop="1" x14ac:dyDescent="0.25">
      <c r="A409" s="238" t="s">
        <v>19</v>
      </c>
      <c r="B409" s="593" t="s">
        <v>516</v>
      </c>
      <c r="C409" s="593"/>
      <c r="D409" s="593"/>
      <c r="E409" s="593"/>
      <c r="F409" s="593"/>
      <c r="G409" s="593"/>
      <c r="H409" s="593"/>
      <c r="I409" s="593"/>
      <c r="J409" s="593"/>
      <c r="K409" s="593"/>
      <c r="L409" s="593"/>
      <c r="M409" s="593"/>
      <c r="N409" s="593"/>
      <c r="O409" s="593"/>
    </row>
    <row r="410" spans="1:15" x14ac:dyDescent="0.25">
      <c r="A410" s="238"/>
      <c r="B410" s="590" t="s">
        <v>998</v>
      </c>
      <c r="C410" s="590">
        <v>10788</v>
      </c>
      <c r="D410" s="590"/>
      <c r="E410" s="590"/>
      <c r="F410" s="590">
        <v>39202</v>
      </c>
      <c r="G410" s="590"/>
      <c r="H410" s="590">
        <v>317</v>
      </c>
      <c r="I410" s="590"/>
      <c r="J410" s="591">
        <f>SUM(C410+E410+F410+H410)</f>
        <v>50307</v>
      </c>
      <c r="K410" s="591">
        <f>SUM(D410+G410+I410)</f>
        <v>0</v>
      </c>
      <c r="L410" s="591">
        <f>SUM(J410:K410)</f>
        <v>50307</v>
      </c>
      <c r="M410" s="591">
        <v>270479</v>
      </c>
      <c r="N410" s="591">
        <v>28847</v>
      </c>
      <c r="O410" s="591">
        <f>SUM(L410:N410)</f>
        <v>349633</v>
      </c>
    </row>
    <row r="411" spans="1:15" s="1107" customFormat="1" x14ac:dyDescent="0.25">
      <c r="A411" s="232"/>
      <c r="B411" s="228" t="s">
        <v>1046</v>
      </c>
      <c r="C411" s="228">
        <v>10788</v>
      </c>
      <c r="D411" s="228"/>
      <c r="E411" s="228"/>
      <c r="F411" s="228">
        <v>39202</v>
      </c>
      <c r="G411" s="228"/>
      <c r="H411" s="228">
        <v>317</v>
      </c>
      <c r="I411" s="228"/>
      <c r="J411" s="229">
        <f>SUM(C411+E411+F411+H411)</f>
        <v>50307</v>
      </c>
      <c r="K411" s="229">
        <f>SUM(D411+G411+I411)</f>
        <v>0</v>
      </c>
      <c r="L411" s="229">
        <f>SUM(J411:K411)</f>
        <v>50307</v>
      </c>
      <c r="M411" s="229">
        <v>270479</v>
      </c>
      <c r="N411" s="229">
        <v>28847</v>
      </c>
      <c r="O411" s="229">
        <f>SUM(L411:N411)</f>
        <v>349633</v>
      </c>
    </row>
    <row r="412" spans="1:15" s="1107" customFormat="1" x14ac:dyDescent="0.25">
      <c r="A412" s="232"/>
      <c r="B412" s="228" t="s">
        <v>161</v>
      </c>
      <c r="C412" s="228"/>
      <c r="D412" s="228"/>
      <c r="E412" s="228"/>
      <c r="F412" s="228"/>
      <c r="G412" s="228"/>
      <c r="H412" s="228"/>
      <c r="I412" s="228"/>
      <c r="J412" s="229"/>
      <c r="K412" s="229"/>
      <c r="L412" s="229"/>
      <c r="M412" s="229"/>
      <c r="N412" s="229"/>
      <c r="O412" s="229"/>
    </row>
    <row r="413" spans="1:15" s="1107" customFormat="1" ht="32.25" customHeight="1" x14ac:dyDescent="0.25">
      <c r="A413" s="232"/>
      <c r="B413" s="230" t="s">
        <v>1251</v>
      </c>
      <c r="C413" s="230"/>
      <c r="D413" s="230"/>
      <c r="E413" s="230"/>
      <c r="F413" s="230"/>
      <c r="G413" s="230"/>
      <c r="H413" s="230"/>
      <c r="I413" s="230"/>
      <c r="J413" s="230">
        <f t="shared" ref="J413:J416" si="205">SUM(C413+E413+F413+H413)</f>
        <v>0</v>
      </c>
      <c r="K413" s="230">
        <f t="shared" ref="K413:K416" si="206">SUM(D413+G413+I413)</f>
        <v>0</v>
      </c>
      <c r="L413" s="230">
        <f t="shared" ref="L413:L416" si="207">SUM(J413:K413)</f>
        <v>0</v>
      </c>
      <c r="M413" s="230">
        <v>2324</v>
      </c>
      <c r="N413" s="230"/>
      <c r="O413" s="230">
        <f t="shared" ref="O413:O416" si="208">SUM(L413:N413)</f>
        <v>2324</v>
      </c>
    </row>
    <row r="414" spans="1:15" s="1107" customFormat="1" x14ac:dyDescent="0.25">
      <c r="A414" s="232"/>
      <c r="B414" s="230" t="s">
        <v>1237</v>
      </c>
      <c r="C414" s="230"/>
      <c r="D414" s="230"/>
      <c r="E414" s="230"/>
      <c r="F414" s="230"/>
      <c r="G414" s="230"/>
      <c r="H414" s="230"/>
      <c r="I414" s="230"/>
      <c r="J414" s="230">
        <f t="shared" si="205"/>
        <v>0</v>
      </c>
      <c r="K414" s="230">
        <f t="shared" si="206"/>
        <v>0</v>
      </c>
      <c r="L414" s="230">
        <f t="shared" si="207"/>
        <v>0</v>
      </c>
      <c r="M414" s="230">
        <v>1341</v>
      </c>
      <c r="N414" s="230"/>
      <c r="O414" s="230">
        <f t="shared" si="208"/>
        <v>1341</v>
      </c>
    </row>
    <row r="415" spans="1:15" s="1107" customFormat="1" ht="31.5" x14ac:dyDescent="0.25">
      <c r="A415" s="232"/>
      <c r="B415" s="230" t="s">
        <v>1232</v>
      </c>
      <c r="C415" s="230"/>
      <c r="D415" s="230"/>
      <c r="E415" s="230"/>
      <c r="F415" s="230"/>
      <c r="G415" s="230"/>
      <c r="H415" s="230"/>
      <c r="I415" s="230"/>
      <c r="J415" s="230">
        <f t="shared" si="205"/>
        <v>0</v>
      </c>
      <c r="K415" s="230">
        <f t="shared" si="206"/>
        <v>0</v>
      </c>
      <c r="L415" s="230">
        <f t="shared" si="207"/>
        <v>0</v>
      </c>
      <c r="M415" s="230">
        <v>27</v>
      </c>
      <c r="N415" s="230"/>
      <c r="O415" s="230">
        <f t="shared" si="208"/>
        <v>27</v>
      </c>
    </row>
    <row r="416" spans="1:15" s="1107" customFormat="1" ht="32.25" thickBot="1" x14ac:dyDescent="0.3">
      <c r="A416" s="232"/>
      <c r="B416" s="235" t="s">
        <v>1153</v>
      </c>
      <c r="C416" s="230">
        <v>37093</v>
      </c>
      <c r="D416" s="230"/>
      <c r="E416" s="230"/>
      <c r="F416" s="230"/>
      <c r="G416" s="230"/>
      <c r="H416" s="230">
        <v>16</v>
      </c>
      <c r="I416" s="230"/>
      <c r="J416" s="230">
        <f t="shared" si="205"/>
        <v>37109</v>
      </c>
      <c r="K416" s="230">
        <f t="shared" si="206"/>
        <v>0</v>
      </c>
      <c r="L416" s="230">
        <f t="shared" si="207"/>
        <v>37109</v>
      </c>
      <c r="M416" s="230"/>
      <c r="N416" s="230"/>
      <c r="O416" s="230">
        <f t="shared" si="208"/>
        <v>37109</v>
      </c>
    </row>
    <row r="417" spans="1:15" ht="17.25" thickTop="1" thickBot="1" x14ac:dyDescent="0.3">
      <c r="A417" s="224"/>
      <c r="B417" s="231" t="s">
        <v>1035</v>
      </c>
      <c r="C417" s="231">
        <f>+C410+C413+C414+C415+C416</f>
        <v>47881</v>
      </c>
      <c r="D417" s="231">
        <f t="shared" ref="D417:O417" si="209">+D410+D413+D414+D415+D416</f>
        <v>0</v>
      </c>
      <c r="E417" s="231">
        <f t="shared" si="209"/>
        <v>0</v>
      </c>
      <c r="F417" s="231">
        <f t="shared" si="209"/>
        <v>39202</v>
      </c>
      <c r="G417" s="231">
        <f t="shared" si="209"/>
        <v>0</v>
      </c>
      <c r="H417" s="231">
        <f t="shared" si="209"/>
        <v>333</v>
      </c>
      <c r="I417" s="231">
        <f t="shared" si="209"/>
        <v>0</v>
      </c>
      <c r="J417" s="231">
        <f t="shared" si="209"/>
        <v>87416</v>
      </c>
      <c r="K417" s="231">
        <f t="shared" si="209"/>
        <v>0</v>
      </c>
      <c r="L417" s="231">
        <f t="shared" si="209"/>
        <v>87416</v>
      </c>
      <c r="M417" s="231">
        <f t="shared" si="209"/>
        <v>274171</v>
      </c>
      <c r="N417" s="231">
        <f t="shared" si="209"/>
        <v>28847</v>
      </c>
      <c r="O417" s="231">
        <f t="shared" si="209"/>
        <v>390434</v>
      </c>
    </row>
    <row r="418" spans="1:15" ht="17.25" thickTop="1" thickBot="1" x14ac:dyDescent="0.3">
      <c r="A418" s="224"/>
      <c r="B418" s="231" t="s">
        <v>1047</v>
      </c>
      <c r="C418" s="231">
        <f>+C411+C413+C414+C415+C416</f>
        <v>47881</v>
      </c>
      <c r="D418" s="231">
        <f t="shared" ref="D418:O418" si="210">+D411+D413+D414+D415+D416</f>
        <v>0</v>
      </c>
      <c r="E418" s="231">
        <f t="shared" si="210"/>
        <v>0</v>
      </c>
      <c r="F418" s="231">
        <f t="shared" si="210"/>
        <v>39202</v>
      </c>
      <c r="G418" s="231">
        <f t="shared" si="210"/>
        <v>0</v>
      </c>
      <c r="H418" s="231">
        <f t="shared" si="210"/>
        <v>333</v>
      </c>
      <c r="I418" s="231">
        <f t="shared" si="210"/>
        <v>0</v>
      </c>
      <c r="J418" s="231">
        <f t="shared" si="210"/>
        <v>87416</v>
      </c>
      <c r="K418" s="231">
        <f t="shared" si="210"/>
        <v>0</v>
      </c>
      <c r="L418" s="231">
        <f t="shared" si="210"/>
        <v>87416</v>
      </c>
      <c r="M418" s="231">
        <f t="shared" si="210"/>
        <v>274171</v>
      </c>
      <c r="N418" s="231">
        <f t="shared" si="210"/>
        <v>28847</v>
      </c>
      <c r="O418" s="231">
        <f t="shared" si="210"/>
        <v>390434</v>
      </c>
    </row>
    <row r="419" spans="1:15" ht="16.5" thickTop="1" x14ac:dyDescent="0.25">
      <c r="A419" s="226" t="s">
        <v>20</v>
      </c>
      <c r="B419" s="593" t="s">
        <v>412</v>
      </c>
      <c r="C419" s="593"/>
      <c r="D419" s="593"/>
      <c r="E419" s="593"/>
      <c r="F419" s="593"/>
      <c r="G419" s="593"/>
      <c r="H419" s="593"/>
      <c r="I419" s="593"/>
      <c r="J419" s="593"/>
      <c r="K419" s="593"/>
      <c r="L419" s="593"/>
      <c r="M419" s="593"/>
      <c r="N419" s="593"/>
      <c r="O419" s="593"/>
    </row>
    <row r="420" spans="1:15" x14ac:dyDescent="0.25">
      <c r="A420" s="600"/>
      <c r="B420" s="591" t="s">
        <v>998</v>
      </c>
      <c r="C420" s="591">
        <v>101733</v>
      </c>
      <c r="D420" s="591"/>
      <c r="E420" s="591"/>
      <c r="F420" s="591">
        <v>259831</v>
      </c>
      <c r="G420" s="591"/>
      <c r="H420" s="591"/>
      <c r="I420" s="591"/>
      <c r="J420" s="591">
        <f>SUM(C420+E420+F420+H420)</f>
        <v>361564</v>
      </c>
      <c r="K420" s="591">
        <f>SUM(D420+G420+I420)</f>
        <v>0</v>
      </c>
      <c r="L420" s="591">
        <f>SUM(J420:K420)</f>
        <v>361564</v>
      </c>
      <c r="M420" s="591">
        <v>763680</v>
      </c>
      <c r="N420" s="591">
        <v>4495</v>
      </c>
      <c r="O420" s="591">
        <f>SUM(L420:N420)</f>
        <v>1129739</v>
      </c>
    </row>
    <row r="421" spans="1:15" s="1107" customFormat="1" x14ac:dyDescent="0.25">
      <c r="A421" s="245"/>
      <c r="B421" s="228" t="s">
        <v>1046</v>
      </c>
      <c r="C421" s="228">
        <v>101733</v>
      </c>
      <c r="D421" s="228"/>
      <c r="E421" s="228"/>
      <c r="F421" s="228">
        <v>259831</v>
      </c>
      <c r="G421" s="228"/>
      <c r="H421" s="228"/>
      <c r="I421" s="228"/>
      <c r="J421" s="229">
        <f>SUM(C421+E421+F421+H421)</f>
        <v>361564</v>
      </c>
      <c r="K421" s="229">
        <f>SUM(D421+G421+I421)</f>
        <v>0</v>
      </c>
      <c r="L421" s="229">
        <f>SUM(J421:K421)</f>
        <v>361564</v>
      </c>
      <c r="M421" s="229">
        <v>763680</v>
      </c>
      <c r="N421" s="229">
        <v>4495</v>
      </c>
      <c r="O421" s="229">
        <f>SUM(L421:N421)</f>
        <v>1129739</v>
      </c>
    </row>
    <row r="422" spans="1:15" s="1107" customFormat="1" x14ac:dyDescent="0.25">
      <c r="A422" s="245"/>
      <c r="B422" s="228" t="s">
        <v>161</v>
      </c>
      <c r="C422" s="228"/>
      <c r="D422" s="228"/>
      <c r="E422" s="228"/>
      <c r="F422" s="228"/>
      <c r="G422" s="228"/>
      <c r="H422" s="228"/>
      <c r="I422" s="228"/>
      <c r="J422" s="229"/>
      <c r="K422" s="229"/>
      <c r="L422" s="229"/>
      <c r="M422" s="229"/>
      <c r="N422" s="229"/>
      <c r="O422" s="229"/>
    </row>
    <row r="423" spans="1:15" s="1107" customFormat="1" x14ac:dyDescent="0.25">
      <c r="A423" s="245"/>
      <c r="B423" s="230" t="s">
        <v>1229</v>
      </c>
      <c r="C423" s="230"/>
      <c r="D423" s="230"/>
      <c r="E423" s="230"/>
      <c r="F423" s="230"/>
      <c r="G423" s="230"/>
      <c r="H423" s="230"/>
      <c r="I423" s="230"/>
      <c r="J423" s="230">
        <f t="shared" ref="J423:J427" si="211">SUM(C423+E423+F423+H423)</f>
        <v>0</v>
      </c>
      <c r="K423" s="230">
        <f t="shared" ref="K423:K427" si="212">SUM(D423+G423+I423)</f>
        <v>0</v>
      </c>
      <c r="L423" s="230">
        <f t="shared" ref="L423:L427" si="213">SUM(J423:K423)</f>
        <v>0</v>
      </c>
      <c r="M423" s="230">
        <v>165</v>
      </c>
      <c r="N423" s="230"/>
      <c r="O423" s="230">
        <f t="shared" ref="O423:O427" si="214">SUM(L423:N423)</f>
        <v>165</v>
      </c>
    </row>
    <row r="424" spans="1:15" s="1107" customFormat="1" ht="37.5" customHeight="1" x14ac:dyDescent="0.25">
      <c r="A424" s="227"/>
      <c r="B424" s="235" t="s">
        <v>1251</v>
      </c>
      <c r="C424" s="235"/>
      <c r="D424" s="235"/>
      <c r="E424" s="235"/>
      <c r="F424" s="235"/>
      <c r="G424" s="235"/>
      <c r="H424" s="235"/>
      <c r="I424" s="235"/>
      <c r="J424" s="235">
        <f t="shared" si="211"/>
        <v>0</v>
      </c>
      <c r="K424" s="235">
        <f t="shared" si="212"/>
        <v>0</v>
      </c>
      <c r="L424" s="235">
        <f t="shared" si="213"/>
        <v>0</v>
      </c>
      <c r="M424" s="235">
        <v>5867</v>
      </c>
      <c r="N424" s="235"/>
      <c r="O424" s="235">
        <f t="shared" si="214"/>
        <v>5867</v>
      </c>
    </row>
    <row r="425" spans="1:15" s="1107" customFormat="1" x14ac:dyDescent="0.25">
      <c r="A425" s="232"/>
      <c r="B425" s="230" t="s">
        <v>1237</v>
      </c>
      <c r="C425" s="235"/>
      <c r="D425" s="235"/>
      <c r="E425" s="235"/>
      <c r="F425" s="235"/>
      <c r="G425" s="235"/>
      <c r="H425" s="235"/>
      <c r="I425" s="235"/>
      <c r="J425" s="235">
        <f t="shared" si="211"/>
        <v>0</v>
      </c>
      <c r="K425" s="235">
        <f t="shared" si="212"/>
        <v>0</v>
      </c>
      <c r="L425" s="235">
        <f t="shared" si="213"/>
        <v>0</v>
      </c>
      <c r="M425" s="235">
        <v>3671</v>
      </c>
      <c r="N425" s="235"/>
      <c r="O425" s="235">
        <f t="shared" si="214"/>
        <v>3671</v>
      </c>
    </row>
    <row r="426" spans="1:15" s="1107" customFormat="1" ht="31.5" x14ac:dyDescent="0.25">
      <c r="A426" s="232"/>
      <c r="B426" s="235" t="s">
        <v>1255</v>
      </c>
      <c r="C426" s="235">
        <v>33061</v>
      </c>
      <c r="D426" s="235"/>
      <c r="E426" s="235"/>
      <c r="F426" s="235"/>
      <c r="G426" s="235"/>
      <c r="H426" s="235"/>
      <c r="I426" s="235"/>
      <c r="J426" s="235">
        <f t="shared" si="211"/>
        <v>33061</v>
      </c>
      <c r="K426" s="235">
        <f t="shared" si="212"/>
        <v>0</v>
      </c>
      <c r="L426" s="235">
        <f t="shared" si="213"/>
        <v>33061</v>
      </c>
      <c r="M426" s="235"/>
      <c r="N426" s="235"/>
      <c r="O426" s="235">
        <f t="shared" si="214"/>
        <v>33061</v>
      </c>
    </row>
    <row r="427" spans="1:15" s="1107" customFormat="1" ht="48" thickBot="1" x14ac:dyDescent="0.3">
      <c r="A427" s="245"/>
      <c r="B427" s="601" t="s">
        <v>1256</v>
      </c>
      <c r="C427" s="601">
        <v>57000</v>
      </c>
      <c r="D427" s="601"/>
      <c r="E427" s="601"/>
      <c r="F427" s="601"/>
      <c r="G427" s="601"/>
      <c r="H427" s="601"/>
      <c r="I427" s="601"/>
      <c r="J427" s="601">
        <f t="shared" si="211"/>
        <v>57000</v>
      </c>
      <c r="K427" s="601">
        <f t="shared" si="212"/>
        <v>0</v>
      </c>
      <c r="L427" s="601">
        <f t="shared" si="213"/>
        <v>57000</v>
      </c>
      <c r="M427" s="601">
        <v>-57000</v>
      </c>
      <c r="N427" s="601"/>
      <c r="O427" s="601">
        <f t="shared" si="214"/>
        <v>0</v>
      </c>
    </row>
    <row r="428" spans="1:15" ht="17.25" thickTop="1" thickBot="1" x14ac:dyDescent="0.3">
      <c r="A428" s="224"/>
      <c r="B428" s="231" t="s">
        <v>1035</v>
      </c>
      <c r="C428" s="231">
        <f>+C420+C423+C424+C425+C426+C427</f>
        <v>191794</v>
      </c>
      <c r="D428" s="231">
        <f t="shared" ref="D428:O428" si="215">+D420+D423+D424+D425+D426+D427</f>
        <v>0</v>
      </c>
      <c r="E428" s="231">
        <f t="shared" si="215"/>
        <v>0</v>
      </c>
      <c r="F428" s="231">
        <f t="shared" si="215"/>
        <v>259831</v>
      </c>
      <c r="G428" s="231">
        <f t="shared" si="215"/>
        <v>0</v>
      </c>
      <c r="H428" s="231">
        <f t="shared" si="215"/>
        <v>0</v>
      </c>
      <c r="I428" s="231">
        <f t="shared" si="215"/>
        <v>0</v>
      </c>
      <c r="J428" s="231">
        <f t="shared" si="215"/>
        <v>451625</v>
      </c>
      <c r="K428" s="231">
        <f t="shared" si="215"/>
        <v>0</v>
      </c>
      <c r="L428" s="231">
        <f t="shared" si="215"/>
        <v>451625</v>
      </c>
      <c r="M428" s="231">
        <f t="shared" si="215"/>
        <v>716383</v>
      </c>
      <c r="N428" s="231">
        <f t="shared" si="215"/>
        <v>4495</v>
      </c>
      <c r="O428" s="231">
        <f t="shared" si="215"/>
        <v>1172503</v>
      </c>
    </row>
    <row r="429" spans="1:15" ht="17.25" thickTop="1" thickBot="1" x14ac:dyDescent="0.3">
      <c r="A429" s="224"/>
      <c r="B429" s="231" t="s">
        <v>1047</v>
      </c>
      <c r="C429" s="231">
        <f>+C421+C423+C424+C425+C426+C427</f>
        <v>191794</v>
      </c>
      <c r="D429" s="231">
        <f t="shared" ref="D429:O429" si="216">+D421+D423+D424+D425+D426+D427</f>
        <v>0</v>
      </c>
      <c r="E429" s="231">
        <f t="shared" si="216"/>
        <v>0</v>
      </c>
      <c r="F429" s="231">
        <f t="shared" si="216"/>
        <v>259831</v>
      </c>
      <c r="G429" s="231">
        <f t="shared" si="216"/>
        <v>0</v>
      </c>
      <c r="H429" s="231">
        <f t="shared" si="216"/>
        <v>0</v>
      </c>
      <c r="I429" s="231">
        <f t="shared" si="216"/>
        <v>0</v>
      </c>
      <c r="J429" s="231">
        <f t="shared" si="216"/>
        <v>451625</v>
      </c>
      <c r="K429" s="231">
        <f t="shared" si="216"/>
        <v>0</v>
      </c>
      <c r="L429" s="231">
        <f t="shared" si="216"/>
        <v>451625</v>
      </c>
      <c r="M429" s="231">
        <f t="shared" si="216"/>
        <v>716383</v>
      </c>
      <c r="N429" s="231">
        <f t="shared" si="216"/>
        <v>4495</v>
      </c>
      <c r="O429" s="231">
        <f t="shared" si="216"/>
        <v>1172503</v>
      </c>
    </row>
    <row r="430" spans="1:15" ht="16.5" thickTop="1" x14ac:dyDescent="0.25">
      <c r="A430" s="226" t="s">
        <v>21</v>
      </c>
      <c r="B430" s="593" t="s">
        <v>845</v>
      </c>
      <c r="C430" s="593"/>
      <c r="D430" s="593"/>
      <c r="E430" s="593"/>
      <c r="F430" s="593"/>
      <c r="G430" s="593"/>
      <c r="H430" s="593"/>
      <c r="I430" s="593"/>
      <c r="J430" s="593"/>
      <c r="K430" s="593"/>
      <c r="L430" s="593"/>
      <c r="M430" s="593"/>
      <c r="N430" s="593"/>
      <c r="O430" s="593"/>
    </row>
    <row r="431" spans="1:15" s="1107" customFormat="1" x14ac:dyDescent="0.25">
      <c r="A431" s="245"/>
      <c r="B431" s="230" t="s">
        <v>998</v>
      </c>
      <c r="C431" s="228">
        <v>13942</v>
      </c>
      <c r="D431" s="228"/>
      <c r="E431" s="228"/>
      <c r="F431" s="228">
        <v>27620</v>
      </c>
      <c r="G431" s="228"/>
      <c r="H431" s="228">
        <v>350</v>
      </c>
      <c r="I431" s="228"/>
      <c r="J431" s="230">
        <f t="shared" ref="J431:J436" si="217">SUM(C431+E431+F431+H431)</f>
        <v>41912</v>
      </c>
      <c r="K431" s="230">
        <f t="shared" ref="K431:K436" si="218">SUM(D431+G431+I431)</f>
        <v>0</v>
      </c>
      <c r="L431" s="230">
        <f t="shared" ref="L431:L436" si="219">SUM(J431:K431)</f>
        <v>41912</v>
      </c>
      <c r="M431" s="229">
        <v>169440</v>
      </c>
      <c r="N431" s="229">
        <v>3802</v>
      </c>
      <c r="O431" s="230">
        <f t="shared" ref="O431:O436" si="220">SUM(L431:N431)</f>
        <v>215154</v>
      </c>
    </row>
    <row r="432" spans="1:15" s="1107" customFormat="1" x14ac:dyDescent="0.25">
      <c r="A432" s="245"/>
      <c r="B432" s="228" t="s">
        <v>1048</v>
      </c>
      <c r="C432" s="230">
        <v>13942</v>
      </c>
      <c r="D432" s="230"/>
      <c r="E432" s="230"/>
      <c r="F432" s="230">
        <v>27620</v>
      </c>
      <c r="G432" s="230"/>
      <c r="H432" s="230">
        <v>350</v>
      </c>
      <c r="I432" s="230"/>
      <c r="J432" s="230">
        <f t="shared" si="217"/>
        <v>41912</v>
      </c>
      <c r="K432" s="230">
        <f t="shared" si="218"/>
        <v>0</v>
      </c>
      <c r="L432" s="230">
        <f t="shared" si="219"/>
        <v>41912</v>
      </c>
      <c r="M432" s="230">
        <v>169440</v>
      </c>
      <c r="N432" s="230">
        <v>3802</v>
      </c>
      <c r="O432" s="230">
        <f t="shared" si="220"/>
        <v>215154</v>
      </c>
    </row>
    <row r="433" spans="1:15" s="1107" customFormat="1" x14ac:dyDescent="0.25">
      <c r="A433" s="245"/>
      <c r="B433" s="228" t="s">
        <v>161</v>
      </c>
      <c r="C433" s="228"/>
      <c r="D433" s="228"/>
      <c r="E433" s="228"/>
      <c r="F433" s="228"/>
      <c r="G433" s="228"/>
      <c r="H433" s="228"/>
      <c r="I433" s="228"/>
      <c r="J433" s="230"/>
      <c r="K433" s="230"/>
      <c r="L433" s="230"/>
      <c r="M433" s="229"/>
      <c r="N433" s="229"/>
      <c r="O433" s="230"/>
    </row>
    <row r="434" spans="1:15" s="1107" customFormat="1" ht="32.25" customHeight="1" x14ac:dyDescent="0.25">
      <c r="A434" s="232"/>
      <c r="B434" s="230" t="s">
        <v>1251</v>
      </c>
      <c r="C434" s="235"/>
      <c r="D434" s="233"/>
      <c r="E434" s="233"/>
      <c r="F434" s="233"/>
      <c r="G434" s="233"/>
      <c r="H434" s="233"/>
      <c r="I434" s="233"/>
      <c r="J434" s="235">
        <f t="shared" si="217"/>
        <v>0</v>
      </c>
      <c r="K434" s="235">
        <f t="shared" si="218"/>
        <v>0</v>
      </c>
      <c r="L434" s="235">
        <f t="shared" si="219"/>
        <v>0</v>
      </c>
      <c r="M434" s="235">
        <v>858</v>
      </c>
      <c r="N434" s="235"/>
      <c r="O434" s="235">
        <f t="shared" si="220"/>
        <v>858</v>
      </c>
    </row>
    <row r="435" spans="1:15" s="1107" customFormat="1" x14ac:dyDescent="0.25">
      <c r="A435" s="232"/>
      <c r="B435" s="236" t="s">
        <v>1237</v>
      </c>
      <c r="C435" s="233"/>
      <c r="D435" s="233"/>
      <c r="E435" s="233"/>
      <c r="F435" s="233"/>
      <c r="G435" s="233"/>
      <c r="H435" s="233"/>
      <c r="I435" s="233"/>
      <c r="J435" s="235">
        <f t="shared" si="217"/>
        <v>0</v>
      </c>
      <c r="K435" s="235">
        <f t="shared" si="218"/>
        <v>0</v>
      </c>
      <c r="L435" s="235">
        <f t="shared" si="219"/>
        <v>0</v>
      </c>
      <c r="M435" s="235">
        <v>665</v>
      </c>
      <c r="N435" s="234"/>
      <c r="O435" s="235">
        <f t="shared" si="220"/>
        <v>665</v>
      </c>
    </row>
    <row r="436" spans="1:15" s="1107" customFormat="1" ht="32.25" thickBot="1" x14ac:dyDescent="0.3">
      <c r="A436" s="245"/>
      <c r="B436" s="235" t="s">
        <v>1153</v>
      </c>
      <c r="C436" s="601">
        <v>763</v>
      </c>
      <c r="D436" s="603"/>
      <c r="E436" s="603"/>
      <c r="F436" s="603"/>
      <c r="G436" s="603"/>
      <c r="H436" s="603"/>
      <c r="I436" s="603"/>
      <c r="J436" s="601">
        <f t="shared" si="217"/>
        <v>763</v>
      </c>
      <c r="K436" s="601">
        <f t="shared" si="218"/>
        <v>0</v>
      </c>
      <c r="L436" s="601">
        <f t="shared" si="219"/>
        <v>763</v>
      </c>
      <c r="M436" s="601"/>
      <c r="N436" s="604"/>
      <c r="O436" s="601">
        <f t="shared" si="220"/>
        <v>763</v>
      </c>
    </row>
    <row r="437" spans="1:15" ht="17.25" thickTop="1" thickBot="1" x14ac:dyDescent="0.3">
      <c r="A437" s="224"/>
      <c r="B437" s="231" t="s">
        <v>1035</v>
      </c>
      <c r="C437" s="231">
        <f>+C431+C434+C435+C436</f>
        <v>14705</v>
      </c>
      <c r="D437" s="231">
        <f t="shared" ref="D437:O437" si="221">+D431+D434+D435+D436</f>
        <v>0</v>
      </c>
      <c r="E437" s="231">
        <f t="shared" si="221"/>
        <v>0</v>
      </c>
      <c r="F437" s="231">
        <f t="shared" si="221"/>
        <v>27620</v>
      </c>
      <c r="G437" s="231">
        <f t="shared" si="221"/>
        <v>0</v>
      </c>
      <c r="H437" s="231">
        <f t="shared" si="221"/>
        <v>350</v>
      </c>
      <c r="I437" s="231">
        <f t="shared" si="221"/>
        <v>0</v>
      </c>
      <c r="J437" s="231">
        <f t="shared" si="221"/>
        <v>42675</v>
      </c>
      <c r="K437" s="231">
        <f t="shared" si="221"/>
        <v>0</v>
      </c>
      <c r="L437" s="231">
        <f t="shared" si="221"/>
        <v>42675</v>
      </c>
      <c r="M437" s="231">
        <f t="shared" si="221"/>
        <v>170963</v>
      </c>
      <c r="N437" s="231">
        <f t="shared" si="221"/>
        <v>3802</v>
      </c>
      <c r="O437" s="231">
        <f t="shared" si="221"/>
        <v>217440</v>
      </c>
    </row>
    <row r="438" spans="1:15" ht="17.25" thickTop="1" thickBot="1" x14ac:dyDescent="0.3">
      <c r="A438" s="224"/>
      <c r="B438" s="231" t="s">
        <v>1047</v>
      </c>
      <c r="C438" s="231">
        <f>+C432+C434+C435+C436</f>
        <v>14705</v>
      </c>
      <c r="D438" s="231">
        <f t="shared" ref="D438:O438" si="222">+D432+D434+D435+D436</f>
        <v>0</v>
      </c>
      <c r="E438" s="231">
        <f t="shared" si="222"/>
        <v>0</v>
      </c>
      <c r="F438" s="231">
        <f t="shared" si="222"/>
        <v>27620</v>
      </c>
      <c r="G438" s="231">
        <f t="shared" si="222"/>
        <v>0</v>
      </c>
      <c r="H438" s="231">
        <f t="shared" si="222"/>
        <v>350</v>
      </c>
      <c r="I438" s="231">
        <f t="shared" si="222"/>
        <v>0</v>
      </c>
      <c r="J438" s="231">
        <f t="shared" si="222"/>
        <v>42675</v>
      </c>
      <c r="K438" s="231">
        <f t="shared" si="222"/>
        <v>0</v>
      </c>
      <c r="L438" s="231">
        <f t="shared" si="222"/>
        <v>42675</v>
      </c>
      <c r="M438" s="231">
        <f t="shared" si="222"/>
        <v>170963</v>
      </c>
      <c r="N438" s="231">
        <f t="shared" si="222"/>
        <v>3802</v>
      </c>
      <c r="O438" s="231">
        <f t="shared" si="222"/>
        <v>217440</v>
      </c>
    </row>
    <row r="439" spans="1:15" ht="16.5" thickTop="1" x14ac:dyDescent="0.25">
      <c r="A439" s="226" t="s">
        <v>754</v>
      </c>
      <c r="B439" s="593" t="s">
        <v>413</v>
      </c>
      <c r="C439" s="593"/>
      <c r="D439" s="593"/>
      <c r="E439" s="593"/>
      <c r="F439" s="593"/>
      <c r="G439" s="593"/>
      <c r="H439" s="593"/>
      <c r="I439" s="593"/>
      <c r="J439" s="593"/>
      <c r="K439" s="593"/>
      <c r="L439" s="593"/>
      <c r="M439" s="593"/>
      <c r="N439" s="593"/>
      <c r="O439" s="593"/>
    </row>
    <row r="440" spans="1:15" x14ac:dyDescent="0.25">
      <c r="A440" s="226"/>
      <c r="B440" s="591" t="s">
        <v>998</v>
      </c>
      <c r="C440" s="591">
        <v>45667</v>
      </c>
      <c r="D440" s="591"/>
      <c r="E440" s="591"/>
      <c r="F440" s="591">
        <v>18584</v>
      </c>
      <c r="G440" s="591"/>
      <c r="H440" s="591"/>
      <c r="I440" s="591"/>
      <c r="J440" s="591">
        <f t="shared" ref="J440:J456" si="223">SUM(C440+E440+F440+H440)</f>
        <v>64251</v>
      </c>
      <c r="K440" s="591">
        <f t="shared" ref="K440:K456" si="224">SUM(D440+G440+I440)</f>
        <v>0</v>
      </c>
      <c r="L440" s="591">
        <f t="shared" ref="L440:L456" si="225">SUM(J440:K440)</f>
        <v>64251</v>
      </c>
      <c r="M440" s="591">
        <v>171965</v>
      </c>
      <c r="N440" s="591">
        <v>7038</v>
      </c>
      <c r="O440" s="591">
        <f t="shared" ref="O440:O456" si="226">SUM(L440:N440)</f>
        <v>243254</v>
      </c>
    </row>
    <row r="441" spans="1:15" s="1107" customFormat="1" x14ac:dyDescent="0.25">
      <c r="A441" s="227"/>
      <c r="B441" s="228" t="s">
        <v>1033</v>
      </c>
      <c r="C441" s="228">
        <v>7223</v>
      </c>
      <c r="D441" s="228"/>
      <c r="E441" s="228"/>
      <c r="F441" s="228">
        <v>18584</v>
      </c>
      <c r="G441" s="228"/>
      <c r="H441" s="228"/>
      <c r="I441" s="228"/>
      <c r="J441" s="229">
        <f t="shared" si="223"/>
        <v>25807</v>
      </c>
      <c r="K441" s="229">
        <f t="shared" si="224"/>
        <v>0</v>
      </c>
      <c r="L441" s="229">
        <f t="shared" si="225"/>
        <v>25807</v>
      </c>
      <c r="M441" s="229">
        <v>164843</v>
      </c>
      <c r="N441" s="229">
        <v>7038</v>
      </c>
      <c r="O441" s="229">
        <f t="shared" si="226"/>
        <v>197688</v>
      </c>
    </row>
    <row r="442" spans="1:15" s="1107" customFormat="1" x14ac:dyDescent="0.25">
      <c r="A442" s="227"/>
      <c r="B442" s="228" t="s">
        <v>1034</v>
      </c>
      <c r="C442" s="228">
        <v>38444</v>
      </c>
      <c r="D442" s="228"/>
      <c r="E442" s="228"/>
      <c r="F442" s="228"/>
      <c r="G442" s="228"/>
      <c r="H442" s="228"/>
      <c r="I442" s="228"/>
      <c r="J442" s="228">
        <f t="shared" si="223"/>
        <v>38444</v>
      </c>
      <c r="K442" s="228">
        <f t="shared" si="224"/>
        <v>0</v>
      </c>
      <c r="L442" s="228">
        <f t="shared" si="225"/>
        <v>38444</v>
      </c>
      <c r="M442" s="228">
        <v>7122</v>
      </c>
      <c r="N442" s="228"/>
      <c r="O442" s="228">
        <f t="shared" si="226"/>
        <v>45566</v>
      </c>
    </row>
    <row r="443" spans="1:15" s="1107" customFormat="1" x14ac:dyDescent="0.25">
      <c r="A443" s="227"/>
      <c r="B443" s="228" t="s">
        <v>160</v>
      </c>
      <c r="C443" s="230"/>
      <c r="D443" s="230"/>
      <c r="E443" s="230"/>
      <c r="F443" s="230"/>
      <c r="G443" s="230"/>
      <c r="H443" s="230"/>
      <c r="I443" s="230"/>
      <c r="J443" s="230"/>
      <c r="K443" s="230"/>
      <c r="L443" s="230"/>
      <c r="M443" s="230"/>
      <c r="N443" s="230"/>
      <c r="O443" s="230"/>
    </row>
    <row r="444" spans="1:15" s="1107" customFormat="1" ht="33.75" customHeight="1" x14ac:dyDescent="0.25">
      <c r="A444" s="227"/>
      <c r="B444" s="230" t="s">
        <v>1251</v>
      </c>
      <c r="C444" s="230"/>
      <c r="D444" s="230"/>
      <c r="E444" s="230"/>
      <c r="F444" s="230"/>
      <c r="G444" s="230"/>
      <c r="H444" s="230"/>
      <c r="I444" s="230"/>
      <c r="J444" s="230">
        <f t="shared" si="223"/>
        <v>0</v>
      </c>
      <c r="K444" s="230">
        <f t="shared" si="224"/>
        <v>0</v>
      </c>
      <c r="L444" s="230">
        <f t="shared" si="225"/>
        <v>0</v>
      </c>
      <c r="M444" s="230">
        <v>1615</v>
      </c>
      <c r="N444" s="230"/>
      <c r="O444" s="230">
        <f t="shared" si="226"/>
        <v>1615</v>
      </c>
    </row>
    <row r="445" spans="1:15" s="1107" customFormat="1" ht="47.25" x14ac:dyDescent="0.25">
      <c r="A445" s="227"/>
      <c r="B445" s="230" t="s">
        <v>1257</v>
      </c>
      <c r="C445" s="230"/>
      <c r="D445" s="230"/>
      <c r="E445" s="230"/>
      <c r="F445" s="230"/>
      <c r="G445" s="230"/>
      <c r="H445" s="230"/>
      <c r="I445" s="230"/>
      <c r="J445" s="230">
        <f t="shared" si="223"/>
        <v>0</v>
      </c>
      <c r="K445" s="230">
        <f t="shared" si="224"/>
        <v>0</v>
      </c>
      <c r="L445" s="230">
        <f t="shared" si="225"/>
        <v>0</v>
      </c>
      <c r="M445" s="230">
        <v>10337</v>
      </c>
      <c r="N445" s="230"/>
      <c r="O445" s="230">
        <f t="shared" si="226"/>
        <v>10337</v>
      </c>
    </row>
    <row r="446" spans="1:15" s="1107" customFormat="1" ht="31.5" x14ac:dyDescent="0.25">
      <c r="A446" s="227"/>
      <c r="B446" s="592" t="s">
        <v>1153</v>
      </c>
      <c r="C446" s="230"/>
      <c r="D446" s="230"/>
      <c r="E446" s="230"/>
      <c r="F446" s="230">
        <v>2351</v>
      </c>
      <c r="G446" s="230"/>
      <c r="H446" s="230"/>
      <c r="I446" s="230"/>
      <c r="J446" s="230">
        <f t="shared" si="223"/>
        <v>2351</v>
      </c>
      <c r="K446" s="230">
        <f t="shared" si="224"/>
        <v>0</v>
      </c>
      <c r="L446" s="230">
        <f t="shared" si="225"/>
        <v>2351</v>
      </c>
      <c r="M446" s="230"/>
      <c r="N446" s="230"/>
      <c r="O446" s="230">
        <f t="shared" si="226"/>
        <v>2351</v>
      </c>
    </row>
    <row r="447" spans="1:15" s="1107" customFormat="1" x14ac:dyDescent="0.25">
      <c r="A447" s="227"/>
      <c r="B447" s="592" t="s">
        <v>1258</v>
      </c>
      <c r="C447" s="230"/>
      <c r="D447" s="230"/>
      <c r="E447" s="230"/>
      <c r="F447" s="230"/>
      <c r="G447" s="230"/>
      <c r="H447" s="230"/>
      <c r="I447" s="230"/>
      <c r="J447" s="230">
        <f t="shared" si="223"/>
        <v>0</v>
      </c>
      <c r="K447" s="230">
        <f t="shared" si="224"/>
        <v>0</v>
      </c>
      <c r="L447" s="230">
        <f t="shared" si="225"/>
        <v>0</v>
      </c>
      <c r="M447" s="230">
        <v>35663</v>
      </c>
      <c r="N447" s="230"/>
      <c r="O447" s="230">
        <f t="shared" si="226"/>
        <v>35663</v>
      </c>
    </row>
    <row r="448" spans="1:15" s="1107" customFormat="1" x14ac:dyDescent="0.25">
      <c r="A448" s="227"/>
      <c r="B448" s="228" t="s">
        <v>161</v>
      </c>
      <c r="C448" s="230"/>
      <c r="D448" s="230"/>
      <c r="E448" s="230"/>
      <c r="F448" s="230"/>
      <c r="G448" s="230"/>
      <c r="H448" s="230"/>
      <c r="I448" s="230"/>
      <c r="J448" s="230"/>
      <c r="K448" s="230"/>
      <c r="L448" s="230"/>
      <c r="M448" s="230"/>
      <c r="N448" s="230"/>
      <c r="O448" s="230"/>
    </row>
    <row r="449" spans="1:16" s="1107" customFormat="1" x14ac:dyDescent="0.25">
      <c r="A449" s="227"/>
      <c r="B449" s="236" t="s">
        <v>1237</v>
      </c>
      <c r="C449" s="230"/>
      <c r="D449" s="230"/>
      <c r="E449" s="230"/>
      <c r="F449" s="230"/>
      <c r="G449" s="230"/>
      <c r="H449" s="230"/>
      <c r="I449" s="230"/>
      <c r="J449" s="230">
        <f t="shared" si="223"/>
        <v>0</v>
      </c>
      <c r="K449" s="230">
        <f t="shared" si="224"/>
        <v>0</v>
      </c>
      <c r="L449" s="230">
        <f t="shared" si="225"/>
        <v>0</v>
      </c>
      <c r="M449" s="230">
        <v>1207</v>
      </c>
      <c r="N449" s="230"/>
      <c r="O449" s="230">
        <f t="shared" si="226"/>
        <v>1207</v>
      </c>
    </row>
    <row r="450" spans="1:16" ht="31.5" x14ac:dyDescent="0.25">
      <c r="A450" s="226"/>
      <c r="B450" s="230" t="s">
        <v>1232</v>
      </c>
      <c r="C450" s="591"/>
      <c r="D450" s="591"/>
      <c r="E450" s="591"/>
      <c r="F450" s="591"/>
      <c r="G450" s="591"/>
      <c r="H450" s="591"/>
      <c r="I450" s="591"/>
      <c r="J450" s="591">
        <f t="shared" si="223"/>
        <v>0</v>
      </c>
      <c r="K450" s="591">
        <f t="shared" si="224"/>
        <v>0</v>
      </c>
      <c r="L450" s="591">
        <f t="shared" si="225"/>
        <v>0</v>
      </c>
      <c r="M450" s="591">
        <v>211</v>
      </c>
      <c r="N450" s="591"/>
      <c r="O450" s="591">
        <f t="shared" si="226"/>
        <v>211</v>
      </c>
    </row>
    <row r="451" spans="1:16" ht="63" x14ac:dyDescent="0.25">
      <c r="A451" s="238"/>
      <c r="B451" s="230" t="s">
        <v>1235</v>
      </c>
      <c r="C451" s="590"/>
      <c r="D451" s="590"/>
      <c r="E451" s="590"/>
      <c r="F451" s="590"/>
      <c r="G451" s="590"/>
      <c r="H451" s="590"/>
      <c r="I451" s="590"/>
      <c r="J451" s="590">
        <f t="shared" si="223"/>
        <v>0</v>
      </c>
      <c r="K451" s="590">
        <f t="shared" si="224"/>
        <v>0</v>
      </c>
      <c r="L451" s="590">
        <f t="shared" si="225"/>
        <v>0</v>
      </c>
      <c r="M451" s="590">
        <v>70</v>
      </c>
      <c r="N451" s="590"/>
      <c r="O451" s="590">
        <f t="shared" si="226"/>
        <v>70</v>
      </c>
    </row>
    <row r="452" spans="1:16" ht="78.75" x14ac:dyDescent="0.25">
      <c r="A452" s="226"/>
      <c r="B452" s="230" t="s">
        <v>1259</v>
      </c>
      <c r="C452" s="591"/>
      <c r="D452" s="591"/>
      <c r="E452" s="591"/>
      <c r="F452" s="591"/>
      <c r="G452" s="591"/>
      <c r="H452" s="591"/>
      <c r="I452" s="591"/>
      <c r="J452" s="591">
        <f t="shared" si="223"/>
        <v>0</v>
      </c>
      <c r="K452" s="591">
        <f t="shared" si="224"/>
        <v>0</v>
      </c>
      <c r="L452" s="591">
        <f t="shared" si="225"/>
        <v>0</v>
      </c>
      <c r="M452" s="591">
        <v>450</v>
      </c>
      <c r="N452" s="591"/>
      <c r="O452" s="591">
        <f t="shared" si="226"/>
        <v>450</v>
      </c>
    </row>
    <row r="453" spans="1:16" ht="63" x14ac:dyDescent="0.25">
      <c r="A453" s="226"/>
      <c r="B453" s="230" t="s">
        <v>1260</v>
      </c>
      <c r="C453" s="591"/>
      <c r="D453" s="591"/>
      <c r="E453" s="591"/>
      <c r="F453" s="591"/>
      <c r="G453" s="591"/>
      <c r="H453" s="591"/>
      <c r="I453" s="591"/>
      <c r="J453" s="591">
        <f t="shared" si="223"/>
        <v>0</v>
      </c>
      <c r="K453" s="591">
        <f t="shared" si="224"/>
        <v>0</v>
      </c>
      <c r="L453" s="591">
        <f t="shared" si="225"/>
        <v>0</v>
      </c>
      <c r="M453" s="591">
        <v>80</v>
      </c>
      <c r="N453" s="591"/>
      <c r="O453" s="591">
        <f t="shared" si="226"/>
        <v>80</v>
      </c>
    </row>
    <row r="454" spans="1:16" ht="63" x14ac:dyDescent="0.25">
      <c r="A454" s="226"/>
      <c r="B454" s="230" t="s">
        <v>1261</v>
      </c>
      <c r="C454" s="591"/>
      <c r="D454" s="591"/>
      <c r="E454" s="591"/>
      <c r="F454" s="591"/>
      <c r="G454" s="591"/>
      <c r="H454" s="591"/>
      <c r="I454" s="591"/>
      <c r="J454" s="591">
        <f t="shared" si="223"/>
        <v>0</v>
      </c>
      <c r="K454" s="591">
        <f t="shared" si="224"/>
        <v>0</v>
      </c>
      <c r="L454" s="591">
        <f t="shared" si="225"/>
        <v>0</v>
      </c>
      <c r="M454" s="591">
        <v>1200</v>
      </c>
      <c r="N454" s="591"/>
      <c r="O454" s="591">
        <f t="shared" si="226"/>
        <v>1200</v>
      </c>
    </row>
    <row r="455" spans="1:16" ht="47.25" x14ac:dyDescent="0.25">
      <c r="A455" s="226"/>
      <c r="B455" s="230" t="s">
        <v>1262</v>
      </c>
      <c r="C455" s="591"/>
      <c r="D455" s="591"/>
      <c r="E455" s="591"/>
      <c r="F455" s="591"/>
      <c r="G455" s="591"/>
      <c r="H455" s="591"/>
      <c r="I455" s="591"/>
      <c r="J455" s="591">
        <f t="shared" si="223"/>
        <v>0</v>
      </c>
      <c r="K455" s="591">
        <f t="shared" si="224"/>
        <v>0</v>
      </c>
      <c r="L455" s="591">
        <f t="shared" si="225"/>
        <v>0</v>
      </c>
      <c r="M455" s="591">
        <v>400</v>
      </c>
      <c r="N455" s="591"/>
      <c r="O455" s="591">
        <f t="shared" si="226"/>
        <v>400</v>
      </c>
    </row>
    <row r="456" spans="1:16" ht="63.75" thickBot="1" x14ac:dyDescent="0.3">
      <c r="A456" s="226"/>
      <c r="B456" s="230" t="s">
        <v>1263</v>
      </c>
      <c r="C456" s="591"/>
      <c r="D456" s="591"/>
      <c r="E456" s="591"/>
      <c r="F456" s="591"/>
      <c r="G456" s="591"/>
      <c r="H456" s="591"/>
      <c r="I456" s="591"/>
      <c r="J456" s="591">
        <f t="shared" si="223"/>
        <v>0</v>
      </c>
      <c r="K456" s="591">
        <f t="shared" si="224"/>
        <v>0</v>
      </c>
      <c r="L456" s="591">
        <f t="shared" si="225"/>
        <v>0</v>
      </c>
      <c r="M456" s="591">
        <v>50</v>
      </c>
      <c r="N456" s="591"/>
      <c r="O456" s="591">
        <f t="shared" si="226"/>
        <v>50</v>
      </c>
    </row>
    <row r="457" spans="1:16" ht="17.25" thickTop="1" thickBot="1" x14ac:dyDescent="0.3">
      <c r="A457" s="224"/>
      <c r="B457" s="231" t="s">
        <v>1035</v>
      </c>
      <c r="C457" s="231">
        <f>+C440+C444+C445+C449+C450+C451+C452+C453+C446+C454+C455+C456+C447</f>
        <v>45667</v>
      </c>
      <c r="D457" s="231">
        <f t="shared" ref="D457:O457" si="227">+D440+D444+D445+D449+D450+D451+D452+D453+D446+D454+D455+D456+D447</f>
        <v>0</v>
      </c>
      <c r="E457" s="231">
        <f t="shared" si="227"/>
        <v>0</v>
      </c>
      <c r="F457" s="231">
        <f t="shared" si="227"/>
        <v>20935</v>
      </c>
      <c r="G457" s="231">
        <f t="shared" si="227"/>
        <v>0</v>
      </c>
      <c r="H457" s="231">
        <f t="shared" si="227"/>
        <v>0</v>
      </c>
      <c r="I457" s="231">
        <f t="shared" si="227"/>
        <v>0</v>
      </c>
      <c r="J457" s="231">
        <f t="shared" si="227"/>
        <v>66602</v>
      </c>
      <c r="K457" s="231">
        <f t="shared" si="227"/>
        <v>0</v>
      </c>
      <c r="L457" s="231">
        <f t="shared" si="227"/>
        <v>66602</v>
      </c>
      <c r="M457" s="231">
        <f t="shared" si="227"/>
        <v>223248</v>
      </c>
      <c r="N457" s="231">
        <f t="shared" si="227"/>
        <v>7038</v>
      </c>
      <c r="O457" s="231">
        <f t="shared" si="227"/>
        <v>296888</v>
      </c>
      <c r="P457" s="1104">
        <f>O458+O459</f>
        <v>296888</v>
      </c>
    </row>
    <row r="458" spans="1:16" ht="17.25" thickTop="1" thickBot="1" x14ac:dyDescent="0.3">
      <c r="A458" s="224"/>
      <c r="B458" s="231" t="s">
        <v>1036</v>
      </c>
      <c r="C458" s="231">
        <f>+C441+C444+C445+C446+C447</f>
        <v>7223</v>
      </c>
      <c r="D458" s="231">
        <f t="shared" ref="D458:O458" si="228">+D441+D444+D445+D446+D447</f>
        <v>0</v>
      </c>
      <c r="E458" s="231">
        <f t="shared" si="228"/>
        <v>0</v>
      </c>
      <c r="F458" s="231">
        <f t="shared" si="228"/>
        <v>20935</v>
      </c>
      <c r="G458" s="231">
        <f t="shared" si="228"/>
        <v>0</v>
      </c>
      <c r="H458" s="231">
        <f t="shared" si="228"/>
        <v>0</v>
      </c>
      <c r="I458" s="231">
        <f t="shared" si="228"/>
        <v>0</v>
      </c>
      <c r="J458" s="231">
        <f t="shared" si="228"/>
        <v>28158</v>
      </c>
      <c r="K458" s="231">
        <f t="shared" si="228"/>
        <v>0</v>
      </c>
      <c r="L458" s="231">
        <f t="shared" si="228"/>
        <v>28158</v>
      </c>
      <c r="M458" s="231">
        <f t="shared" si="228"/>
        <v>212458</v>
      </c>
      <c r="N458" s="231">
        <f t="shared" si="228"/>
        <v>7038</v>
      </c>
      <c r="O458" s="231">
        <f t="shared" si="228"/>
        <v>247654</v>
      </c>
    </row>
    <row r="459" spans="1:16" ht="17.25" thickTop="1" thickBot="1" x14ac:dyDescent="0.3">
      <c r="A459" s="224"/>
      <c r="B459" s="231" t="s">
        <v>1037</v>
      </c>
      <c r="C459" s="231">
        <f>+C442+C449+C450+C451+C452+C453+C454+C455+C456</f>
        <v>38444</v>
      </c>
      <c r="D459" s="231">
        <f t="shared" ref="D459:O459" si="229">+D442+D449+D450+D451+D452+D453+D454+D455+D456</f>
        <v>0</v>
      </c>
      <c r="E459" s="231">
        <f t="shared" si="229"/>
        <v>0</v>
      </c>
      <c r="F459" s="231">
        <f t="shared" si="229"/>
        <v>0</v>
      </c>
      <c r="G459" s="231">
        <f t="shared" si="229"/>
        <v>0</v>
      </c>
      <c r="H459" s="231">
        <f t="shared" si="229"/>
        <v>0</v>
      </c>
      <c r="I459" s="231">
        <f t="shared" si="229"/>
        <v>0</v>
      </c>
      <c r="J459" s="231">
        <f t="shared" si="229"/>
        <v>38444</v>
      </c>
      <c r="K459" s="231">
        <f t="shared" si="229"/>
        <v>0</v>
      </c>
      <c r="L459" s="231">
        <f t="shared" si="229"/>
        <v>38444</v>
      </c>
      <c r="M459" s="231">
        <f t="shared" si="229"/>
        <v>10790</v>
      </c>
      <c r="N459" s="231">
        <f t="shared" si="229"/>
        <v>0</v>
      </c>
      <c r="O459" s="231">
        <f t="shared" si="229"/>
        <v>49234</v>
      </c>
    </row>
    <row r="460" spans="1:16" ht="17.25" thickTop="1" thickBot="1" x14ac:dyDescent="0.3">
      <c r="A460" s="224"/>
      <c r="B460" s="231" t="s">
        <v>1049</v>
      </c>
      <c r="C460" s="231">
        <f t="shared" ref="C460:O460" si="230">SUM(C366+C380+C398+C417+C428+C437+C457+C407)</f>
        <v>368608</v>
      </c>
      <c r="D460" s="231">
        <f t="shared" si="230"/>
        <v>0</v>
      </c>
      <c r="E460" s="231">
        <f t="shared" si="230"/>
        <v>0</v>
      </c>
      <c r="F460" s="231">
        <f t="shared" si="230"/>
        <v>460254</v>
      </c>
      <c r="G460" s="231">
        <f t="shared" si="230"/>
        <v>0</v>
      </c>
      <c r="H460" s="231">
        <f t="shared" si="230"/>
        <v>1480</v>
      </c>
      <c r="I460" s="231">
        <f t="shared" si="230"/>
        <v>0</v>
      </c>
      <c r="J460" s="231">
        <f t="shared" si="230"/>
        <v>830342</v>
      </c>
      <c r="K460" s="231">
        <f t="shared" si="230"/>
        <v>0</v>
      </c>
      <c r="L460" s="231">
        <f t="shared" si="230"/>
        <v>830342</v>
      </c>
      <c r="M460" s="231">
        <f t="shared" si="230"/>
        <v>2764883</v>
      </c>
      <c r="N460" s="231">
        <f t="shared" si="230"/>
        <v>196624</v>
      </c>
      <c r="O460" s="231">
        <f t="shared" si="230"/>
        <v>3791849</v>
      </c>
    </row>
    <row r="461" spans="1:16" ht="17.25" thickTop="1" thickBot="1" x14ac:dyDescent="0.3">
      <c r="A461" s="224"/>
      <c r="B461" s="231" t="s">
        <v>415</v>
      </c>
      <c r="C461" s="231">
        <f t="shared" ref="C461:O461" si="231">SUM(C301+C346+C357+C460)</f>
        <v>1183299</v>
      </c>
      <c r="D461" s="231">
        <f t="shared" si="231"/>
        <v>0</v>
      </c>
      <c r="E461" s="231">
        <f t="shared" si="231"/>
        <v>0</v>
      </c>
      <c r="F461" s="231">
        <f t="shared" si="231"/>
        <v>1459056</v>
      </c>
      <c r="G461" s="231">
        <f t="shared" si="231"/>
        <v>0</v>
      </c>
      <c r="H461" s="231">
        <f t="shared" si="231"/>
        <v>1780</v>
      </c>
      <c r="I461" s="231">
        <f t="shared" si="231"/>
        <v>0</v>
      </c>
      <c r="J461" s="231">
        <f t="shared" si="231"/>
        <v>2644135</v>
      </c>
      <c r="K461" s="231">
        <f t="shared" si="231"/>
        <v>0</v>
      </c>
      <c r="L461" s="231">
        <f t="shared" si="231"/>
        <v>2644135</v>
      </c>
      <c r="M461" s="231">
        <f t="shared" si="231"/>
        <v>9114297</v>
      </c>
      <c r="N461" s="231">
        <f t="shared" si="231"/>
        <v>721126</v>
      </c>
      <c r="O461" s="231">
        <f t="shared" si="231"/>
        <v>12479558</v>
      </c>
    </row>
    <row r="462" spans="1:16" ht="16.5" thickTop="1" x14ac:dyDescent="0.25">
      <c r="A462" s="226" t="s">
        <v>756</v>
      </c>
      <c r="B462" s="593" t="s">
        <v>34</v>
      </c>
      <c r="C462" s="593"/>
      <c r="D462" s="593"/>
      <c r="E462" s="593"/>
      <c r="F462" s="593"/>
      <c r="G462" s="593"/>
      <c r="H462" s="593"/>
      <c r="I462" s="593"/>
      <c r="J462" s="593"/>
      <c r="K462" s="593"/>
      <c r="L462" s="593"/>
      <c r="M462" s="593"/>
      <c r="N462" s="593"/>
      <c r="O462" s="593"/>
    </row>
    <row r="463" spans="1:16" x14ac:dyDescent="0.25">
      <c r="A463" s="226"/>
      <c r="B463" s="591" t="s">
        <v>998</v>
      </c>
      <c r="C463" s="591">
        <v>192103</v>
      </c>
      <c r="D463" s="591"/>
      <c r="E463" s="591">
        <v>300</v>
      </c>
      <c r="F463" s="591">
        <v>11689</v>
      </c>
      <c r="G463" s="591"/>
      <c r="H463" s="591"/>
      <c r="I463" s="591"/>
      <c r="J463" s="591">
        <f>SUM(C463+E463+F463+H463)</f>
        <v>204092</v>
      </c>
      <c r="K463" s="591">
        <f>SUM(D463+G463+I463)</f>
        <v>0</v>
      </c>
      <c r="L463" s="591">
        <f>SUM(J463:K463)</f>
        <v>204092</v>
      </c>
      <c r="M463" s="591">
        <v>2752546</v>
      </c>
      <c r="N463" s="591">
        <v>44558</v>
      </c>
      <c r="O463" s="591">
        <f>SUM(L463:N463)</f>
        <v>3001196</v>
      </c>
    </row>
    <row r="464" spans="1:16" s="1107" customFormat="1" x14ac:dyDescent="0.25">
      <c r="A464" s="227"/>
      <c r="B464" s="228" t="s">
        <v>1033</v>
      </c>
      <c r="C464" s="228">
        <v>23204</v>
      </c>
      <c r="D464" s="228"/>
      <c r="E464" s="228"/>
      <c r="F464" s="228">
        <v>165</v>
      </c>
      <c r="G464" s="228"/>
      <c r="H464" s="228"/>
      <c r="I464" s="228"/>
      <c r="J464" s="229">
        <f>SUM(C464+E464+F464+H464)</f>
        <v>23369</v>
      </c>
      <c r="K464" s="229">
        <f>SUM(D464+G464+I464)</f>
        <v>0</v>
      </c>
      <c r="L464" s="229">
        <f>SUM(J464:K464)</f>
        <v>23369</v>
      </c>
      <c r="M464" s="229">
        <v>1338025</v>
      </c>
      <c r="N464" s="229">
        <v>44558</v>
      </c>
      <c r="O464" s="229">
        <f>SUM(L464:N464)</f>
        <v>1405952</v>
      </c>
    </row>
    <row r="465" spans="1:16" s="1107" customFormat="1" x14ac:dyDescent="0.25">
      <c r="A465" s="227"/>
      <c r="B465" s="228" t="s">
        <v>1034</v>
      </c>
      <c r="C465" s="228">
        <v>92868</v>
      </c>
      <c r="D465" s="228"/>
      <c r="E465" s="228"/>
      <c r="F465" s="228">
        <v>11524</v>
      </c>
      <c r="G465" s="228"/>
      <c r="H465" s="228"/>
      <c r="I465" s="228"/>
      <c r="J465" s="229">
        <f>SUM(C465+E465+F465+H465)</f>
        <v>104392</v>
      </c>
      <c r="K465" s="229">
        <f>SUM(D465+G465+I465)</f>
        <v>0</v>
      </c>
      <c r="L465" s="229">
        <f>SUM(J465:K465)</f>
        <v>104392</v>
      </c>
      <c r="M465" s="229">
        <v>500242</v>
      </c>
      <c r="N465" s="229"/>
      <c r="O465" s="229">
        <f>SUM(L465:N465)</f>
        <v>604634</v>
      </c>
    </row>
    <row r="466" spans="1:16" s="1107" customFormat="1" x14ac:dyDescent="0.25">
      <c r="A466" s="232"/>
      <c r="B466" s="229" t="s">
        <v>1050</v>
      </c>
      <c r="C466" s="229">
        <v>76031</v>
      </c>
      <c r="D466" s="229"/>
      <c r="E466" s="229">
        <v>300</v>
      </c>
      <c r="F466" s="229"/>
      <c r="G466" s="229"/>
      <c r="H466" s="229"/>
      <c r="I466" s="229"/>
      <c r="J466" s="229">
        <f>SUM(C466+E466+F466+H466)</f>
        <v>76331</v>
      </c>
      <c r="K466" s="229">
        <f>SUM(D466+G466+I466)</f>
        <v>0</v>
      </c>
      <c r="L466" s="229">
        <f>SUM(J466:K466)</f>
        <v>76331</v>
      </c>
      <c r="M466" s="229">
        <v>914279</v>
      </c>
      <c r="N466" s="229"/>
      <c r="O466" s="229">
        <f>SUM(L466:N466)</f>
        <v>990610</v>
      </c>
    </row>
    <row r="467" spans="1:16" s="1107" customFormat="1" x14ac:dyDescent="0.25">
      <c r="A467" s="232"/>
      <c r="B467" s="229" t="s">
        <v>160</v>
      </c>
      <c r="C467" s="230"/>
      <c r="D467" s="230"/>
      <c r="E467" s="230"/>
      <c r="F467" s="230"/>
      <c r="G467" s="230"/>
      <c r="H467" s="230"/>
      <c r="I467" s="230"/>
      <c r="J467" s="230"/>
      <c r="K467" s="230"/>
      <c r="L467" s="230"/>
      <c r="M467" s="230"/>
      <c r="N467" s="230"/>
      <c r="O467" s="230"/>
    </row>
    <row r="468" spans="1:16" s="1107" customFormat="1" x14ac:dyDescent="0.25">
      <c r="A468" s="232"/>
      <c r="B468" s="230" t="s">
        <v>1229</v>
      </c>
      <c r="C468" s="230"/>
      <c r="D468" s="230"/>
      <c r="E468" s="230"/>
      <c r="F468" s="230"/>
      <c r="G468" s="230"/>
      <c r="H468" s="230"/>
      <c r="I468" s="230"/>
      <c r="J468" s="230">
        <f t="shared" ref="J468:J472" si="232">SUM(C468+E468+F468+H468)</f>
        <v>0</v>
      </c>
      <c r="K468" s="230">
        <f t="shared" ref="K468:K472" si="233">SUM(D468+G468+I468)</f>
        <v>0</v>
      </c>
      <c r="L468" s="230">
        <f t="shared" ref="L468:L472" si="234">SUM(J468:K468)</f>
        <v>0</v>
      </c>
      <c r="M468" s="230">
        <v>446</v>
      </c>
      <c r="N468" s="230"/>
      <c r="O468" s="230">
        <f t="shared" ref="O468:O472" si="235">SUM(L468:N468)</f>
        <v>446</v>
      </c>
    </row>
    <row r="469" spans="1:16" s="1107" customFormat="1" ht="31.5" x14ac:dyDescent="0.25">
      <c r="A469" s="232"/>
      <c r="B469" s="230" t="s">
        <v>1153</v>
      </c>
      <c r="C469" s="230">
        <v>20994</v>
      </c>
      <c r="D469" s="230"/>
      <c r="E469" s="230"/>
      <c r="F469" s="230"/>
      <c r="G469" s="230"/>
      <c r="H469" s="230"/>
      <c r="I469" s="230"/>
      <c r="J469" s="230">
        <f t="shared" si="232"/>
        <v>20994</v>
      </c>
      <c r="K469" s="230">
        <f t="shared" si="233"/>
        <v>0</v>
      </c>
      <c r="L469" s="230">
        <f t="shared" si="234"/>
        <v>20994</v>
      </c>
      <c r="M469" s="230"/>
      <c r="N469" s="230"/>
      <c r="O469" s="230">
        <f t="shared" si="235"/>
        <v>20994</v>
      </c>
    </row>
    <row r="470" spans="1:16" s="1107" customFormat="1" x14ac:dyDescent="0.25">
      <c r="A470" s="232"/>
      <c r="B470" s="230"/>
      <c r="C470" s="230"/>
      <c r="D470" s="230"/>
      <c r="E470" s="230"/>
      <c r="F470" s="230"/>
      <c r="G470" s="230"/>
      <c r="H470" s="230"/>
      <c r="I470" s="230"/>
      <c r="J470" s="230">
        <f t="shared" si="232"/>
        <v>0</v>
      </c>
      <c r="K470" s="230">
        <f t="shared" si="233"/>
        <v>0</v>
      </c>
      <c r="L470" s="230">
        <f t="shared" si="234"/>
        <v>0</v>
      </c>
      <c r="M470" s="230"/>
      <c r="N470" s="230"/>
      <c r="O470" s="230">
        <f t="shared" si="235"/>
        <v>0</v>
      </c>
    </row>
    <row r="471" spans="1:16" s="1107" customFormat="1" x14ac:dyDescent="0.25">
      <c r="A471" s="232"/>
      <c r="B471" s="229" t="s">
        <v>161</v>
      </c>
      <c r="C471" s="230"/>
      <c r="D471" s="230"/>
      <c r="E471" s="230"/>
      <c r="F471" s="230"/>
      <c r="G471" s="230"/>
      <c r="H471" s="230"/>
      <c r="I471" s="230"/>
      <c r="J471" s="230"/>
      <c r="K471" s="230"/>
      <c r="L471" s="230"/>
      <c r="M471" s="230"/>
      <c r="N471" s="230"/>
      <c r="O471" s="230"/>
    </row>
    <row r="472" spans="1:16" s="1107" customFormat="1" x14ac:dyDescent="0.25">
      <c r="A472" s="232"/>
      <c r="B472" s="230"/>
      <c r="C472" s="230"/>
      <c r="D472" s="230"/>
      <c r="E472" s="230"/>
      <c r="F472" s="230"/>
      <c r="G472" s="230"/>
      <c r="H472" s="230"/>
      <c r="I472" s="230"/>
      <c r="J472" s="230">
        <f t="shared" si="232"/>
        <v>0</v>
      </c>
      <c r="K472" s="230">
        <f t="shared" si="233"/>
        <v>0</v>
      </c>
      <c r="L472" s="230">
        <f t="shared" si="234"/>
        <v>0</v>
      </c>
      <c r="M472" s="230"/>
      <c r="N472" s="230"/>
      <c r="O472" s="230">
        <f t="shared" si="235"/>
        <v>0</v>
      </c>
    </row>
    <row r="473" spans="1:16" s="1107" customFormat="1" x14ac:dyDescent="0.25">
      <c r="A473" s="232"/>
      <c r="B473" s="229" t="s">
        <v>563</v>
      </c>
      <c r="C473" s="230"/>
      <c r="D473" s="230"/>
      <c r="E473" s="230"/>
      <c r="F473" s="230"/>
      <c r="G473" s="230"/>
      <c r="H473" s="230"/>
      <c r="I473" s="230"/>
      <c r="J473" s="230"/>
      <c r="K473" s="230"/>
      <c r="L473" s="230"/>
      <c r="M473" s="230"/>
      <c r="N473" s="230"/>
      <c r="O473" s="230"/>
    </row>
    <row r="474" spans="1:16" s="1107" customFormat="1" ht="16.5" thickBot="1" x14ac:dyDescent="0.3">
      <c r="A474" s="232"/>
      <c r="B474" s="230"/>
      <c r="C474" s="230"/>
      <c r="D474" s="230"/>
      <c r="E474" s="230"/>
      <c r="F474" s="230"/>
      <c r="G474" s="230"/>
      <c r="H474" s="230"/>
      <c r="I474" s="230"/>
      <c r="J474" s="230">
        <f t="shared" ref="J474" si="236">SUM(C474+E474+F474+H474)</f>
        <v>0</v>
      </c>
      <c r="K474" s="230">
        <f t="shared" ref="K474" si="237">SUM(D474+G474+I474)</f>
        <v>0</v>
      </c>
      <c r="L474" s="230">
        <f t="shared" ref="L474" si="238">SUM(J474:K474)</f>
        <v>0</v>
      </c>
      <c r="M474" s="230"/>
      <c r="N474" s="230"/>
      <c r="O474" s="230">
        <f t="shared" ref="O474" si="239">SUM(L474:N474)</f>
        <v>0</v>
      </c>
    </row>
    <row r="475" spans="1:16" ht="17.25" thickTop="1" thickBot="1" x14ac:dyDescent="0.3">
      <c r="A475" s="224"/>
      <c r="B475" s="231" t="s">
        <v>1035</v>
      </c>
      <c r="C475" s="231">
        <f>+C463+C468+C474+C469+C470+C472</f>
        <v>213097</v>
      </c>
      <c r="D475" s="231">
        <f t="shared" ref="D475:O475" si="240">+D463+D468+D474+D469+D470+D472</f>
        <v>0</v>
      </c>
      <c r="E475" s="231">
        <f t="shared" si="240"/>
        <v>300</v>
      </c>
      <c r="F475" s="231">
        <f t="shared" si="240"/>
        <v>11689</v>
      </c>
      <c r="G475" s="231">
        <f t="shared" si="240"/>
        <v>0</v>
      </c>
      <c r="H475" s="231">
        <f t="shared" si="240"/>
        <v>0</v>
      </c>
      <c r="I475" s="231">
        <f t="shared" si="240"/>
        <v>0</v>
      </c>
      <c r="J475" s="231">
        <f t="shared" si="240"/>
        <v>225086</v>
      </c>
      <c r="K475" s="231">
        <f t="shared" si="240"/>
        <v>0</v>
      </c>
      <c r="L475" s="231">
        <f t="shared" si="240"/>
        <v>225086</v>
      </c>
      <c r="M475" s="231">
        <f t="shared" si="240"/>
        <v>2752992</v>
      </c>
      <c r="N475" s="231">
        <f t="shared" si="240"/>
        <v>44558</v>
      </c>
      <c r="O475" s="231">
        <f t="shared" si="240"/>
        <v>3022636</v>
      </c>
      <c r="P475" s="1104">
        <f>O476+O477+O478</f>
        <v>3022636</v>
      </c>
    </row>
    <row r="476" spans="1:16" ht="17.25" thickTop="1" thickBot="1" x14ac:dyDescent="0.3">
      <c r="A476" s="224"/>
      <c r="B476" s="231" t="s">
        <v>1036</v>
      </c>
      <c r="C476" s="231">
        <f>+C464+C468+C469+C470</f>
        <v>44198</v>
      </c>
      <c r="D476" s="231">
        <f t="shared" ref="D476:O476" si="241">+D464+D468+D469+D470</f>
        <v>0</v>
      </c>
      <c r="E476" s="231">
        <f t="shared" si="241"/>
        <v>0</v>
      </c>
      <c r="F476" s="231">
        <f t="shared" si="241"/>
        <v>165</v>
      </c>
      <c r="G476" s="231">
        <f t="shared" si="241"/>
        <v>0</v>
      </c>
      <c r="H476" s="231">
        <f t="shared" si="241"/>
        <v>0</v>
      </c>
      <c r="I476" s="231">
        <f t="shared" si="241"/>
        <v>0</v>
      </c>
      <c r="J476" s="231">
        <f t="shared" si="241"/>
        <v>44363</v>
      </c>
      <c r="K476" s="231">
        <f t="shared" si="241"/>
        <v>0</v>
      </c>
      <c r="L476" s="231">
        <f t="shared" si="241"/>
        <v>44363</v>
      </c>
      <c r="M476" s="231">
        <f t="shared" si="241"/>
        <v>1338471</v>
      </c>
      <c r="N476" s="231">
        <f t="shared" si="241"/>
        <v>44558</v>
      </c>
      <c r="O476" s="231">
        <f t="shared" si="241"/>
        <v>1427392</v>
      </c>
    </row>
    <row r="477" spans="1:16" ht="17.25" thickTop="1" thickBot="1" x14ac:dyDescent="0.3">
      <c r="A477" s="224"/>
      <c r="B477" s="231" t="s">
        <v>1037</v>
      </c>
      <c r="C477" s="231">
        <f>+C465+C472</f>
        <v>92868</v>
      </c>
      <c r="D477" s="231">
        <f t="shared" ref="D477:O477" si="242">+D465+D472</f>
        <v>0</v>
      </c>
      <c r="E477" s="231">
        <f t="shared" si="242"/>
        <v>0</v>
      </c>
      <c r="F477" s="231">
        <f t="shared" si="242"/>
        <v>11524</v>
      </c>
      <c r="G477" s="231">
        <f t="shared" si="242"/>
        <v>0</v>
      </c>
      <c r="H477" s="231">
        <f t="shared" si="242"/>
        <v>0</v>
      </c>
      <c r="I477" s="231">
        <f t="shared" si="242"/>
        <v>0</v>
      </c>
      <c r="J477" s="231">
        <f t="shared" si="242"/>
        <v>104392</v>
      </c>
      <c r="K477" s="231">
        <f t="shared" si="242"/>
        <v>0</v>
      </c>
      <c r="L477" s="231">
        <f t="shared" si="242"/>
        <v>104392</v>
      </c>
      <c r="M477" s="231">
        <f t="shared" si="242"/>
        <v>500242</v>
      </c>
      <c r="N477" s="231">
        <f t="shared" si="242"/>
        <v>0</v>
      </c>
      <c r="O477" s="231">
        <f t="shared" si="242"/>
        <v>604634</v>
      </c>
    </row>
    <row r="478" spans="1:16" ht="33" thickTop="1" thickBot="1" x14ac:dyDescent="0.3">
      <c r="A478" s="224"/>
      <c r="B478" s="231" t="s">
        <v>1052</v>
      </c>
      <c r="C478" s="231">
        <f>SUM(C466+C474)</f>
        <v>76031</v>
      </c>
      <c r="D478" s="231">
        <f t="shared" ref="D478:O478" si="243">SUM(D466+D474)</f>
        <v>0</v>
      </c>
      <c r="E478" s="231">
        <f t="shared" si="243"/>
        <v>300</v>
      </c>
      <c r="F478" s="231">
        <f t="shared" si="243"/>
        <v>0</v>
      </c>
      <c r="G478" s="231">
        <f t="shared" si="243"/>
        <v>0</v>
      </c>
      <c r="H478" s="231">
        <f t="shared" si="243"/>
        <v>0</v>
      </c>
      <c r="I478" s="231">
        <f t="shared" si="243"/>
        <v>0</v>
      </c>
      <c r="J478" s="231">
        <f t="shared" si="243"/>
        <v>76331</v>
      </c>
      <c r="K478" s="231">
        <f t="shared" si="243"/>
        <v>0</v>
      </c>
      <c r="L478" s="231">
        <f t="shared" si="243"/>
        <v>76331</v>
      </c>
      <c r="M478" s="231">
        <f t="shared" si="243"/>
        <v>914279</v>
      </c>
      <c r="N478" s="231">
        <f t="shared" si="243"/>
        <v>0</v>
      </c>
      <c r="O478" s="231">
        <f t="shared" si="243"/>
        <v>990610</v>
      </c>
    </row>
    <row r="479" spans="1:16" ht="17.25" thickTop="1" thickBot="1" x14ac:dyDescent="0.3">
      <c r="A479" s="224"/>
      <c r="B479" s="231" t="s">
        <v>176</v>
      </c>
      <c r="C479" s="231">
        <f t="shared" ref="C479:O479" si="244">SUM(C461+C475)</f>
        <v>1396396</v>
      </c>
      <c r="D479" s="231">
        <f t="shared" si="244"/>
        <v>0</v>
      </c>
      <c r="E479" s="231">
        <f t="shared" si="244"/>
        <v>300</v>
      </c>
      <c r="F479" s="231">
        <f t="shared" si="244"/>
        <v>1470745</v>
      </c>
      <c r="G479" s="231">
        <f t="shared" si="244"/>
        <v>0</v>
      </c>
      <c r="H479" s="231">
        <f t="shared" si="244"/>
        <v>1780</v>
      </c>
      <c r="I479" s="231">
        <f t="shared" si="244"/>
        <v>0</v>
      </c>
      <c r="J479" s="231">
        <f t="shared" si="244"/>
        <v>2869221</v>
      </c>
      <c r="K479" s="231">
        <f t="shared" si="244"/>
        <v>0</v>
      </c>
      <c r="L479" s="231">
        <f t="shared" si="244"/>
        <v>2869221</v>
      </c>
      <c r="M479" s="231">
        <f t="shared" si="244"/>
        <v>11867289</v>
      </c>
      <c r="N479" s="231">
        <f t="shared" si="244"/>
        <v>765684</v>
      </c>
      <c r="O479" s="231">
        <f t="shared" si="244"/>
        <v>15502194</v>
      </c>
    </row>
    <row r="480" spans="1:16" ht="17.25" thickTop="1" thickBot="1" x14ac:dyDescent="0.3">
      <c r="A480" s="243"/>
      <c r="B480" s="231" t="s">
        <v>998</v>
      </c>
      <c r="C480" s="231">
        <f t="shared" ref="C480:O480" si="245">SUM(C8+C22+C37+C52+C67+C84+C99+C113+C128+C143+C156+C169+C184+C199+C212+C228+C243+C257+C272+C287+C303+C319+C334+C348+C361+C369+C384+C410+C420+C431+C440+C463+C402)</f>
        <v>1207977</v>
      </c>
      <c r="D480" s="231">
        <f t="shared" si="245"/>
        <v>0</v>
      </c>
      <c r="E480" s="231">
        <f t="shared" si="245"/>
        <v>300</v>
      </c>
      <c r="F480" s="231">
        <f t="shared" si="245"/>
        <v>1458956</v>
      </c>
      <c r="G480" s="231">
        <f t="shared" si="245"/>
        <v>0</v>
      </c>
      <c r="H480" s="231">
        <f t="shared" si="245"/>
        <v>1192</v>
      </c>
      <c r="I480" s="231">
        <f t="shared" si="245"/>
        <v>0</v>
      </c>
      <c r="J480" s="231">
        <f t="shared" si="245"/>
        <v>2668425</v>
      </c>
      <c r="K480" s="231">
        <f t="shared" si="245"/>
        <v>0</v>
      </c>
      <c r="L480" s="231">
        <f t="shared" si="245"/>
        <v>2668425</v>
      </c>
      <c r="M480" s="231">
        <f t="shared" si="245"/>
        <v>11714428</v>
      </c>
      <c r="N480" s="231">
        <f t="shared" si="245"/>
        <v>765684</v>
      </c>
      <c r="O480" s="231">
        <f t="shared" si="245"/>
        <v>15148537</v>
      </c>
    </row>
    <row r="481" spans="1:15" ht="16.5" thickTop="1" x14ac:dyDescent="0.25">
      <c r="A481" s="246"/>
      <c r="B481" s="247" t="s">
        <v>160</v>
      </c>
      <c r="C481" s="247"/>
      <c r="D481" s="247"/>
      <c r="E481" s="247"/>
      <c r="F481" s="247"/>
      <c r="G481" s="247"/>
      <c r="H481" s="247"/>
      <c r="I481" s="247"/>
      <c r="J481" s="247"/>
      <c r="K481" s="247"/>
      <c r="L481" s="247"/>
      <c r="M481" s="247"/>
      <c r="N481" s="247"/>
      <c r="O481" s="247"/>
    </row>
    <row r="482" spans="1:15" s="1109" customFormat="1" x14ac:dyDescent="0.25">
      <c r="A482" s="248"/>
      <c r="B482" s="249" t="s">
        <v>1229</v>
      </c>
      <c r="C482" s="250">
        <f t="shared" ref="C482:O482" si="246">C12+C26+C41+C56+C71+C88+C103+C117+C132+C147+C160+C173+C188+C203+C216+C232+C276+C291+C307+C323+C338+C352+C373+C388+C468</f>
        <v>0</v>
      </c>
      <c r="D482" s="250">
        <f t="shared" si="246"/>
        <v>0</v>
      </c>
      <c r="E482" s="250">
        <f t="shared" si="246"/>
        <v>0</v>
      </c>
      <c r="F482" s="250">
        <f t="shared" si="246"/>
        <v>0</v>
      </c>
      <c r="G482" s="250">
        <f t="shared" si="246"/>
        <v>0</v>
      </c>
      <c r="H482" s="250">
        <f t="shared" si="246"/>
        <v>0</v>
      </c>
      <c r="I482" s="250">
        <f t="shared" si="246"/>
        <v>0</v>
      </c>
      <c r="J482" s="250">
        <f t="shared" si="246"/>
        <v>0</v>
      </c>
      <c r="K482" s="250">
        <f t="shared" si="246"/>
        <v>0</v>
      </c>
      <c r="L482" s="250">
        <f t="shared" si="246"/>
        <v>0</v>
      </c>
      <c r="M482" s="250">
        <f t="shared" si="246"/>
        <v>4449</v>
      </c>
      <c r="N482" s="250">
        <f t="shared" si="246"/>
        <v>0</v>
      </c>
      <c r="O482" s="250">
        <f t="shared" si="246"/>
        <v>4449</v>
      </c>
    </row>
    <row r="483" spans="1:15" s="1109" customFormat="1" ht="31.5" x14ac:dyDescent="0.25">
      <c r="A483" s="248"/>
      <c r="B483" s="249" t="s">
        <v>1233</v>
      </c>
      <c r="C483" s="250">
        <f t="shared" ref="C483:O483" si="247">C27+C42+C57+C72+C89+C104+C118+C308+C324+C339</f>
        <v>0</v>
      </c>
      <c r="D483" s="250">
        <f t="shared" si="247"/>
        <v>0</v>
      </c>
      <c r="E483" s="250">
        <f t="shared" si="247"/>
        <v>0</v>
      </c>
      <c r="F483" s="250">
        <f t="shared" si="247"/>
        <v>0</v>
      </c>
      <c r="G483" s="250">
        <f t="shared" si="247"/>
        <v>0</v>
      </c>
      <c r="H483" s="250">
        <f t="shared" si="247"/>
        <v>0</v>
      </c>
      <c r="I483" s="250">
        <f t="shared" si="247"/>
        <v>0</v>
      </c>
      <c r="J483" s="250">
        <f t="shared" si="247"/>
        <v>0</v>
      </c>
      <c r="K483" s="250">
        <f t="shared" si="247"/>
        <v>0</v>
      </c>
      <c r="L483" s="250">
        <f t="shared" si="247"/>
        <v>0</v>
      </c>
      <c r="M483" s="250">
        <f t="shared" si="247"/>
        <v>44200</v>
      </c>
      <c r="N483" s="250">
        <f t="shared" si="247"/>
        <v>0</v>
      </c>
      <c r="O483" s="250">
        <f t="shared" si="247"/>
        <v>44200</v>
      </c>
    </row>
    <row r="484" spans="1:15" s="1109" customFormat="1" ht="31.5" x14ac:dyDescent="0.25">
      <c r="A484" s="248"/>
      <c r="B484" s="249" t="s">
        <v>1249</v>
      </c>
      <c r="C484" s="250">
        <f t="shared" ref="C484:O484" si="248">C309</f>
        <v>0</v>
      </c>
      <c r="D484" s="250">
        <f t="shared" si="248"/>
        <v>0</v>
      </c>
      <c r="E484" s="250">
        <f t="shared" si="248"/>
        <v>0</v>
      </c>
      <c r="F484" s="250">
        <f t="shared" si="248"/>
        <v>0</v>
      </c>
      <c r="G484" s="250">
        <f t="shared" si="248"/>
        <v>0</v>
      </c>
      <c r="H484" s="250">
        <f t="shared" si="248"/>
        <v>0</v>
      </c>
      <c r="I484" s="250">
        <f t="shared" si="248"/>
        <v>0</v>
      </c>
      <c r="J484" s="250">
        <f t="shared" si="248"/>
        <v>0</v>
      </c>
      <c r="K484" s="250">
        <f t="shared" si="248"/>
        <v>0</v>
      </c>
      <c r="L484" s="250">
        <f t="shared" si="248"/>
        <v>0</v>
      </c>
      <c r="M484" s="250">
        <f t="shared" si="248"/>
        <v>1706</v>
      </c>
      <c r="N484" s="250">
        <f t="shared" si="248"/>
        <v>0</v>
      </c>
      <c r="O484" s="250">
        <f t="shared" si="248"/>
        <v>1706</v>
      </c>
    </row>
    <row r="485" spans="1:15" s="1109" customFormat="1" ht="31.5" x14ac:dyDescent="0.25">
      <c r="A485" s="248"/>
      <c r="B485" s="249" t="s">
        <v>1251</v>
      </c>
      <c r="C485" s="250">
        <f t="shared" ref="C485:O485" si="249">C374+C389+C444</f>
        <v>0</v>
      </c>
      <c r="D485" s="250">
        <f t="shared" si="249"/>
        <v>0</v>
      </c>
      <c r="E485" s="250">
        <f t="shared" si="249"/>
        <v>0</v>
      </c>
      <c r="F485" s="250">
        <f t="shared" si="249"/>
        <v>0</v>
      </c>
      <c r="G485" s="250">
        <f t="shared" si="249"/>
        <v>0</v>
      </c>
      <c r="H485" s="250">
        <f t="shared" si="249"/>
        <v>0</v>
      </c>
      <c r="I485" s="250">
        <f t="shared" si="249"/>
        <v>0</v>
      </c>
      <c r="J485" s="250">
        <f t="shared" si="249"/>
        <v>0</v>
      </c>
      <c r="K485" s="250">
        <f t="shared" si="249"/>
        <v>0</v>
      </c>
      <c r="L485" s="250">
        <f t="shared" si="249"/>
        <v>0</v>
      </c>
      <c r="M485" s="250">
        <f t="shared" si="249"/>
        <v>14040</v>
      </c>
      <c r="N485" s="250">
        <f t="shared" si="249"/>
        <v>0</v>
      </c>
      <c r="O485" s="250">
        <f t="shared" si="249"/>
        <v>14040</v>
      </c>
    </row>
    <row r="486" spans="1:15" s="1109" customFormat="1" x14ac:dyDescent="0.25">
      <c r="A486" s="248"/>
      <c r="B486" s="249" t="s">
        <v>1236</v>
      </c>
      <c r="C486" s="250">
        <f t="shared" ref="C486:O486" si="250">C58+C73+C217+C325</f>
        <v>0</v>
      </c>
      <c r="D486" s="250">
        <f t="shared" si="250"/>
        <v>0</v>
      </c>
      <c r="E486" s="250">
        <f t="shared" si="250"/>
        <v>0</v>
      </c>
      <c r="F486" s="250">
        <f t="shared" si="250"/>
        <v>0</v>
      </c>
      <c r="G486" s="250">
        <f t="shared" si="250"/>
        <v>0</v>
      </c>
      <c r="H486" s="250">
        <f t="shared" si="250"/>
        <v>0</v>
      </c>
      <c r="I486" s="250">
        <f t="shared" si="250"/>
        <v>0</v>
      </c>
      <c r="J486" s="250">
        <f t="shared" si="250"/>
        <v>0</v>
      </c>
      <c r="K486" s="250">
        <f t="shared" si="250"/>
        <v>0</v>
      </c>
      <c r="L486" s="250">
        <f t="shared" si="250"/>
        <v>0</v>
      </c>
      <c r="M486" s="250">
        <f t="shared" si="250"/>
        <v>583</v>
      </c>
      <c r="N486" s="250">
        <f t="shared" si="250"/>
        <v>0</v>
      </c>
      <c r="O486" s="250">
        <f t="shared" si="250"/>
        <v>583</v>
      </c>
    </row>
    <row r="487" spans="1:15" s="1109" customFormat="1" ht="47.25" x14ac:dyDescent="0.25">
      <c r="A487" s="248"/>
      <c r="B487" s="249" t="s">
        <v>1264</v>
      </c>
      <c r="C487" s="250">
        <f t="shared" ref="C487:O487" si="251">C353</f>
        <v>0</v>
      </c>
      <c r="D487" s="250">
        <f t="shared" si="251"/>
        <v>0</v>
      </c>
      <c r="E487" s="250">
        <f t="shared" si="251"/>
        <v>0</v>
      </c>
      <c r="F487" s="250">
        <f t="shared" si="251"/>
        <v>0</v>
      </c>
      <c r="G487" s="250">
        <f t="shared" si="251"/>
        <v>0</v>
      </c>
      <c r="H487" s="250">
        <f t="shared" si="251"/>
        <v>0</v>
      </c>
      <c r="I487" s="250">
        <f t="shared" si="251"/>
        <v>0</v>
      </c>
      <c r="J487" s="250">
        <f t="shared" si="251"/>
        <v>0</v>
      </c>
      <c r="K487" s="250">
        <f t="shared" si="251"/>
        <v>0</v>
      </c>
      <c r="L487" s="250">
        <f t="shared" si="251"/>
        <v>0</v>
      </c>
      <c r="M487" s="250">
        <f t="shared" si="251"/>
        <v>2199</v>
      </c>
      <c r="N487" s="250">
        <f t="shared" si="251"/>
        <v>0</v>
      </c>
      <c r="O487" s="250">
        <f t="shared" si="251"/>
        <v>2199</v>
      </c>
    </row>
    <row r="488" spans="1:15" s="1109" customFormat="1" ht="47.25" x14ac:dyDescent="0.25">
      <c r="A488" s="248"/>
      <c r="B488" s="249" t="s">
        <v>1230</v>
      </c>
      <c r="C488" s="250">
        <f t="shared" ref="C488:O488" si="252">C13+C74+C133+C148+C161+C174+C189+C204+C218+C233+C247+C261+C277+C310+C326+C375+C390</f>
        <v>0</v>
      </c>
      <c r="D488" s="250">
        <f t="shared" si="252"/>
        <v>0</v>
      </c>
      <c r="E488" s="250">
        <f t="shared" si="252"/>
        <v>0</v>
      </c>
      <c r="F488" s="250">
        <f t="shared" si="252"/>
        <v>0</v>
      </c>
      <c r="G488" s="250">
        <f t="shared" si="252"/>
        <v>0</v>
      </c>
      <c r="H488" s="250">
        <f t="shared" si="252"/>
        <v>0</v>
      </c>
      <c r="I488" s="250">
        <f t="shared" si="252"/>
        <v>0</v>
      </c>
      <c r="J488" s="250">
        <f t="shared" si="252"/>
        <v>0</v>
      </c>
      <c r="K488" s="250">
        <f t="shared" si="252"/>
        <v>0</v>
      </c>
      <c r="L488" s="250">
        <f t="shared" si="252"/>
        <v>0</v>
      </c>
      <c r="M488" s="250">
        <f t="shared" si="252"/>
        <v>27605</v>
      </c>
      <c r="N488" s="250">
        <f t="shared" si="252"/>
        <v>0</v>
      </c>
      <c r="O488" s="250">
        <f t="shared" si="252"/>
        <v>27605</v>
      </c>
    </row>
    <row r="489" spans="1:15" s="1109" customFormat="1" ht="31.5" x14ac:dyDescent="0.25">
      <c r="A489" s="248"/>
      <c r="B489" s="249" t="s">
        <v>1153</v>
      </c>
      <c r="C489" s="250">
        <f t="shared" ref="C489:O489" si="253">C14+C446</f>
        <v>34316</v>
      </c>
      <c r="D489" s="250">
        <f t="shared" si="253"/>
        <v>0</v>
      </c>
      <c r="E489" s="250">
        <f t="shared" si="253"/>
        <v>0</v>
      </c>
      <c r="F489" s="250">
        <f t="shared" si="253"/>
        <v>11789</v>
      </c>
      <c r="G489" s="250">
        <f t="shared" si="253"/>
        <v>0</v>
      </c>
      <c r="H489" s="250">
        <f t="shared" si="253"/>
        <v>0</v>
      </c>
      <c r="I489" s="250">
        <f t="shared" si="253"/>
        <v>0</v>
      </c>
      <c r="J489" s="250">
        <f t="shared" si="253"/>
        <v>46105</v>
      </c>
      <c r="K489" s="250">
        <f t="shared" si="253"/>
        <v>0</v>
      </c>
      <c r="L489" s="250">
        <f t="shared" si="253"/>
        <v>46105</v>
      </c>
      <c r="M489" s="250">
        <f t="shared" si="253"/>
        <v>0</v>
      </c>
      <c r="N489" s="250">
        <f t="shared" si="253"/>
        <v>0</v>
      </c>
      <c r="O489" s="250">
        <f t="shared" si="253"/>
        <v>46105</v>
      </c>
    </row>
    <row r="490" spans="1:15" s="1109" customFormat="1" ht="31.5" x14ac:dyDescent="0.25">
      <c r="A490" s="248"/>
      <c r="B490" s="249" t="s">
        <v>1265</v>
      </c>
      <c r="C490" s="250">
        <f t="shared" ref="C490:O490" si="254">C248</f>
        <v>0</v>
      </c>
      <c r="D490" s="250">
        <f t="shared" si="254"/>
        <v>0</v>
      </c>
      <c r="E490" s="250">
        <f t="shared" si="254"/>
        <v>0</v>
      </c>
      <c r="F490" s="250">
        <f t="shared" si="254"/>
        <v>0</v>
      </c>
      <c r="G490" s="250">
        <f t="shared" si="254"/>
        <v>0</v>
      </c>
      <c r="H490" s="250">
        <f t="shared" si="254"/>
        <v>0</v>
      </c>
      <c r="I490" s="250">
        <f t="shared" si="254"/>
        <v>0</v>
      </c>
      <c r="J490" s="250">
        <f t="shared" si="254"/>
        <v>0</v>
      </c>
      <c r="K490" s="250">
        <f t="shared" si="254"/>
        <v>0</v>
      </c>
      <c r="L490" s="250">
        <f t="shared" si="254"/>
        <v>0</v>
      </c>
      <c r="M490" s="250">
        <f t="shared" si="254"/>
        <v>150</v>
      </c>
      <c r="N490" s="250">
        <f t="shared" si="254"/>
        <v>0</v>
      </c>
      <c r="O490" s="250">
        <f t="shared" si="254"/>
        <v>150</v>
      </c>
    </row>
    <row r="491" spans="1:15" s="1109" customFormat="1" ht="47.25" x14ac:dyDescent="0.25">
      <c r="A491" s="248"/>
      <c r="B491" s="249" t="s">
        <v>1266</v>
      </c>
      <c r="C491" s="250">
        <f t="shared" ref="C491:O492" si="255">C391</f>
        <v>0</v>
      </c>
      <c r="D491" s="250">
        <f t="shared" si="255"/>
        <v>0</v>
      </c>
      <c r="E491" s="250">
        <f t="shared" si="255"/>
        <v>0</v>
      </c>
      <c r="F491" s="250">
        <f t="shared" si="255"/>
        <v>0</v>
      </c>
      <c r="G491" s="250">
        <f t="shared" si="255"/>
        <v>0</v>
      </c>
      <c r="H491" s="250">
        <f t="shared" si="255"/>
        <v>0</v>
      </c>
      <c r="I491" s="250">
        <f t="shared" si="255"/>
        <v>0</v>
      </c>
      <c r="J491" s="250">
        <f t="shared" si="255"/>
        <v>0</v>
      </c>
      <c r="K491" s="250">
        <f t="shared" si="255"/>
        <v>0</v>
      </c>
      <c r="L491" s="250">
        <f t="shared" si="255"/>
        <v>0</v>
      </c>
      <c r="M491" s="250">
        <f t="shared" si="255"/>
        <v>233</v>
      </c>
      <c r="N491" s="250">
        <f t="shared" si="255"/>
        <v>0</v>
      </c>
      <c r="O491" s="250">
        <f t="shared" si="255"/>
        <v>233</v>
      </c>
    </row>
    <row r="492" spans="1:15" s="1109" customFormat="1" ht="31.5" x14ac:dyDescent="0.25">
      <c r="A492" s="248"/>
      <c r="B492" s="249" t="s">
        <v>1267</v>
      </c>
      <c r="C492" s="250">
        <f t="shared" si="255"/>
        <v>0</v>
      </c>
      <c r="D492" s="250">
        <f t="shared" si="255"/>
        <v>0</v>
      </c>
      <c r="E492" s="250">
        <f t="shared" si="255"/>
        <v>0</v>
      </c>
      <c r="F492" s="250">
        <f t="shared" si="255"/>
        <v>0</v>
      </c>
      <c r="G492" s="250">
        <f t="shared" si="255"/>
        <v>0</v>
      </c>
      <c r="H492" s="250">
        <f t="shared" si="255"/>
        <v>0</v>
      </c>
      <c r="I492" s="250">
        <f t="shared" si="255"/>
        <v>0</v>
      </c>
      <c r="J492" s="250">
        <f t="shared" si="255"/>
        <v>0</v>
      </c>
      <c r="K492" s="250">
        <f t="shared" si="255"/>
        <v>0</v>
      </c>
      <c r="L492" s="250">
        <f t="shared" si="255"/>
        <v>0</v>
      </c>
      <c r="M492" s="250">
        <f t="shared" si="255"/>
        <v>-7405</v>
      </c>
      <c r="N492" s="250">
        <f t="shared" si="255"/>
        <v>0</v>
      </c>
      <c r="O492" s="250">
        <f t="shared" si="255"/>
        <v>-7405</v>
      </c>
    </row>
    <row r="493" spans="1:15" s="1109" customFormat="1" ht="63" x14ac:dyDescent="0.25">
      <c r="A493" s="248"/>
      <c r="B493" s="249" t="s">
        <v>1268</v>
      </c>
      <c r="C493" s="250">
        <f t="shared" ref="C493:O493" si="256">C445</f>
        <v>0</v>
      </c>
      <c r="D493" s="250">
        <f t="shared" si="256"/>
        <v>0</v>
      </c>
      <c r="E493" s="250">
        <f t="shared" si="256"/>
        <v>0</v>
      </c>
      <c r="F493" s="250">
        <f t="shared" si="256"/>
        <v>0</v>
      </c>
      <c r="G493" s="250">
        <f t="shared" si="256"/>
        <v>0</v>
      </c>
      <c r="H493" s="250">
        <f t="shared" si="256"/>
        <v>0</v>
      </c>
      <c r="I493" s="250">
        <f t="shared" si="256"/>
        <v>0</v>
      </c>
      <c r="J493" s="250">
        <f t="shared" si="256"/>
        <v>0</v>
      </c>
      <c r="K493" s="250">
        <f t="shared" si="256"/>
        <v>0</v>
      </c>
      <c r="L493" s="250">
        <f t="shared" si="256"/>
        <v>0</v>
      </c>
      <c r="M493" s="250">
        <f t="shared" si="256"/>
        <v>10337</v>
      </c>
      <c r="N493" s="250">
        <f t="shared" si="256"/>
        <v>0</v>
      </c>
      <c r="O493" s="250">
        <f t="shared" si="256"/>
        <v>10337</v>
      </c>
    </row>
    <row r="494" spans="1:15" s="1109" customFormat="1" ht="31.5" x14ac:dyDescent="0.25">
      <c r="A494" s="248"/>
      <c r="B494" s="249" t="s">
        <v>1155</v>
      </c>
      <c r="C494" s="250">
        <f t="shared" ref="C494:O494" si="257">C469</f>
        <v>20994</v>
      </c>
      <c r="D494" s="250">
        <f t="shared" si="257"/>
        <v>0</v>
      </c>
      <c r="E494" s="250">
        <f t="shared" si="257"/>
        <v>0</v>
      </c>
      <c r="F494" s="250">
        <f t="shared" si="257"/>
        <v>0</v>
      </c>
      <c r="G494" s="250">
        <f t="shared" si="257"/>
        <v>0</v>
      </c>
      <c r="H494" s="250">
        <f t="shared" si="257"/>
        <v>0</v>
      </c>
      <c r="I494" s="250">
        <f t="shared" si="257"/>
        <v>0</v>
      </c>
      <c r="J494" s="250">
        <f t="shared" si="257"/>
        <v>20994</v>
      </c>
      <c r="K494" s="250">
        <f t="shared" si="257"/>
        <v>0</v>
      </c>
      <c r="L494" s="250">
        <f t="shared" si="257"/>
        <v>20994</v>
      </c>
      <c r="M494" s="250">
        <f t="shared" si="257"/>
        <v>0</v>
      </c>
      <c r="N494" s="250">
        <f t="shared" si="257"/>
        <v>0</v>
      </c>
      <c r="O494" s="250">
        <f t="shared" si="257"/>
        <v>20994</v>
      </c>
    </row>
    <row r="495" spans="1:15" s="1109" customFormat="1" ht="31.5" x14ac:dyDescent="0.25">
      <c r="A495" s="248"/>
      <c r="B495" s="249" t="s">
        <v>1269</v>
      </c>
      <c r="C495" s="250">
        <f>C447</f>
        <v>0</v>
      </c>
      <c r="D495" s="250">
        <f t="shared" ref="D495:O495" si="258">D447</f>
        <v>0</v>
      </c>
      <c r="E495" s="250">
        <f t="shared" si="258"/>
        <v>0</v>
      </c>
      <c r="F495" s="250">
        <f t="shared" si="258"/>
        <v>0</v>
      </c>
      <c r="G495" s="250">
        <f t="shared" si="258"/>
        <v>0</v>
      </c>
      <c r="H495" s="250">
        <f t="shared" si="258"/>
        <v>0</v>
      </c>
      <c r="I495" s="250">
        <f t="shared" si="258"/>
        <v>0</v>
      </c>
      <c r="J495" s="250">
        <f t="shared" si="258"/>
        <v>0</v>
      </c>
      <c r="K495" s="250">
        <f t="shared" si="258"/>
        <v>0</v>
      </c>
      <c r="L495" s="250">
        <f t="shared" si="258"/>
        <v>0</v>
      </c>
      <c r="M495" s="250">
        <f t="shared" si="258"/>
        <v>35663</v>
      </c>
      <c r="N495" s="250">
        <f t="shared" si="258"/>
        <v>0</v>
      </c>
      <c r="O495" s="250">
        <f t="shared" si="258"/>
        <v>35663</v>
      </c>
    </row>
    <row r="496" spans="1:15" s="1109" customFormat="1" x14ac:dyDescent="0.25">
      <c r="A496" s="248"/>
      <c r="B496" s="253" t="s">
        <v>161</v>
      </c>
      <c r="C496" s="253"/>
      <c r="D496" s="253"/>
      <c r="E496" s="253"/>
      <c r="F496" s="253"/>
      <c r="G496" s="253"/>
      <c r="H496" s="253"/>
      <c r="I496" s="253"/>
      <c r="J496" s="253"/>
      <c r="K496" s="253"/>
      <c r="L496" s="253"/>
      <c r="M496" s="253"/>
      <c r="N496" s="253"/>
      <c r="O496" s="253"/>
    </row>
    <row r="497" spans="1:16" s="1109" customFormat="1" x14ac:dyDescent="0.25">
      <c r="A497" s="248"/>
      <c r="B497" s="249" t="s">
        <v>1229</v>
      </c>
      <c r="C497" s="250">
        <f t="shared" ref="C497:O497" si="259">C423</f>
        <v>0</v>
      </c>
      <c r="D497" s="250">
        <f t="shared" si="259"/>
        <v>0</v>
      </c>
      <c r="E497" s="250">
        <f t="shared" si="259"/>
        <v>0</v>
      </c>
      <c r="F497" s="250">
        <f t="shared" si="259"/>
        <v>0</v>
      </c>
      <c r="G497" s="250">
        <f t="shared" si="259"/>
        <v>0</v>
      </c>
      <c r="H497" s="250">
        <f t="shared" si="259"/>
        <v>0</v>
      </c>
      <c r="I497" s="250">
        <f t="shared" si="259"/>
        <v>0</v>
      </c>
      <c r="J497" s="250">
        <f t="shared" si="259"/>
        <v>0</v>
      </c>
      <c r="K497" s="250">
        <f t="shared" si="259"/>
        <v>0</v>
      </c>
      <c r="L497" s="250">
        <f t="shared" si="259"/>
        <v>0</v>
      </c>
      <c r="M497" s="250">
        <f t="shared" si="259"/>
        <v>165</v>
      </c>
      <c r="N497" s="250">
        <f t="shared" si="259"/>
        <v>0</v>
      </c>
      <c r="O497" s="250">
        <f t="shared" si="259"/>
        <v>165</v>
      </c>
    </row>
    <row r="498" spans="1:16" s="1109" customFormat="1" ht="31.5" x14ac:dyDescent="0.25">
      <c r="A498" s="248"/>
      <c r="B498" s="249" t="s">
        <v>1251</v>
      </c>
      <c r="C498" s="250">
        <f t="shared" ref="C498:O498" si="260">C364+C405+C413+C424+C434</f>
        <v>0</v>
      </c>
      <c r="D498" s="250">
        <f t="shared" si="260"/>
        <v>0</v>
      </c>
      <c r="E498" s="250">
        <f t="shared" si="260"/>
        <v>0</v>
      </c>
      <c r="F498" s="250">
        <f t="shared" si="260"/>
        <v>0</v>
      </c>
      <c r="G498" s="250">
        <f t="shared" si="260"/>
        <v>0</v>
      </c>
      <c r="H498" s="250">
        <f t="shared" si="260"/>
        <v>0</v>
      </c>
      <c r="I498" s="250">
        <f t="shared" si="260"/>
        <v>0</v>
      </c>
      <c r="J498" s="250">
        <f t="shared" si="260"/>
        <v>0</v>
      </c>
      <c r="K498" s="250">
        <f t="shared" si="260"/>
        <v>0</v>
      </c>
      <c r="L498" s="250">
        <f t="shared" si="260"/>
        <v>0</v>
      </c>
      <c r="M498" s="250">
        <f t="shared" si="260"/>
        <v>10327</v>
      </c>
      <c r="N498" s="250">
        <f t="shared" si="260"/>
        <v>0</v>
      </c>
      <c r="O498" s="250">
        <f t="shared" si="260"/>
        <v>10327</v>
      </c>
    </row>
    <row r="499" spans="1:16" s="1109" customFormat="1" x14ac:dyDescent="0.25">
      <c r="A499" s="246"/>
      <c r="B499" s="251" t="s">
        <v>1237</v>
      </c>
      <c r="C499" s="252">
        <f t="shared" ref="C499:O499" si="261">C16+C29+C44+C60+C76+C91+C106+C120+C135+C150+C163+C176+C191+C206+C220+C235+C250+C263+C279+C293+C312+C328+C341+C355+C365+C377+C394+C406+C414+C425+C435+C449</f>
        <v>0</v>
      </c>
      <c r="D499" s="252">
        <f t="shared" si="261"/>
        <v>0</v>
      </c>
      <c r="E499" s="252">
        <f t="shared" si="261"/>
        <v>0</v>
      </c>
      <c r="F499" s="252">
        <f t="shared" si="261"/>
        <v>0</v>
      </c>
      <c r="G499" s="252">
        <f t="shared" si="261"/>
        <v>0</v>
      </c>
      <c r="H499" s="252">
        <f t="shared" si="261"/>
        <v>0</v>
      </c>
      <c r="I499" s="252">
        <f t="shared" si="261"/>
        <v>0</v>
      </c>
      <c r="J499" s="252">
        <f t="shared" si="261"/>
        <v>0</v>
      </c>
      <c r="K499" s="252">
        <f t="shared" si="261"/>
        <v>0</v>
      </c>
      <c r="L499" s="252">
        <f t="shared" si="261"/>
        <v>0</v>
      </c>
      <c r="M499" s="252">
        <f t="shared" si="261"/>
        <v>55920</v>
      </c>
      <c r="N499" s="252">
        <f t="shared" si="261"/>
        <v>0</v>
      </c>
      <c r="O499" s="252">
        <f t="shared" si="261"/>
        <v>55920</v>
      </c>
    </row>
    <row r="500" spans="1:16" s="1109" customFormat="1" ht="31.5" x14ac:dyDescent="0.25">
      <c r="A500" s="248"/>
      <c r="B500" s="249" t="s">
        <v>1232</v>
      </c>
      <c r="C500" s="250">
        <f t="shared" ref="C500:O500" si="262">C17+C30+C45+C61+C77+C92+C107+C121+C136+C151+C164+C177+C192+C207+C221+C236+C251+C264+C280+C294+C313+C329+C342+C356+C378+C395+C415+C450</f>
        <v>0</v>
      </c>
      <c r="D500" s="250">
        <f t="shared" si="262"/>
        <v>0</v>
      </c>
      <c r="E500" s="250">
        <f t="shared" si="262"/>
        <v>0</v>
      </c>
      <c r="F500" s="250">
        <f t="shared" si="262"/>
        <v>0</v>
      </c>
      <c r="G500" s="250">
        <f t="shared" si="262"/>
        <v>0</v>
      </c>
      <c r="H500" s="250">
        <f t="shared" si="262"/>
        <v>0</v>
      </c>
      <c r="I500" s="250">
        <f t="shared" si="262"/>
        <v>0</v>
      </c>
      <c r="J500" s="250">
        <f t="shared" si="262"/>
        <v>0</v>
      </c>
      <c r="K500" s="250">
        <f t="shared" si="262"/>
        <v>0</v>
      </c>
      <c r="L500" s="250">
        <f t="shared" si="262"/>
        <v>0</v>
      </c>
      <c r="M500" s="250">
        <f t="shared" si="262"/>
        <v>5204</v>
      </c>
      <c r="N500" s="250">
        <f t="shared" si="262"/>
        <v>0</v>
      </c>
      <c r="O500" s="250">
        <f t="shared" si="262"/>
        <v>5204</v>
      </c>
    </row>
    <row r="501" spans="1:16" s="1109" customFormat="1" x14ac:dyDescent="0.25">
      <c r="A501" s="248"/>
      <c r="B501" s="249" t="s">
        <v>1270</v>
      </c>
      <c r="C501" s="250">
        <f t="shared" ref="C501:O501" si="263">C31+C46+C47+C62+C78+C79+C93+C94+C108+C122+C137+C138+C178+C179+C193+C194+C222+C223+C237+C238+C252+C265+C266+C267+C281+C282+C295+C296+C314+C451+C452</f>
        <v>0</v>
      </c>
      <c r="D501" s="250">
        <f t="shared" si="263"/>
        <v>0</v>
      </c>
      <c r="E501" s="250">
        <f t="shared" si="263"/>
        <v>0</v>
      </c>
      <c r="F501" s="250">
        <f t="shared" si="263"/>
        <v>0</v>
      </c>
      <c r="G501" s="250">
        <f t="shared" si="263"/>
        <v>0</v>
      </c>
      <c r="H501" s="250">
        <f t="shared" si="263"/>
        <v>0</v>
      </c>
      <c r="I501" s="250">
        <f t="shared" si="263"/>
        <v>0</v>
      </c>
      <c r="J501" s="250">
        <f t="shared" si="263"/>
        <v>0</v>
      </c>
      <c r="K501" s="250">
        <f t="shared" si="263"/>
        <v>0</v>
      </c>
      <c r="L501" s="250">
        <f t="shared" si="263"/>
        <v>0</v>
      </c>
      <c r="M501" s="250">
        <f t="shared" si="263"/>
        <v>2055</v>
      </c>
      <c r="N501" s="250">
        <f t="shared" si="263"/>
        <v>0</v>
      </c>
      <c r="O501" s="250">
        <f t="shared" si="263"/>
        <v>2055</v>
      </c>
    </row>
    <row r="502" spans="1:16" s="1109" customFormat="1" x14ac:dyDescent="0.25">
      <c r="A502" s="248"/>
      <c r="B502" s="249" t="s">
        <v>1053</v>
      </c>
      <c r="C502" s="250">
        <f t="shared" ref="C502:O502" si="264">C453</f>
        <v>0</v>
      </c>
      <c r="D502" s="250">
        <f t="shared" si="264"/>
        <v>0</v>
      </c>
      <c r="E502" s="250">
        <f t="shared" si="264"/>
        <v>0</v>
      </c>
      <c r="F502" s="250">
        <f t="shared" si="264"/>
        <v>0</v>
      </c>
      <c r="G502" s="250">
        <f t="shared" si="264"/>
        <v>0</v>
      </c>
      <c r="H502" s="250">
        <f t="shared" si="264"/>
        <v>0</v>
      </c>
      <c r="I502" s="250">
        <f t="shared" si="264"/>
        <v>0</v>
      </c>
      <c r="J502" s="250">
        <f t="shared" si="264"/>
        <v>0</v>
      </c>
      <c r="K502" s="250">
        <f t="shared" si="264"/>
        <v>0</v>
      </c>
      <c r="L502" s="250">
        <f t="shared" si="264"/>
        <v>0</v>
      </c>
      <c r="M502" s="250">
        <f t="shared" si="264"/>
        <v>80</v>
      </c>
      <c r="N502" s="250">
        <f t="shared" si="264"/>
        <v>0</v>
      </c>
      <c r="O502" s="250">
        <f t="shared" si="264"/>
        <v>80</v>
      </c>
    </row>
    <row r="503" spans="1:16" s="1109" customFormat="1" x14ac:dyDescent="0.25">
      <c r="A503" s="248"/>
      <c r="B503" s="249" t="s">
        <v>1271</v>
      </c>
      <c r="C503" s="250">
        <f t="shared" ref="C503:O503" si="265">C454+C455</f>
        <v>0</v>
      </c>
      <c r="D503" s="250">
        <f t="shared" si="265"/>
        <v>0</v>
      </c>
      <c r="E503" s="250">
        <f t="shared" si="265"/>
        <v>0</v>
      </c>
      <c r="F503" s="250">
        <f t="shared" si="265"/>
        <v>0</v>
      </c>
      <c r="G503" s="250">
        <f t="shared" si="265"/>
        <v>0</v>
      </c>
      <c r="H503" s="250">
        <f t="shared" si="265"/>
        <v>0</v>
      </c>
      <c r="I503" s="250">
        <f t="shared" si="265"/>
        <v>0</v>
      </c>
      <c r="J503" s="250">
        <f t="shared" si="265"/>
        <v>0</v>
      </c>
      <c r="K503" s="250">
        <f t="shared" si="265"/>
        <v>0</v>
      </c>
      <c r="L503" s="250">
        <f t="shared" si="265"/>
        <v>0</v>
      </c>
      <c r="M503" s="250">
        <f t="shared" si="265"/>
        <v>1600</v>
      </c>
      <c r="N503" s="250">
        <f t="shared" si="265"/>
        <v>0</v>
      </c>
      <c r="O503" s="250">
        <f t="shared" si="265"/>
        <v>1600</v>
      </c>
    </row>
    <row r="504" spans="1:16" s="1109" customFormat="1" x14ac:dyDescent="0.25">
      <c r="A504" s="246"/>
      <c r="B504" s="251" t="s">
        <v>1272</v>
      </c>
      <c r="C504" s="252">
        <f t="shared" ref="C504:O504" si="266">C456</f>
        <v>0</v>
      </c>
      <c r="D504" s="252">
        <f t="shared" si="266"/>
        <v>0</v>
      </c>
      <c r="E504" s="252">
        <f t="shared" si="266"/>
        <v>0</v>
      </c>
      <c r="F504" s="252">
        <f t="shared" si="266"/>
        <v>0</v>
      </c>
      <c r="G504" s="252">
        <f t="shared" si="266"/>
        <v>0</v>
      </c>
      <c r="H504" s="252">
        <f t="shared" si="266"/>
        <v>0</v>
      </c>
      <c r="I504" s="252">
        <f t="shared" si="266"/>
        <v>0</v>
      </c>
      <c r="J504" s="252">
        <f t="shared" si="266"/>
        <v>0</v>
      </c>
      <c r="K504" s="252">
        <f t="shared" si="266"/>
        <v>0</v>
      </c>
      <c r="L504" s="252">
        <f t="shared" si="266"/>
        <v>0</v>
      </c>
      <c r="M504" s="252">
        <f t="shared" si="266"/>
        <v>50</v>
      </c>
      <c r="N504" s="252">
        <f t="shared" si="266"/>
        <v>0</v>
      </c>
      <c r="O504" s="252">
        <f t="shared" si="266"/>
        <v>50</v>
      </c>
    </row>
    <row r="505" spans="1:16" s="1109" customFormat="1" x14ac:dyDescent="0.25">
      <c r="A505" s="248"/>
      <c r="B505" s="605" t="s">
        <v>1273</v>
      </c>
      <c r="C505" s="606">
        <f t="shared" ref="C505:O505" si="267">C396</f>
        <v>0</v>
      </c>
      <c r="D505" s="606">
        <f t="shared" si="267"/>
        <v>0</v>
      </c>
      <c r="E505" s="606">
        <f t="shared" si="267"/>
        <v>0</v>
      </c>
      <c r="F505" s="606">
        <f t="shared" si="267"/>
        <v>0</v>
      </c>
      <c r="G505" s="606">
        <f t="shared" si="267"/>
        <v>0</v>
      </c>
      <c r="H505" s="606">
        <f t="shared" si="267"/>
        <v>0</v>
      </c>
      <c r="I505" s="606">
        <f t="shared" si="267"/>
        <v>0</v>
      </c>
      <c r="J505" s="606">
        <f t="shared" si="267"/>
        <v>0</v>
      </c>
      <c r="K505" s="606">
        <f t="shared" si="267"/>
        <v>0</v>
      </c>
      <c r="L505" s="606">
        <f t="shared" si="267"/>
        <v>0</v>
      </c>
      <c r="M505" s="606">
        <f t="shared" si="267"/>
        <v>700</v>
      </c>
      <c r="N505" s="606">
        <f t="shared" si="267"/>
        <v>0</v>
      </c>
      <c r="O505" s="606">
        <f t="shared" si="267"/>
        <v>700</v>
      </c>
    </row>
    <row r="506" spans="1:16" s="1109" customFormat="1" ht="31.5" x14ac:dyDescent="0.25">
      <c r="A506" s="248"/>
      <c r="B506" s="249" t="s">
        <v>1153</v>
      </c>
      <c r="C506" s="250">
        <f t="shared" ref="C506:O506" si="268">C379+C397+C416+C436</f>
        <v>43048</v>
      </c>
      <c r="D506" s="250">
        <f t="shared" si="268"/>
        <v>0</v>
      </c>
      <c r="E506" s="250">
        <f t="shared" si="268"/>
        <v>0</v>
      </c>
      <c r="F506" s="250">
        <f t="shared" si="268"/>
        <v>0</v>
      </c>
      <c r="G506" s="250">
        <f t="shared" si="268"/>
        <v>0</v>
      </c>
      <c r="H506" s="250">
        <f t="shared" si="268"/>
        <v>588</v>
      </c>
      <c r="I506" s="250">
        <f t="shared" si="268"/>
        <v>0</v>
      </c>
      <c r="J506" s="250">
        <f t="shared" si="268"/>
        <v>43636</v>
      </c>
      <c r="K506" s="250">
        <f t="shared" si="268"/>
        <v>0</v>
      </c>
      <c r="L506" s="250">
        <f t="shared" si="268"/>
        <v>43636</v>
      </c>
      <c r="M506" s="250">
        <f t="shared" si="268"/>
        <v>0</v>
      </c>
      <c r="N506" s="250">
        <f t="shared" si="268"/>
        <v>0</v>
      </c>
      <c r="O506" s="250">
        <f t="shared" si="268"/>
        <v>43636</v>
      </c>
    </row>
    <row r="507" spans="1:16" s="1109" customFormat="1" ht="63" x14ac:dyDescent="0.25">
      <c r="A507" s="248"/>
      <c r="B507" s="249" t="s">
        <v>1274</v>
      </c>
      <c r="C507" s="250">
        <f t="shared" ref="C507:O507" si="269">C427</f>
        <v>57000</v>
      </c>
      <c r="D507" s="250">
        <f t="shared" si="269"/>
        <v>0</v>
      </c>
      <c r="E507" s="250">
        <f t="shared" si="269"/>
        <v>0</v>
      </c>
      <c r="F507" s="250">
        <f t="shared" si="269"/>
        <v>0</v>
      </c>
      <c r="G507" s="250">
        <f t="shared" si="269"/>
        <v>0</v>
      </c>
      <c r="H507" s="250">
        <f t="shared" si="269"/>
        <v>0</v>
      </c>
      <c r="I507" s="250">
        <f t="shared" si="269"/>
        <v>0</v>
      </c>
      <c r="J507" s="250">
        <f t="shared" si="269"/>
        <v>57000</v>
      </c>
      <c r="K507" s="250">
        <f t="shared" si="269"/>
        <v>0</v>
      </c>
      <c r="L507" s="250">
        <f t="shared" si="269"/>
        <v>57000</v>
      </c>
      <c r="M507" s="250">
        <f t="shared" si="269"/>
        <v>-57000</v>
      </c>
      <c r="N507" s="250">
        <f t="shared" si="269"/>
        <v>0</v>
      </c>
      <c r="O507" s="250">
        <f t="shared" si="269"/>
        <v>0</v>
      </c>
    </row>
    <row r="508" spans="1:16" s="1109" customFormat="1" ht="47.25" x14ac:dyDescent="0.25">
      <c r="A508" s="248"/>
      <c r="B508" s="249" t="s">
        <v>1275</v>
      </c>
      <c r="C508" s="250">
        <f t="shared" ref="C508:O508" si="270">C426</f>
        <v>33061</v>
      </c>
      <c r="D508" s="250">
        <f t="shared" si="270"/>
        <v>0</v>
      </c>
      <c r="E508" s="250">
        <f t="shared" si="270"/>
        <v>0</v>
      </c>
      <c r="F508" s="250">
        <f t="shared" si="270"/>
        <v>0</v>
      </c>
      <c r="G508" s="250">
        <f t="shared" si="270"/>
        <v>0</v>
      </c>
      <c r="H508" s="250">
        <f t="shared" si="270"/>
        <v>0</v>
      </c>
      <c r="I508" s="250">
        <f t="shared" si="270"/>
        <v>0</v>
      </c>
      <c r="J508" s="250">
        <f t="shared" si="270"/>
        <v>33061</v>
      </c>
      <c r="K508" s="250">
        <f t="shared" si="270"/>
        <v>0</v>
      </c>
      <c r="L508" s="250">
        <f t="shared" si="270"/>
        <v>33061</v>
      </c>
      <c r="M508" s="250">
        <f t="shared" si="270"/>
        <v>0</v>
      </c>
      <c r="N508" s="250">
        <f t="shared" si="270"/>
        <v>0</v>
      </c>
      <c r="O508" s="250">
        <f t="shared" si="270"/>
        <v>33061</v>
      </c>
    </row>
    <row r="509" spans="1:16" s="1109" customFormat="1" ht="16.5" thickBot="1" x14ac:dyDescent="0.3">
      <c r="A509" s="248"/>
      <c r="B509" s="253" t="s">
        <v>563</v>
      </c>
      <c r="C509" s="250"/>
      <c r="D509" s="250"/>
      <c r="E509" s="250"/>
      <c r="F509" s="250"/>
      <c r="G509" s="250"/>
      <c r="H509" s="250"/>
      <c r="I509" s="250"/>
      <c r="J509" s="250"/>
      <c r="K509" s="250"/>
      <c r="L509" s="250"/>
      <c r="M509" s="250"/>
      <c r="N509" s="250"/>
      <c r="O509" s="250"/>
    </row>
    <row r="510" spans="1:16" ht="17.25" thickTop="1" thickBot="1" x14ac:dyDescent="0.3">
      <c r="A510" s="224"/>
      <c r="B510" s="231" t="s">
        <v>176</v>
      </c>
      <c r="C510" s="231">
        <f t="shared" ref="C510:O510" si="271">SUM(C480:C509)</f>
        <v>1396396</v>
      </c>
      <c r="D510" s="231">
        <f t="shared" si="271"/>
        <v>0</v>
      </c>
      <c r="E510" s="231">
        <f t="shared" si="271"/>
        <v>300</v>
      </c>
      <c r="F510" s="231">
        <f t="shared" si="271"/>
        <v>1470745</v>
      </c>
      <c r="G510" s="231">
        <f t="shared" si="271"/>
        <v>0</v>
      </c>
      <c r="H510" s="231">
        <f t="shared" si="271"/>
        <v>1780</v>
      </c>
      <c r="I510" s="231">
        <f t="shared" si="271"/>
        <v>0</v>
      </c>
      <c r="J510" s="231">
        <f t="shared" si="271"/>
        <v>2869221</v>
      </c>
      <c r="K510" s="231">
        <f t="shared" si="271"/>
        <v>0</v>
      </c>
      <c r="L510" s="231">
        <f t="shared" si="271"/>
        <v>2869221</v>
      </c>
      <c r="M510" s="231">
        <f t="shared" si="271"/>
        <v>11867289</v>
      </c>
      <c r="N510" s="231">
        <f t="shared" si="271"/>
        <v>765684</v>
      </c>
      <c r="O510" s="231">
        <f t="shared" si="271"/>
        <v>15502194</v>
      </c>
      <c r="P510" s="1104">
        <f>O511+O512+O513</f>
        <v>15502194</v>
      </c>
    </row>
    <row r="511" spans="1:16" ht="17.25" thickTop="1" thickBot="1" x14ac:dyDescent="0.3">
      <c r="A511" s="224"/>
      <c r="B511" s="231" t="s">
        <v>1036</v>
      </c>
      <c r="C511" s="231">
        <f t="shared" ref="C511:O511" si="272">SUM(C19+C33+C49+C64+C81+C96+C110+C124+C140+C153+C166+C181+C196+C209+C225+C240+C254+C269+C284+C298+C316+C331+C344+C358+C381+C399+C458+C476)</f>
        <v>819345</v>
      </c>
      <c r="D511" s="231">
        <f t="shared" si="272"/>
        <v>0</v>
      </c>
      <c r="E511" s="231">
        <f t="shared" si="272"/>
        <v>0</v>
      </c>
      <c r="F511" s="231">
        <f t="shared" si="272"/>
        <v>1116189</v>
      </c>
      <c r="G511" s="231">
        <f t="shared" si="272"/>
        <v>0</v>
      </c>
      <c r="H511" s="231">
        <f t="shared" si="272"/>
        <v>300</v>
      </c>
      <c r="I511" s="231">
        <f t="shared" si="272"/>
        <v>0</v>
      </c>
      <c r="J511" s="231">
        <f t="shared" si="272"/>
        <v>1935834</v>
      </c>
      <c r="K511" s="231">
        <f t="shared" si="272"/>
        <v>0</v>
      </c>
      <c r="L511" s="231">
        <f t="shared" si="272"/>
        <v>1935834</v>
      </c>
      <c r="M511" s="231">
        <f t="shared" si="272"/>
        <v>8804754</v>
      </c>
      <c r="N511" s="231">
        <f t="shared" si="272"/>
        <v>725925</v>
      </c>
      <c r="O511" s="231">
        <f t="shared" si="272"/>
        <v>11466513</v>
      </c>
    </row>
    <row r="512" spans="1:16" ht="17.25" thickTop="1" thickBot="1" x14ac:dyDescent="0.3">
      <c r="A512" s="224"/>
      <c r="B512" s="231" t="s">
        <v>1037</v>
      </c>
      <c r="C512" s="231">
        <f t="shared" ref="C512:O512" si="273">SUM(C20+C34+C50+C65+C82+C97+C111+C125+C141+C154+C167+C182+C197+C210+C226+C241+C255+C270+C285+C299+C317+C332+C345+C359+C367+C382+C400+C418+C429+C438+C459+C477+C408)</f>
        <v>501020</v>
      </c>
      <c r="D512" s="231">
        <f t="shared" si="273"/>
        <v>0</v>
      </c>
      <c r="E512" s="231">
        <f t="shared" si="273"/>
        <v>0</v>
      </c>
      <c r="F512" s="231">
        <f t="shared" si="273"/>
        <v>354556</v>
      </c>
      <c r="G512" s="231">
        <f t="shared" si="273"/>
        <v>0</v>
      </c>
      <c r="H512" s="231">
        <f t="shared" si="273"/>
        <v>1480</v>
      </c>
      <c r="I512" s="231">
        <f t="shared" si="273"/>
        <v>0</v>
      </c>
      <c r="J512" s="231">
        <f t="shared" si="273"/>
        <v>857056</v>
      </c>
      <c r="K512" s="231">
        <f t="shared" si="273"/>
        <v>0</v>
      </c>
      <c r="L512" s="231">
        <f t="shared" si="273"/>
        <v>857056</v>
      </c>
      <c r="M512" s="231">
        <f t="shared" si="273"/>
        <v>2148256</v>
      </c>
      <c r="N512" s="231">
        <f t="shared" si="273"/>
        <v>39759</v>
      </c>
      <c r="O512" s="231">
        <f t="shared" si="273"/>
        <v>3045071</v>
      </c>
    </row>
    <row r="513" spans="1:15" ht="33" thickTop="1" thickBot="1" x14ac:dyDescent="0.3">
      <c r="A513" s="224"/>
      <c r="B513" s="231" t="s">
        <v>1052</v>
      </c>
      <c r="C513" s="231">
        <f t="shared" ref="C513:O513" si="274">SUM(C478)</f>
        <v>76031</v>
      </c>
      <c r="D513" s="231">
        <f t="shared" si="274"/>
        <v>0</v>
      </c>
      <c r="E513" s="231">
        <f t="shared" si="274"/>
        <v>300</v>
      </c>
      <c r="F513" s="231">
        <f t="shared" si="274"/>
        <v>0</v>
      </c>
      <c r="G513" s="231">
        <f t="shared" si="274"/>
        <v>0</v>
      </c>
      <c r="H513" s="231">
        <f t="shared" si="274"/>
        <v>0</v>
      </c>
      <c r="I513" s="231">
        <f t="shared" si="274"/>
        <v>0</v>
      </c>
      <c r="J513" s="231">
        <f t="shared" si="274"/>
        <v>76331</v>
      </c>
      <c r="K513" s="231">
        <f t="shared" si="274"/>
        <v>0</v>
      </c>
      <c r="L513" s="231">
        <f t="shared" si="274"/>
        <v>76331</v>
      </c>
      <c r="M513" s="231">
        <f t="shared" si="274"/>
        <v>914279</v>
      </c>
      <c r="N513" s="231">
        <f t="shared" si="274"/>
        <v>0</v>
      </c>
      <c r="O513" s="231">
        <f t="shared" si="274"/>
        <v>990610</v>
      </c>
    </row>
    <row r="514" spans="1:15" ht="16.5" thickTop="1" x14ac:dyDescent="0.25"/>
    <row r="516" spans="1:15" x14ac:dyDescent="0.25">
      <c r="C516" s="1104">
        <f t="shared" ref="C516:O516" si="275">SUM(C510-C480)</f>
        <v>188419</v>
      </c>
      <c r="D516" s="1104">
        <f t="shared" si="275"/>
        <v>0</v>
      </c>
      <c r="E516" s="1104">
        <f t="shared" si="275"/>
        <v>0</v>
      </c>
      <c r="F516" s="1104">
        <f t="shared" si="275"/>
        <v>11789</v>
      </c>
      <c r="G516" s="1104">
        <f t="shared" si="275"/>
        <v>0</v>
      </c>
      <c r="H516" s="1104">
        <f t="shared" si="275"/>
        <v>588</v>
      </c>
      <c r="I516" s="1104">
        <f t="shared" si="275"/>
        <v>0</v>
      </c>
      <c r="J516" s="1104">
        <f t="shared" si="275"/>
        <v>200796</v>
      </c>
      <c r="K516" s="1104">
        <f t="shared" si="275"/>
        <v>0</v>
      </c>
      <c r="L516" s="1104">
        <f t="shared" si="275"/>
        <v>200796</v>
      </c>
      <c r="M516" s="1104">
        <f t="shared" si="275"/>
        <v>152861</v>
      </c>
      <c r="N516" s="1104">
        <f t="shared" si="275"/>
        <v>0</v>
      </c>
      <c r="O516" s="1104">
        <f t="shared" si="275"/>
        <v>353657</v>
      </c>
    </row>
    <row r="518" spans="1:15" x14ac:dyDescent="0.25">
      <c r="B518" s="254" t="s">
        <v>1054</v>
      </c>
      <c r="C518" s="1104">
        <f t="shared" ref="C518:O521" si="276">+C510</f>
        <v>1396396</v>
      </c>
      <c r="D518" s="1104">
        <f t="shared" si="276"/>
        <v>0</v>
      </c>
      <c r="E518" s="1104">
        <f t="shared" si="276"/>
        <v>300</v>
      </c>
      <c r="F518" s="1104">
        <f t="shared" si="276"/>
        <v>1470745</v>
      </c>
      <c r="G518" s="1104">
        <f t="shared" si="276"/>
        <v>0</v>
      </c>
      <c r="H518" s="1104">
        <f t="shared" si="276"/>
        <v>1780</v>
      </c>
      <c r="I518" s="1104">
        <f t="shared" si="276"/>
        <v>0</v>
      </c>
      <c r="J518" s="1104">
        <f t="shared" si="276"/>
        <v>2869221</v>
      </c>
      <c r="K518" s="1104">
        <f t="shared" si="276"/>
        <v>0</v>
      </c>
      <c r="L518" s="1104">
        <f t="shared" si="276"/>
        <v>2869221</v>
      </c>
      <c r="M518" s="1104">
        <f t="shared" si="276"/>
        <v>11867289</v>
      </c>
      <c r="N518" s="1104">
        <f t="shared" si="276"/>
        <v>765684</v>
      </c>
      <c r="O518" s="1104">
        <f t="shared" si="276"/>
        <v>15502194</v>
      </c>
    </row>
    <row r="519" spans="1:15" x14ac:dyDescent="0.25">
      <c r="B519" s="254" t="s">
        <v>1055</v>
      </c>
      <c r="C519" s="1104">
        <f>+C511</f>
        <v>819345</v>
      </c>
      <c r="D519" s="1104">
        <f>+D511</f>
        <v>0</v>
      </c>
      <c r="F519" s="1104">
        <f>+F511</f>
        <v>1116189</v>
      </c>
      <c r="G519" s="1104">
        <f t="shared" si="276"/>
        <v>0</v>
      </c>
      <c r="H519" s="1104">
        <f t="shared" si="276"/>
        <v>300</v>
      </c>
      <c r="I519" s="1104">
        <f t="shared" si="276"/>
        <v>0</v>
      </c>
      <c r="J519" s="1104">
        <f t="shared" si="276"/>
        <v>1935834</v>
      </c>
      <c r="K519" s="1104">
        <f t="shared" si="276"/>
        <v>0</v>
      </c>
      <c r="L519" s="1104">
        <f t="shared" si="276"/>
        <v>1935834</v>
      </c>
      <c r="M519" s="1104">
        <f t="shared" si="276"/>
        <v>8804754</v>
      </c>
      <c r="N519" s="1104">
        <f t="shared" si="276"/>
        <v>725925</v>
      </c>
      <c r="O519" s="1104">
        <f t="shared" si="276"/>
        <v>11466513</v>
      </c>
    </row>
    <row r="520" spans="1:15" x14ac:dyDescent="0.25">
      <c r="B520" s="254" t="s">
        <v>1037</v>
      </c>
      <c r="C520" s="1104">
        <f>+C512</f>
        <v>501020</v>
      </c>
      <c r="F520" s="1104">
        <f>+F512</f>
        <v>354556</v>
      </c>
      <c r="G520" s="1104">
        <f t="shared" si="276"/>
        <v>0</v>
      </c>
      <c r="H520" s="1104">
        <f>+H512</f>
        <v>1480</v>
      </c>
      <c r="I520" s="1104">
        <f>+I512-0</f>
        <v>0</v>
      </c>
      <c r="J520" s="1104">
        <f>+J512</f>
        <v>857056</v>
      </c>
      <c r="L520" s="1104">
        <f>+L512</f>
        <v>857056</v>
      </c>
      <c r="M520" s="1104">
        <f>+M512</f>
        <v>2148256</v>
      </c>
      <c r="N520" s="1104">
        <f>+N512</f>
        <v>39759</v>
      </c>
      <c r="O520" s="1104">
        <f>+O512</f>
        <v>3045071</v>
      </c>
    </row>
    <row r="521" spans="1:15" x14ac:dyDescent="0.25">
      <c r="B521" s="254" t="s">
        <v>1052</v>
      </c>
      <c r="C521" s="1104">
        <f>+C513</f>
        <v>76031</v>
      </c>
      <c r="E521" s="1104">
        <f>+E513</f>
        <v>300</v>
      </c>
      <c r="F521" s="1104">
        <f>+F513</f>
        <v>0</v>
      </c>
      <c r="G521" s="1104">
        <f t="shared" si="276"/>
        <v>0</v>
      </c>
      <c r="H521" s="1104">
        <f>+H513-0</f>
        <v>0</v>
      </c>
      <c r="J521" s="1104">
        <f>+J513</f>
        <v>76331</v>
      </c>
      <c r="L521" s="1104">
        <f>+L513</f>
        <v>76331</v>
      </c>
      <c r="M521" s="1104">
        <f>+M513</f>
        <v>914279</v>
      </c>
      <c r="O521" s="1104">
        <f>+O513</f>
        <v>990610</v>
      </c>
    </row>
    <row r="523" spans="1:15" x14ac:dyDescent="0.25">
      <c r="B523" s="254" t="s">
        <v>1056</v>
      </c>
    </row>
    <row r="524" spans="1:15" x14ac:dyDescent="0.25">
      <c r="B524" s="254" t="s">
        <v>1054</v>
      </c>
      <c r="C524" s="1104">
        <f t="shared" ref="C524:O524" si="277">+C516</f>
        <v>188419</v>
      </c>
      <c r="D524" s="1104">
        <f t="shared" si="277"/>
        <v>0</v>
      </c>
      <c r="E524" s="1104">
        <f t="shared" si="277"/>
        <v>0</v>
      </c>
      <c r="F524" s="1104">
        <f t="shared" si="277"/>
        <v>11789</v>
      </c>
      <c r="G524" s="1104">
        <f t="shared" si="277"/>
        <v>0</v>
      </c>
      <c r="H524" s="1104">
        <f t="shared" si="277"/>
        <v>588</v>
      </c>
      <c r="I524" s="1104">
        <f t="shared" si="277"/>
        <v>0</v>
      </c>
      <c r="J524" s="1104">
        <f t="shared" si="277"/>
        <v>200796</v>
      </c>
      <c r="K524" s="1104">
        <f t="shared" si="277"/>
        <v>0</v>
      </c>
      <c r="L524" s="1104">
        <f t="shared" si="277"/>
        <v>200796</v>
      </c>
      <c r="M524" s="1104">
        <f t="shared" si="277"/>
        <v>152861</v>
      </c>
      <c r="N524" s="1104">
        <f t="shared" si="277"/>
        <v>0</v>
      </c>
      <c r="O524" s="1104">
        <f t="shared" si="277"/>
        <v>353657</v>
      </c>
    </row>
    <row r="525" spans="1:15" x14ac:dyDescent="0.25">
      <c r="B525" s="254" t="s">
        <v>1055</v>
      </c>
      <c r="C525" s="1104">
        <f>C482+C483+C484+C485+C486+C487+C488+C489+C490+C491+C492+C493+C494+C495</f>
        <v>55310</v>
      </c>
      <c r="D525" s="1104">
        <f t="shared" ref="D525:O525" si="278">D482+D483+D484+D485+D486+D487+D488+D489+D490+D491+D492+D493+D494+D495</f>
        <v>0</v>
      </c>
      <c r="E525" s="1104">
        <f t="shared" si="278"/>
        <v>0</v>
      </c>
      <c r="F525" s="1104">
        <f t="shared" si="278"/>
        <v>11789</v>
      </c>
      <c r="G525" s="1104">
        <f t="shared" si="278"/>
        <v>0</v>
      </c>
      <c r="H525" s="1104">
        <f t="shared" si="278"/>
        <v>0</v>
      </c>
      <c r="I525" s="1104">
        <f t="shared" si="278"/>
        <v>0</v>
      </c>
      <c r="J525" s="1104">
        <f t="shared" si="278"/>
        <v>67099</v>
      </c>
      <c r="K525" s="1104">
        <f t="shared" si="278"/>
        <v>0</v>
      </c>
      <c r="L525" s="1104">
        <f t="shared" si="278"/>
        <v>67099</v>
      </c>
      <c r="M525" s="1104">
        <f t="shared" si="278"/>
        <v>133760</v>
      </c>
      <c r="N525" s="1104">
        <f t="shared" si="278"/>
        <v>0</v>
      </c>
      <c r="O525" s="1104">
        <f t="shared" si="278"/>
        <v>200859</v>
      </c>
    </row>
    <row r="526" spans="1:15" x14ac:dyDescent="0.25">
      <c r="B526" s="254" t="s">
        <v>1037</v>
      </c>
      <c r="C526" s="1104">
        <f>C497+C498+C499+C500+C501+C502+C503+C504+C505+C506+C507+C508</f>
        <v>133109</v>
      </c>
      <c r="D526" s="1104">
        <f t="shared" ref="D526:O526" si="279">D497+D498+D499+D500+D501+D502+D503+D504+D505+D506+D507+D508</f>
        <v>0</v>
      </c>
      <c r="E526" s="1104">
        <f t="shared" si="279"/>
        <v>0</v>
      </c>
      <c r="F526" s="1104">
        <f t="shared" si="279"/>
        <v>0</v>
      </c>
      <c r="G526" s="1104">
        <f t="shared" si="279"/>
        <v>0</v>
      </c>
      <c r="H526" s="1104">
        <f t="shared" si="279"/>
        <v>588</v>
      </c>
      <c r="I526" s="1104">
        <f t="shared" si="279"/>
        <v>0</v>
      </c>
      <c r="J526" s="1104">
        <f t="shared" si="279"/>
        <v>133697</v>
      </c>
      <c r="K526" s="1104">
        <f t="shared" si="279"/>
        <v>0</v>
      </c>
      <c r="L526" s="1104">
        <f t="shared" si="279"/>
        <v>133697</v>
      </c>
      <c r="M526" s="1104">
        <f t="shared" si="279"/>
        <v>19101</v>
      </c>
      <c r="N526" s="1104">
        <f t="shared" si="279"/>
        <v>0</v>
      </c>
      <c r="O526" s="1104">
        <f t="shared" si="279"/>
        <v>152798</v>
      </c>
    </row>
    <row r="527" spans="1:15" x14ac:dyDescent="0.25">
      <c r="B527" s="254" t="s">
        <v>1052</v>
      </c>
    </row>
    <row r="529" spans="2:15" x14ac:dyDescent="0.25">
      <c r="B529" s="254" t="s">
        <v>1057</v>
      </c>
      <c r="C529" s="1104">
        <f>C527+C526+C525</f>
        <v>188419</v>
      </c>
      <c r="D529" s="1104">
        <f t="shared" ref="D529:O529" si="280">D527+D526+D525</f>
        <v>0</v>
      </c>
      <c r="E529" s="1104">
        <f t="shared" si="280"/>
        <v>0</v>
      </c>
      <c r="F529" s="1104">
        <f t="shared" si="280"/>
        <v>11789</v>
      </c>
      <c r="G529" s="1104">
        <f t="shared" si="280"/>
        <v>0</v>
      </c>
      <c r="H529" s="1104">
        <f t="shared" si="280"/>
        <v>588</v>
      </c>
      <c r="I529" s="1104">
        <f t="shared" si="280"/>
        <v>0</v>
      </c>
      <c r="J529" s="1104">
        <f t="shared" si="280"/>
        <v>200796</v>
      </c>
      <c r="K529" s="1104">
        <f t="shared" si="280"/>
        <v>0</v>
      </c>
      <c r="L529" s="1104">
        <f t="shared" si="280"/>
        <v>200796</v>
      </c>
      <c r="M529" s="1104">
        <f t="shared" si="280"/>
        <v>152861</v>
      </c>
      <c r="N529" s="1104">
        <f t="shared" si="280"/>
        <v>0</v>
      </c>
      <c r="O529" s="1104">
        <f t="shared" si="280"/>
        <v>353657</v>
      </c>
    </row>
  </sheetData>
  <mergeCells count="18">
    <mergeCell ref="M5:N5"/>
    <mergeCell ref="M6:N6"/>
    <mergeCell ref="I3:I4"/>
    <mergeCell ref="J3:J4"/>
    <mergeCell ref="K3:K4"/>
    <mergeCell ref="L3:L4"/>
    <mergeCell ref="M3:N3"/>
    <mergeCell ref="O3:O4"/>
    <mergeCell ref="A1:O1"/>
    <mergeCell ref="A2:O2"/>
    <mergeCell ref="A3:A5"/>
    <mergeCell ref="B3:B4"/>
    <mergeCell ref="C3:C4"/>
    <mergeCell ref="D3:D4"/>
    <mergeCell ref="E3:E4"/>
    <mergeCell ref="F3:F4"/>
    <mergeCell ref="G3:G4"/>
    <mergeCell ref="H3:H4"/>
  </mergeCells>
  <pageMargins left="0.70866141732283472" right="0.70866141732283472" top="0.74803149606299213" bottom="0.74803149606299213" header="0.31496062992125984" footer="0.31496062992125984"/>
  <pageSetup paperSize="8" scale="70" orientation="landscape" r:id="rId1"/>
  <headerFooter>
    <oddHeader>&amp;R7. melléklet
az 5/2019.(II.15.) önkormányzati rendelethez&amp;X6</oddHeader>
    <oddFooter>&amp;L&amp;X6&amp;X Módosította a  28/2019.(XII.13.) önkormányzati rendelet 8.§ (6) bekezdése, hatályos 2019. december 16-tól.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66E34-C275-4CBC-9FCA-BBC1ABA0AA9C}">
  <sheetPr>
    <tabColor theme="7" tint="0.39997558519241921"/>
  </sheetPr>
  <dimension ref="A1:P559"/>
  <sheetViews>
    <sheetView view="pageBreakPreview" topLeftCell="A532" zoomScale="80" zoomScaleNormal="77" zoomScaleSheetLayoutView="80" workbookViewId="0">
      <selection activeCell="L136" sqref="L136"/>
    </sheetView>
  </sheetViews>
  <sheetFormatPr defaultRowHeight="15.75" x14ac:dyDescent="0.25"/>
  <cols>
    <col min="1" max="1" width="3.625" style="147" customWidth="1"/>
    <col min="2" max="2" width="36.75" style="147" customWidth="1"/>
    <col min="3" max="3" width="10.875" style="147" customWidth="1"/>
    <col min="4" max="4" width="15.625" style="147" customWidth="1"/>
    <col min="5" max="5" width="12.125" style="147" customWidth="1"/>
    <col min="6" max="6" width="11" style="147" customWidth="1"/>
    <col min="7" max="7" width="10.875" style="147" customWidth="1"/>
    <col min="8" max="8" width="11.125" style="147" customWidth="1"/>
    <col min="9" max="9" width="12.5" style="147" customWidth="1"/>
    <col min="10" max="10" width="11.5" style="147" customWidth="1"/>
    <col min="11" max="11" width="13.25" style="147" customWidth="1"/>
    <col min="12" max="12" width="13.125" style="147" customWidth="1"/>
    <col min="13" max="13" width="12.625" style="147" customWidth="1"/>
    <col min="14" max="14" width="14" style="147" customWidth="1"/>
    <col min="15" max="15" width="12.75" style="147" customWidth="1"/>
    <col min="16" max="16" width="16.375" style="147" customWidth="1"/>
    <col min="17" max="16384" width="9" style="147"/>
  </cols>
  <sheetData>
    <row r="1" spans="1:15" x14ac:dyDescent="0.25">
      <c r="A1" s="1056" t="s">
        <v>1058</v>
      </c>
      <c r="B1" s="1056"/>
      <c r="C1" s="1056"/>
      <c r="D1" s="1056"/>
      <c r="E1" s="1056"/>
      <c r="F1" s="1056"/>
      <c r="G1" s="1056"/>
      <c r="H1" s="1056"/>
      <c r="I1" s="1056"/>
      <c r="J1" s="1056"/>
      <c r="K1" s="1056"/>
      <c r="L1" s="1056"/>
      <c r="M1" s="1056"/>
      <c r="N1" s="1056"/>
      <c r="O1" s="1056"/>
    </row>
    <row r="2" spans="1:15" x14ac:dyDescent="0.25">
      <c r="A2" s="1056" t="s">
        <v>1228</v>
      </c>
      <c r="B2" s="1056"/>
      <c r="C2" s="1056"/>
      <c r="D2" s="1056"/>
      <c r="E2" s="1056"/>
      <c r="F2" s="1056"/>
      <c r="G2" s="1056"/>
      <c r="H2" s="1056"/>
      <c r="I2" s="1056"/>
      <c r="J2" s="1056"/>
      <c r="K2" s="1056"/>
      <c r="L2" s="1056"/>
      <c r="M2" s="1056"/>
      <c r="N2" s="1056"/>
      <c r="O2" s="1056"/>
    </row>
    <row r="3" spans="1:15" ht="30.75" customHeight="1" thickBot="1" x14ac:dyDescent="0.3"/>
    <row r="4" spans="1:15" ht="80.25" customHeight="1" thickTop="1" thickBot="1" x14ac:dyDescent="0.3">
      <c r="A4" s="255" t="s">
        <v>382</v>
      </c>
      <c r="B4" s="98" t="s">
        <v>851</v>
      </c>
      <c r="C4" s="219" t="s">
        <v>852</v>
      </c>
      <c r="D4" s="99" t="s">
        <v>35</v>
      </c>
      <c r="E4" s="99" t="s">
        <v>82</v>
      </c>
      <c r="F4" s="218" t="s">
        <v>648</v>
      </c>
      <c r="G4" s="99" t="s">
        <v>1059</v>
      </c>
      <c r="H4" s="99" t="s">
        <v>574</v>
      </c>
      <c r="I4" s="256" t="s">
        <v>77</v>
      </c>
      <c r="J4" s="100" t="s">
        <v>86</v>
      </c>
      <c r="K4" s="218" t="s">
        <v>383</v>
      </c>
      <c r="L4" s="99" t="s">
        <v>1060</v>
      </c>
      <c r="M4" s="99" t="s">
        <v>384</v>
      </c>
      <c r="N4" s="99" t="s">
        <v>385</v>
      </c>
      <c r="O4" s="99" t="s">
        <v>386</v>
      </c>
    </row>
    <row r="5" spans="1:15" ht="17.25" thickTop="1" thickBot="1" x14ac:dyDescent="0.3">
      <c r="A5" s="255"/>
      <c r="B5" s="98"/>
      <c r="C5" s="219" t="s">
        <v>231</v>
      </c>
      <c r="D5" s="99" t="s">
        <v>232</v>
      </c>
      <c r="E5" s="99" t="s">
        <v>233</v>
      </c>
      <c r="F5" s="218" t="s">
        <v>234</v>
      </c>
      <c r="G5" s="99" t="s">
        <v>387</v>
      </c>
      <c r="H5" s="99" t="s">
        <v>1061</v>
      </c>
      <c r="I5" s="256" t="s">
        <v>235</v>
      </c>
      <c r="J5" s="100" t="s">
        <v>236</v>
      </c>
      <c r="K5" s="218" t="s">
        <v>237</v>
      </c>
      <c r="L5" s="99" t="s">
        <v>1062</v>
      </c>
      <c r="M5" s="99" t="s">
        <v>443</v>
      </c>
      <c r="N5" s="99" t="s">
        <v>317</v>
      </c>
      <c r="O5" s="99" t="s">
        <v>1063</v>
      </c>
    </row>
    <row r="6" spans="1:15" s="263" customFormat="1" ht="14.25" thickTop="1" thickBot="1" x14ac:dyDescent="0.25">
      <c r="A6" s="257" t="s">
        <v>168</v>
      </c>
      <c r="B6" s="258" t="s">
        <v>169</v>
      </c>
      <c r="C6" s="259" t="s">
        <v>206</v>
      </c>
      <c r="D6" s="259" t="s">
        <v>171</v>
      </c>
      <c r="E6" s="259" t="s">
        <v>172</v>
      </c>
      <c r="F6" s="260" t="s">
        <v>173</v>
      </c>
      <c r="G6" s="259" t="s">
        <v>388</v>
      </c>
      <c r="H6" s="261" t="s">
        <v>1064</v>
      </c>
      <c r="I6" s="262" t="s">
        <v>38</v>
      </c>
      <c r="J6" s="259" t="s">
        <v>39</v>
      </c>
      <c r="K6" s="260" t="s">
        <v>389</v>
      </c>
      <c r="L6" s="259" t="s">
        <v>390</v>
      </c>
      <c r="M6" s="259" t="s">
        <v>391</v>
      </c>
      <c r="N6" s="259" t="s">
        <v>43</v>
      </c>
      <c r="O6" s="259" t="s">
        <v>392</v>
      </c>
    </row>
    <row r="7" spans="1:15" ht="16.5" thickTop="1" x14ac:dyDescent="0.25">
      <c r="A7" s="264" t="s">
        <v>221</v>
      </c>
      <c r="B7" s="597" t="s">
        <v>393</v>
      </c>
      <c r="C7" s="607"/>
      <c r="D7" s="608"/>
      <c r="E7" s="608"/>
      <c r="F7" s="609"/>
      <c r="G7" s="608"/>
      <c r="H7" s="610"/>
      <c r="I7" s="611"/>
      <c r="J7" s="609"/>
      <c r="K7" s="609"/>
      <c r="L7" s="610"/>
      <c r="M7" s="612"/>
      <c r="N7" s="612"/>
      <c r="O7" s="612"/>
    </row>
    <row r="8" spans="1:15" x14ac:dyDescent="0.25">
      <c r="A8" s="264"/>
      <c r="B8" s="592" t="s">
        <v>998</v>
      </c>
      <c r="C8" s="607">
        <f>SUM(C9:C10)</f>
        <v>555786</v>
      </c>
      <c r="D8" s="607">
        <f t="shared" ref="D8:E8" si="0">SUM(D9:D10)</f>
        <v>116401</v>
      </c>
      <c r="E8" s="607">
        <f t="shared" si="0"/>
        <v>210243</v>
      </c>
      <c r="F8" s="609"/>
      <c r="G8" s="608"/>
      <c r="H8" s="610">
        <f>SUM(C8:G8)</f>
        <v>882430</v>
      </c>
      <c r="I8" s="611">
        <v>5040</v>
      </c>
      <c r="J8" s="609"/>
      <c r="K8" s="609"/>
      <c r="L8" s="610">
        <f>SUM(I8:K8)</f>
        <v>5040</v>
      </c>
      <c r="M8" s="612">
        <f>SUM(H8+L8)</f>
        <v>887470</v>
      </c>
      <c r="N8" s="612"/>
      <c r="O8" s="612">
        <f>SUM(M8+N8)</f>
        <v>887470</v>
      </c>
    </row>
    <row r="9" spans="1:15" s="274" customFormat="1" x14ac:dyDescent="0.25">
      <c r="A9" s="265"/>
      <c r="B9" s="266" t="s">
        <v>1033</v>
      </c>
      <c r="C9" s="267">
        <v>432937</v>
      </c>
      <c r="D9" s="268">
        <v>89760</v>
      </c>
      <c r="E9" s="268">
        <v>149690</v>
      </c>
      <c r="F9" s="269"/>
      <c r="G9" s="268"/>
      <c r="H9" s="270">
        <f>SUM(C9:G9)</f>
        <v>672387</v>
      </c>
      <c r="I9" s="271">
        <v>5040</v>
      </c>
      <c r="J9" s="272"/>
      <c r="K9" s="272"/>
      <c r="L9" s="270">
        <f>SUM(I9:K9)</f>
        <v>5040</v>
      </c>
      <c r="M9" s="273">
        <f>SUM(H9+L9)</f>
        <v>677427</v>
      </c>
      <c r="N9" s="273"/>
      <c r="O9" s="273">
        <f>SUM(M9+N9)</f>
        <v>677427</v>
      </c>
    </row>
    <row r="10" spans="1:15" x14ac:dyDescent="0.25">
      <c r="A10" s="264"/>
      <c r="B10" s="266" t="s">
        <v>1034</v>
      </c>
      <c r="C10" s="267">
        <v>122849</v>
      </c>
      <c r="D10" s="268">
        <v>26641</v>
      </c>
      <c r="E10" s="268">
        <v>60553</v>
      </c>
      <c r="F10" s="609"/>
      <c r="G10" s="608"/>
      <c r="H10" s="270">
        <f>SUM(C10:G10)</f>
        <v>210043</v>
      </c>
      <c r="I10" s="611"/>
      <c r="J10" s="609"/>
      <c r="K10" s="609"/>
      <c r="L10" s="610">
        <f>SUM(I10:K10)</f>
        <v>0</v>
      </c>
      <c r="M10" s="273">
        <f>SUM(H10+L10)</f>
        <v>210043</v>
      </c>
      <c r="N10" s="273"/>
      <c r="O10" s="273">
        <f>SUM(M10+N10)</f>
        <v>210043</v>
      </c>
    </row>
    <row r="11" spans="1:15" s="274" customFormat="1" x14ac:dyDescent="0.25">
      <c r="A11" s="265"/>
      <c r="B11" s="266" t="s">
        <v>160</v>
      </c>
      <c r="C11" s="267"/>
      <c r="D11" s="268"/>
      <c r="E11" s="268"/>
      <c r="F11" s="269"/>
      <c r="G11" s="268"/>
      <c r="H11" s="610"/>
      <c r="I11" s="271"/>
      <c r="J11" s="272"/>
      <c r="K11" s="272"/>
      <c r="L11" s="610">
        <f t="shared" ref="L11:L17" si="1">SUM(I11:K11)</f>
        <v>0</v>
      </c>
      <c r="M11" s="612">
        <f t="shared" ref="M11:M17" si="2">SUM(H11+L11)</f>
        <v>0</v>
      </c>
      <c r="N11" s="273"/>
      <c r="O11" s="612">
        <f t="shared" ref="O11:O17" si="3">SUM(M11+N11)</f>
        <v>0</v>
      </c>
    </row>
    <row r="12" spans="1:15" x14ac:dyDescent="0.25">
      <c r="A12" s="264"/>
      <c r="B12" s="592" t="s">
        <v>1229</v>
      </c>
      <c r="C12" s="607">
        <v>1297</v>
      </c>
      <c r="D12" s="608">
        <v>227</v>
      </c>
      <c r="E12" s="608"/>
      <c r="F12" s="609"/>
      <c r="G12" s="608"/>
      <c r="H12" s="610">
        <f t="shared" ref="H12:H17" si="4">SUM(C12:G12)</f>
        <v>1524</v>
      </c>
      <c r="I12" s="611"/>
      <c r="J12" s="609"/>
      <c r="K12" s="609"/>
      <c r="L12" s="610">
        <f t="shared" si="1"/>
        <v>0</v>
      </c>
      <c r="M12" s="612">
        <f t="shared" si="2"/>
        <v>1524</v>
      </c>
      <c r="N12" s="612"/>
      <c r="O12" s="612">
        <f t="shared" si="3"/>
        <v>1524</v>
      </c>
    </row>
    <row r="13" spans="1:15" ht="47.25" x14ac:dyDescent="0.25">
      <c r="A13" s="264"/>
      <c r="B13" s="592" t="s">
        <v>1276</v>
      </c>
      <c r="C13" s="607">
        <v>1759</v>
      </c>
      <c r="D13" s="608">
        <v>309</v>
      </c>
      <c r="E13" s="608"/>
      <c r="F13" s="609"/>
      <c r="G13" s="608"/>
      <c r="H13" s="610">
        <f t="shared" si="4"/>
        <v>2068</v>
      </c>
      <c r="I13" s="613"/>
      <c r="J13" s="614"/>
      <c r="K13" s="614"/>
      <c r="L13" s="610">
        <f t="shared" si="1"/>
        <v>0</v>
      </c>
      <c r="M13" s="612">
        <f t="shared" si="2"/>
        <v>2068</v>
      </c>
      <c r="N13" s="612"/>
      <c r="O13" s="612">
        <f t="shared" si="3"/>
        <v>2068</v>
      </c>
    </row>
    <row r="14" spans="1:15" ht="31.5" x14ac:dyDescent="0.25">
      <c r="A14" s="264"/>
      <c r="B14" s="592" t="s">
        <v>1153</v>
      </c>
      <c r="C14" s="607">
        <v>18105</v>
      </c>
      <c r="D14" s="608">
        <v>3168</v>
      </c>
      <c r="E14" s="608">
        <v>9438</v>
      </c>
      <c r="F14" s="609"/>
      <c r="G14" s="608"/>
      <c r="H14" s="610">
        <f t="shared" si="4"/>
        <v>30711</v>
      </c>
      <c r="I14" s="613">
        <v>13043</v>
      </c>
      <c r="J14" s="614"/>
      <c r="K14" s="614"/>
      <c r="L14" s="610">
        <f t="shared" si="1"/>
        <v>13043</v>
      </c>
      <c r="M14" s="612">
        <f t="shared" si="2"/>
        <v>43754</v>
      </c>
      <c r="N14" s="612"/>
      <c r="O14" s="612">
        <f t="shared" si="3"/>
        <v>43754</v>
      </c>
    </row>
    <row r="15" spans="1:15" s="274" customFormat="1" x14ac:dyDescent="0.25">
      <c r="A15" s="265"/>
      <c r="B15" s="266" t="s">
        <v>161</v>
      </c>
      <c r="C15" s="267"/>
      <c r="D15" s="268"/>
      <c r="E15" s="268"/>
      <c r="F15" s="269"/>
      <c r="G15" s="268"/>
      <c r="H15" s="610"/>
      <c r="I15" s="271"/>
      <c r="J15" s="272"/>
      <c r="K15" s="272"/>
      <c r="L15" s="610">
        <f t="shared" si="1"/>
        <v>0</v>
      </c>
      <c r="M15" s="612">
        <f t="shared" si="2"/>
        <v>0</v>
      </c>
      <c r="N15" s="273"/>
      <c r="O15" s="612">
        <f t="shared" si="3"/>
        <v>0</v>
      </c>
    </row>
    <row r="16" spans="1:15" x14ac:dyDescent="0.25">
      <c r="A16" s="264"/>
      <c r="B16" s="592" t="s">
        <v>1231</v>
      </c>
      <c r="C16" s="607">
        <v>3043</v>
      </c>
      <c r="D16" s="608">
        <v>989</v>
      </c>
      <c r="E16" s="608"/>
      <c r="F16" s="609"/>
      <c r="G16" s="608"/>
      <c r="H16" s="610">
        <f t="shared" si="4"/>
        <v>4032</v>
      </c>
      <c r="I16" s="613"/>
      <c r="J16" s="614"/>
      <c r="K16" s="614"/>
      <c r="L16" s="610">
        <f t="shared" si="1"/>
        <v>0</v>
      </c>
      <c r="M16" s="612">
        <f t="shared" si="2"/>
        <v>4032</v>
      </c>
      <c r="N16" s="612"/>
      <c r="O16" s="612">
        <f t="shared" si="3"/>
        <v>4032</v>
      </c>
    </row>
    <row r="17" spans="1:16" ht="32.25" thickBot="1" x14ac:dyDescent="0.3">
      <c r="A17" s="264"/>
      <c r="B17" s="592" t="s">
        <v>1277</v>
      </c>
      <c r="C17" s="607">
        <v>135</v>
      </c>
      <c r="D17" s="608">
        <v>24</v>
      </c>
      <c r="E17" s="608"/>
      <c r="F17" s="609"/>
      <c r="G17" s="608"/>
      <c r="H17" s="610">
        <f t="shared" si="4"/>
        <v>159</v>
      </c>
      <c r="I17" s="613"/>
      <c r="J17" s="614"/>
      <c r="K17" s="614"/>
      <c r="L17" s="610">
        <f t="shared" si="1"/>
        <v>0</v>
      </c>
      <c r="M17" s="612">
        <f t="shared" si="2"/>
        <v>159</v>
      </c>
      <c r="N17" s="612"/>
      <c r="O17" s="612">
        <f t="shared" si="3"/>
        <v>159</v>
      </c>
    </row>
    <row r="18" spans="1:16" ht="17.25" thickTop="1" thickBot="1" x14ac:dyDescent="0.3">
      <c r="A18" s="275"/>
      <c r="B18" s="101" t="s">
        <v>1035</v>
      </c>
      <c r="C18" s="102">
        <f>+C8+C12+C16+C13+C14+C17</f>
        <v>580125</v>
      </c>
      <c r="D18" s="102">
        <f t="shared" ref="D18:O18" si="5">+D8+D12+D16+D13+D14+D17</f>
        <v>121118</v>
      </c>
      <c r="E18" s="102">
        <f t="shared" si="5"/>
        <v>219681</v>
      </c>
      <c r="F18" s="102">
        <f t="shared" si="5"/>
        <v>0</v>
      </c>
      <c r="G18" s="102">
        <f t="shared" si="5"/>
        <v>0</v>
      </c>
      <c r="H18" s="102">
        <f t="shared" si="5"/>
        <v>920924</v>
      </c>
      <c r="I18" s="102">
        <f t="shared" si="5"/>
        <v>18083</v>
      </c>
      <c r="J18" s="102">
        <f t="shared" si="5"/>
        <v>0</v>
      </c>
      <c r="K18" s="102">
        <f t="shared" si="5"/>
        <v>0</v>
      </c>
      <c r="L18" s="102">
        <f t="shared" si="5"/>
        <v>18083</v>
      </c>
      <c r="M18" s="102">
        <f t="shared" si="5"/>
        <v>939007</v>
      </c>
      <c r="N18" s="102">
        <f t="shared" si="5"/>
        <v>0</v>
      </c>
      <c r="O18" s="102">
        <f t="shared" si="5"/>
        <v>939007</v>
      </c>
      <c r="P18" s="254">
        <f>+O19+O20</f>
        <v>939007</v>
      </c>
    </row>
    <row r="19" spans="1:16" ht="17.25" thickTop="1" thickBot="1" x14ac:dyDescent="0.3">
      <c r="A19" s="275"/>
      <c r="B19" s="101" t="s">
        <v>1036</v>
      </c>
      <c r="C19" s="102">
        <f t="shared" ref="C19:O19" si="6">+C9+C12+C13+C14</f>
        <v>454098</v>
      </c>
      <c r="D19" s="102">
        <f t="shared" si="6"/>
        <v>93464</v>
      </c>
      <c r="E19" s="102">
        <f t="shared" si="6"/>
        <v>159128</v>
      </c>
      <c r="F19" s="102">
        <f t="shared" si="6"/>
        <v>0</v>
      </c>
      <c r="G19" s="102">
        <f t="shared" si="6"/>
        <v>0</v>
      </c>
      <c r="H19" s="102">
        <f t="shared" si="6"/>
        <v>706690</v>
      </c>
      <c r="I19" s="102">
        <f t="shared" si="6"/>
        <v>18083</v>
      </c>
      <c r="J19" s="102">
        <f t="shared" si="6"/>
        <v>0</v>
      </c>
      <c r="K19" s="102">
        <f t="shared" si="6"/>
        <v>0</v>
      </c>
      <c r="L19" s="102">
        <f t="shared" si="6"/>
        <v>18083</v>
      </c>
      <c r="M19" s="102">
        <f t="shared" si="6"/>
        <v>724773</v>
      </c>
      <c r="N19" s="102">
        <f t="shared" si="6"/>
        <v>0</v>
      </c>
      <c r="O19" s="102">
        <f t="shared" si="6"/>
        <v>724773</v>
      </c>
      <c r="P19" s="254"/>
    </row>
    <row r="20" spans="1:16" ht="17.25" thickTop="1" thickBot="1" x14ac:dyDescent="0.3">
      <c r="A20" s="275"/>
      <c r="B20" s="101" t="s">
        <v>1037</v>
      </c>
      <c r="C20" s="102">
        <f>+C10+C16+C17</f>
        <v>126027</v>
      </c>
      <c r="D20" s="102">
        <f t="shared" ref="D20:O20" si="7">+D10+D16+D17</f>
        <v>27654</v>
      </c>
      <c r="E20" s="102">
        <f t="shared" si="7"/>
        <v>60553</v>
      </c>
      <c r="F20" s="102">
        <f t="shared" si="7"/>
        <v>0</v>
      </c>
      <c r="G20" s="102">
        <f t="shared" si="7"/>
        <v>0</v>
      </c>
      <c r="H20" s="102">
        <f t="shared" si="7"/>
        <v>214234</v>
      </c>
      <c r="I20" s="102">
        <f t="shared" si="7"/>
        <v>0</v>
      </c>
      <c r="J20" s="102">
        <f t="shared" si="7"/>
        <v>0</v>
      </c>
      <c r="K20" s="102">
        <f t="shared" si="7"/>
        <v>0</v>
      </c>
      <c r="L20" s="102">
        <f t="shared" si="7"/>
        <v>0</v>
      </c>
      <c r="M20" s="102">
        <f t="shared" si="7"/>
        <v>214234</v>
      </c>
      <c r="N20" s="102">
        <f t="shared" si="7"/>
        <v>0</v>
      </c>
      <c r="O20" s="102">
        <f t="shared" si="7"/>
        <v>214234</v>
      </c>
    </row>
    <row r="21" spans="1:16" ht="32.25" thickTop="1" x14ac:dyDescent="0.25">
      <c r="A21" s="264" t="s">
        <v>222</v>
      </c>
      <c r="B21" s="597" t="s">
        <v>394</v>
      </c>
      <c r="C21" s="607"/>
      <c r="D21" s="608"/>
      <c r="E21" s="608"/>
      <c r="F21" s="609"/>
      <c r="G21" s="608"/>
      <c r="H21" s="610"/>
      <c r="I21" s="611"/>
      <c r="J21" s="609"/>
      <c r="K21" s="609"/>
      <c r="L21" s="610"/>
      <c r="M21" s="612"/>
      <c r="N21" s="612"/>
      <c r="O21" s="612"/>
    </row>
    <row r="22" spans="1:16" x14ac:dyDescent="0.25">
      <c r="A22" s="264"/>
      <c r="B22" s="592" t="s">
        <v>998</v>
      </c>
      <c r="C22" s="607">
        <f>SUM(C23:C24)</f>
        <v>91490</v>
      </c>
      <c r="D22" s="607">
        <f t="shared" ref="D22:E22" si="8">SUM(D23:D24)</f>
        <v>17620</v>
      </c>
      <c r="E22" s="607">
        <f t="shared" si="8"/>
        <v>30218</v>
      </c>
      <c r="F22" s="609"/>
      <c r="G22" s="608"/>
      <c r="H22" s="610">
        <f>SUM(C22:G22)</f>
        <v>139328</v>
      </c>
      <c r="I22" s="611">
        <v>207</v>
      </c>
      <c r="J22" s="609"/>
      <c r="K22" s="609"/>
      <c r="L22" s="610">
        <f>SUM(I22:K22)</f>
        <v>207</v>
      </c>
      <c r="M22" s="612">
        <f>SUM(H22+L22)</f>
        <v>139535</v>
      </c>
      <c r="N22" s="612"/>
      <c r="O22" s="612">
        <f>SUM(M22+N22)</f>
        <v>139535</v>
      </c>
    </row>
    <row r="23" spans="1:16" s="274" customFormat="1" x14ac:dyDescent="0.25">
      <c r="A23" s="265"/>
      <c r="B23" s="266" t="s">
        <v>1033</v>
      </c>
      <c r="C23" s="267">
        <v>45307</v>
      </c>
      <c r="D23" s="268">
        <v>8681</v>
      </c>
      <c r="E23" s="268">
        <v>15188</v>
      </c>
      <c r="F23" s="269"/>
      <c r="G23" s="268"/>
      <c r="H23" s="270">
        <f>SUM(C23:G23)</f>
        <v>69176</v>
      </c>
      <c r="I23" s="276">
        <v>207</v>
      </c>
      <c r="J23" s="269"/>
      <c r="K23" s="269"/>
      <c r="L23" s="270">
        <f>SUM(I23:K23)</f>
        <v>207</v>
      </c>
      <c r="M23" s="273">
        <f>SUM(H23+L23)</f>
        <v>69383</v>
      </c>
      <c r="N23" s="273"/>
      <c r="O23" s="273">
        <f>SUM(M23+N23)</f>
        <v>69383</v>
      </c>
    </row>
    <row r="24" spans="1:16" x14ac:dyDescent="0.25">
      <c r="A24" s="264"/>
      <c r="B24" s="266" t="s">
        <v>1034</v>
      </c>
      <c r="C24" s="267">
        <v>46183</v>
      </c>
      <c r="D24" s="268">
        <v>8939</v>
      </c>
      <c r="E24" s="268">
        <v>15030</v>
      </c>
      <c r="F24" s="269"/>
      <c r="G24" s="268"/>
      <c r="H24" s="270">
        <f>SUM(C24:G24)</f>
        <v>70152</v>
      </c>
      <c r="I24" s="276"/>
      <c r="J24" s="269"/>
      <c r="K24" s="269"/>
      <c r="L24" s="270">
        <f>SUM(I24:K24)</f>
        <v>0</v>
      </c>
      <c r="M24" s="273">
        <f>SUM(H24+L24)</f>
        <v>70152</v>
      </c>
      <c r="N24" s="273"/>
      <c r="O24" s="273">
        <f>SUM(M24+N24)</f>
        <v>70152</v>
      </c>
    </row>
    <row r="25" spans="1:16" x14ac:dyDescent="0.25">
      <c r="A25" s="264"/>
      <c r="B25" s="266" t="s">
        <v>160</v>
      </c>
      <c r="C25" s="607"/>
      <c r="D25" s="608"/>
      <c r="E25" s="608"/>
      <c r="F25" s="609"/>
      <c r="G25" s="608"/>
      <c r="H25" s="270"/>
      <c r="I25" s="611"/>
      <c r="J25" s="609"/>
      <c r="K25" s="609"/>
      <c r="L25" s="270"/>
      <c r="M25" s="273"/>
      <c r="N25" s="612"/>
      <c r="O25" s="273"/>
    </row>
    <row r="26" spans="1:16" x14ac:dyDescent="0.25">
      <c r="A26" s="264"/>
      <c r="B26" s="592" t="s">
        <v>1229</v>
      </c>
      <c r="C26" s="607">
        <v>174</v>
      </c>
      <c r="D26" s="608">
        <v>30</v>
      </c>
      <c r="E26" s="608"/>
      <c r="F26" s="609"/>
      <c r="G26" s="608"/>
      <c r="H26" s="277">
        <f t="shared" ref="H26:H32" si="9">SUM(C26:G26)</f>
        <v>204</v>
      </c>
      <c r="I26" s="611"/>
      <c r="J26" s="609"/>
      <c r="K26" s="609"/>
      <c r="L26" s="277">
        <f t="shared" ref="L26:L32" si="10">SUM(I26:K26)</f>
        <v>0</v>
      </c>
      <c r="M26" s="278">
        <f t="shared" ref="M26:M32" si="11">SUM(H26+L26)</f>
        <v>204</v>
      </c>
      <c r="N26" s="612"/>
      <c r="O26" s="278">
        <f t="shared" ref="O26:O32" si="12">SUM(M26+N26)</f>
        <v>204</v>
      </c>
    </row>
    <row r="27" spans="1:16" ht="31.5" x14ac:dyDescent="0.25">
      <c r="A27" s="264"/>
      <c r="B27" s="592" t="s">
        <v>1278</v>
      </c>
      <c r="C27" s="607">
        <v>3015</v>
      </c>
      <c r="D27" s="608">
        <v>528</v>
      </c>
      <c r="E27" s="608"/>
      <c r="F27" s="609"/>
      <c r="G27" s="608"/>
      <c r="H27" s="277">
        <f t="shared" si="9"/>
        <v>3543</v>
      </c>
      <c r="I27" s="611"/>
      <c r="J27" s="609"/>
      <c r="K27" s="609"/>
      <c r="L27" s="277">
        <f t="shared" si="10"/>
        <v>0</v>
      </c>
      <c r="M27" s="278">
        <f t="shared" si="11"/>
        <v>3543</v>
      </c>
      <c r="N27" s="612"/>
      <c r="O27" s="278">
        <f t="shared" si="12"/>
        <v>3543</v>
      </c>
    </row>
    <row r="28" spans="1:16" ht="31.5" x14ac:dyDescent="0.25">
      <c r="A28" s="264"/>
      <c r="B28" s="592" t="s">
        <v>1051</v>
      </c>
      <c r="C28" s="607"/>
      <c r="D28" s="608"/>
      <c r="E28" s="608">
        <v>-426</v>
      </c>
      <c r="F28" s="609"/>
      <c r="G28" s="608"/>
      <c r="H28" s="277">
        <f t="shared" si="9"/>
        <v>-426</v>
      </c>
      <c r="I28" s="611">
        <v>426</v>
      </c>
      <c r="J28" s="609"/>
      <c r="K28" s="609"/>
      <c r="L28" s="277">
        <f t="shared" si="10"/>
        <v>426</v>
      </c>
      <c r="M28" s="278">
        <f t="shared" si="11"/>
        <v>0</v>
      </c>
      <c r="N28" s="612"/>
      <c r="O28" s="278">
        <f t="shared" si="12"/>
        <v>0</v>
      </c>
    </row>
    <row r="29" spans="1:16" x14ac:dyDescent="0.25">
      <c r="A29" s="264"/>
      <c r="B29" s="266" t="s">
        <v>161</v>
      </c>
      <c r="C29" s="607"/>
      <c r="D29" s="608"/>
      <c r="E29" s="608"/>
      <c r="F29" s="609"/>
      <c r="G29" s="608"/>
      <c r="H29" s="270"/>
      <c r="I29" s="611"/>
      <c r="J29" s="609"/>
      <c r="K29" s="609"/>
      <c r="L29" s="277"/>
      <c r="M29" s="278"/>
      <c r="N29" s="612"/>
      <c r="O29" s="278"/>
    </row>
    <row r="30" spans="1:16" x14ac:dyDescent="0.25">
      <c r="A30" s="264"/>
      <c r="B30" s="592" t="s">
        <v>1231</v>
      </c>
      <c r="C30" s="607">
        <v>652</v>
      </c>
      <c r="D30" s="608">
        <v>212</v>
      </c>
      <c r="E30" s="608"/>
      <c r="F30" s="609"/>
      <c r="G30" s="608"/>
      <c r="H30" s="277">
        <f t="shared" si="9"/>
        <v>864</v>
      </c>
      <c r="I30" s="611"/>
      <c r="J30" s="609"/>
      <c r="K30" s="609"/>
      <c r="L30" s="277">
        <f t="shared" si="10"/>
        <v>0</v>
      </c>
      <c r="M30" s="278">
        <f t="shared" si="11"/>
        <v>864</v>
      </c>
      <c r="N30" s="612"/>
      <c r="O30" s="278">
        <f t="shared" si="12"/>
        <v>864</v>
      </c>
    </row>
    <row r="31" spans="1:16" ht="31.5" x14ac:dyDescent="0.25">
      <c r="A31" s="264"/>
      <c r="B31" s="592" t="s">
        <v>1277</v>
      </c>
      <c r="C31" s="607">
        <v>68</v>
      </c>
      <c r="D31" s="608">
        <v>12</v>
      </c>
      <c r="E31" s="608"/>
      <c r="F31" s="609"/>
      <c r="G31" s="608"/>
      <c r="H31" s="277">
        <f t="shared" si="9"/>
        <v>80</v>
      </c>
      <c r="I31" s="611"/>
      <c r="J31" s="609"/>
      <c r="K31" s="609"/>
      <c r="L31" s="277">
        <f t="shared" si="10"/>
        <v>0</v>
      </c>
      <c r="M31" s="278">
        <f t="shared" si="11"/>
        <v>80</v>
      </c>
      <c r="N31" s="612"/>
      <c r="O31" s="278">
        <f t="shared" si="12"/>
        <v>80</v>
      </c>
    </row>
    <row r="32" spans="1:16" ht="79.5" thickBot="1" x14ac:dyDescent="0.3">
      <c r="A32" s="264"/>
      <c r="B32" s="592" t="s">
        <v>1279</v>
      </c>
      <c r="C32" s="607"/>
      <c r="D32" s="608"/>
      <c r="E32" s="608">
        <v>400</v>
      </c>
      <c r="F32" s="609"/>
      <c r="G32" s="608"/>
      <c r="H32" s="277">
        <f t="shared" si="9"/>
        <v>400</v>
      </c>
      <c r="I32" s="611"/>
      <c r="J32" s="609"/>
      <c r="K32" s="609"/>
      <c r="L32" s="277">
        <f t="shared" si="10"/>
        <v>0</v>
      </c>
      <c r="M32" s="278">
        <f t="shared" si="11"/>
        <v>400</v>
      </c>
      <c r="N32" s="612"/>
      <c r="O32" s="278">
        <f t="shared" si="12"/>
        <v>400</v>
      </c>
    </row>
    <row r="33" spans="1:16" ht="17.25" thickTop="1" thickBot="1" x14ac:dyDescent="0.3">
      <c r="A33" s="275"/>
      <c r="B33" s="101" t="s">
        <v>1035</v>
      </c>
      <c r="C33" s="102">
        <f>+C22+C26+C30+C27+C28+C31+C32</f>
        <v>95399</v>
      </c>
      <c r="D33" s="102">
        <f t="shared" ref="D33:O33" si="13">+D22+D26+D30+D27+D28+D31+D32</f>
        <v>18402</v>
      </c>
      <c r="E33" s="102">
        <f t="shared" si="13"/>
        <v>30192</v>
      </c>
      <c r="F33" s="102">
        <f t="shared" si="13"/>
        <v>0</v>
      </c>
      <c r="G33" s="102">
        <f t="shared" si="13"/>
        <v>0</v>
      </c>
      <c r="H33" s="102">
        <f t="shared" si="13"/>
        <v>143993</v>
      </c>
      <c r="I33" s="102">
        <f t="shared" si="13"/>
        <v>633</v>
      </c>
      <c r="J33" s="102">
        <f t="shared" si="13"/>
        <v>0</v>
      </c>
      <c r="K33" s="102">
        <f t="shared" si="13"/>
        <v>0</v>
      </c>
      <c r="L33" s="102">
        <f t="shared" si="13"/>
        <v>633</v>
      </c>
      <c r="M33" s="102">
        <f t="shared" si="13"/>
        <v>144626</v>
      </c>
      <c r="N33" s="102">
        <f t="shared" si="13"/>
        <v>0</v>
      </c>
      <c r="O33" s="102">
        <f t="shared" si="13"/>
        <v>144626</v>
      </c>
    </row>
    <row r="34" spans="1:16" ht="17.25" thickTop="1" thickBot="1" x14ac:dyDescent="0.3">
      <c r="A34" s="275"/>
      <c r="B34" s="101" t="s">
        <v>1036</v>
      </c>
      <c r="C34" s="102">
        <f>+C23+C26+C27+C28</f>
        <v>48496</v>
      </c>
      <c r="D34" s="102">
        <f t="shared" ref="D34:O34" si="14">+D23+D26+D27+D28</f>
        <v>9239</v>
      </c>
      <c r="E34" s="102">
        <f t="shared" si="14"/>
        <v>14762</v>
      </c>
      <c r="F34" s="102">
        <f t="shared" si="14"/>
        <v>0</v>
      </c>
      <c r="G34" s="102">
        <f t="shared" si="14"/>
        <v>0</v>
      </c>
      <c r="H34" s="102">
        <f t="shared" si="14"/>
        <v>72497</v>
      </c>
      <c r="I34" s="102">
        <f t="shared" si="14"/>
        <v>633</v>
      </c>
      <c r="J34" s="102">
        <f t="shared" si="14"/>
        <v>0</v>
      </c>
      <c r="K34" s="102">
        <f t="shared" si="14"/>
        <v>0</v>
      </c>
      <c r="L34" s="102">
        <f t="shared" si="14"/>
        <v>633</v>
      </c>
      <c r="M34" s="102">
        <f t="shared" si="14"/>
        <v>73130</v>
      </c>
      <c r="N34" s="102">
        <f t="shared" si="14"/>
        <v>0</v>
      </c>
      <c r="O34" s="102">
        <f t="shared" si="14"/>
        <v>73130</v>
      </c>
      <c r="P34" s="254">
        <f>+O34+O35</f>
        <v>144626</v>
      </c>
    </row>
    <row r="35" spans="1:16" ht="17.25" thickTop="1" thickBot="1" x14ac:dyDescent="0.3">
      <c r="A35" s="275"/>
      <c r="B35" s="101" t="s">
        <v>1037</v>
      </c>
      <c r="C35" s="102">
        <f t="shared" ref="C35:O35" si="15">+C24+C30+C31+C32</f>
        <v>46903</v>
      </c>
      <c r="D35" s="102">
        <f t="shared" si="15"/>
        <v>9163</v>
      </c>
      <c r="E35" s="102">
        <f t="shared" si="15"/>
        <v>15430</v>
      </c>
      <c r="F35" s="102">
        <f t="shared" si="15"/>
        <v>0</v>
      </c>
      <c r="G35" s="102">
        <f t="shared" si="15"/>
        <v>0</v>
      </c>
      <c r="H35" s="102">
        <f t="shared" si="15"/>
        <v>71496</v>
      </c>
      <c r="I35" s="102">
        <f t="shared" si="15"/>
        <v>0</v>
      </c>
      <c r="J35" s="102">
        <f t="shared" si="15"/>
        <v>0</v>
      </c>
      <c r="K35" s="102">
        <f t="shared" si="15"/>
        <v>0</v>
      </c>
      <c r="L35" s="102">
        <f t="shared" si="15"/>
        <v>0</v>
      </c>
      <c r="M35" s="102">
        <f t="shared" si="15"/>
        <v>71496</v>
      </c>
      <c r="N35" s="102">
        <f t="shared" si="15"/>
        <v>0</v>
      </c>
      <c r="O35" s="102">
        <f t="shared" si="15"/>
        <v>71496</v>
      </c>
    </row>
    <row r="36" spans="1:16" ht="17.25" thickTop="1" thickBot="1" x14ac:dyDescent="0.3">
      <c r="A36" s="275"/>
      <c r="B36" s="101" t="s">
        <v>395</v>
      </c>
      <c r="C36" s="102">
        <f t="shared" ref="C36:O36" si="16">SUM(C18+C33)</f>
        <v>675524</v>
      </c>
      <c r="D36" s="102">
        <f t="shared" si="16"/>
        <v>139520</v>
      </c>
      <c r="E36" s="102">
        <f t="shared" si="16"/>
        <v>249873</v>
      </c>
      <c r="F36" s="102">
        <f t="shared" si="16"/>
        <v>0</v>
      </c>
      <c r="G36" s="102">
        <f t="shared" si="16"/>
        <v>0</v>
      </c>
      <c r="H36" s="102">
        <f t="shared" si="16"/>
        <v>1064917</v>
      </c>
      <c r="I36" s="102">
        <f t="shared" si="16"/>
        <v>18716</v>
      </c>
      <c r="J36" s="102">
        <f t="shared" si="16"/>
        <v>0</v>
      </c>
      <c r="K36" s="102">
        <f t="shared" si="16"/>
        <v>0</v>
      </c>
      <c r="L36" s="102">
        <f t="shared" si="16"/>
        <v>18716</v>
      </c>
      <c r="M36" s="102">
        <f t="shared" si="16"/>
        <v>1083633</v>
      </c>
      <c r="N36" s="102">
        <f t="shared" si="16"/>
        <v>0</v>
      </c>
      <c r="O36" s="102">
        <f t="shared" si="16"/>
        <v>1083633</v>
      </c>
    </row>
    <row r="37" spans="1:16" ht="16.5" thickTop="1" x14ac:dyDescent="0.25">
      <c r="A37" s="264" t="s">
        <v>223</v>
      </c>
      <c r="B37" s="615" t="s">
        <v>396</v>
      </c>
      <c r="C37" s="616"/>
      <c r="D37" s="617"/>
      <c r="E37" s="608"/>
      <c r="F37" s="608"/>
      <c r="G37" s="617"/>
      <c r="H37" s="610"/>
      <c r="I37" s="618"/>
      <c r="J37" s="619"/>
      <c r="K37" s="619"/>
      <c r="L37" s="610"/>
      <c r="M37" s="620"/>
      <c r="N37" s="620"/>
      <c r="O37" s="620"/>
    </row>
    <row r="38" spans="1:16" x14ac:dyDescent="0.25">
      <c r="A38" s="264"/>
      <c r="B38" s="592" t="s">
        <v>998</v>
      </c>
      <c r="C38" s="616">
        <v>74700</v>
      </c>
      <c r="D38" s="617">
        <v>14517</v>
      </c>
      <c r="E38" s="608">
        <v>15434</v>
      </c>
      <c r="F38" s="617"/>
      <c r="G38" s="608"/>
      <c r="H38" s="610">
        <f>SUM(C38:G38)</f>
        <v>104651</v>
      </c>
      <c r="I38" s="611">
        <v>315</v>
      </c>
      <c r="J38" s="609"/>
      <c r="K38" s="609"/>
      <c r="L38" s="610">
        <f>SUM(I38:K38)</f>
        <v>315</v>
      </c>
      <c r="M38" s="612">
        <f>SUM(H38+L38)</f>
        <v>104966</v>
      </c>
      <c r="N38" s="612"/>
      <c r="O38" s="620">
        <f>SUM(M38+N38)</f>
        <v>104966</v>
      </c>
    </row>
    <row r="39" spans="1:16" s="274" customFormat="1" x14ac:dyDescent="0.25">
      <c r="A39" s="265"/>
      <c r="B39" s="266" t="s">
        <v>1033</v>
      </c>
      <c r="C39" s="267">
        <v>73254</v>
      </c>
      <c r="D39" s="268">
        <v>14022</v>
      </c>
      <c r="E39" s="268">
        <v>15379</v>
      </c>
      <c r="F39" s="269"/>
      <c r="G39" s="268"/>
      <c r="H39" s="610">
        <f>SUM(C39:G39)</f>
        <v>102655</v>
      </c>
      <c r="I39" s="611">
        <v>315</v>
      </c>
      <c r="J39" s="609"/>
      <c r="K39" s="609"/>
      <c r="L39" s="610">
        <f>SUM(I39:K39)</f>
        <v>315</v>
      </c>
      <c r="M39" s="612">
        <f>SUM(H39+L39)</f>
        <v>102970</v>
      </c>
      <c r="N39" s="612"/>
      <c r="O39" s="620">
        <f>SUM(M39+N39)</f>
        <v>102970</v>
      </c>
    </row>
    <row r="40" spans="1:16" s="274" customFormat="1" x14ac:dyDescent="0.25">
      <c r="A40" s="265"/>
      <c r="B40" s="266" t="s">
        <v>1034</v>
      </c>
      <c r="C40" s="281">
        <v>1446</v>
      </c>
      <c r="D40" s="282">
        <v>495</v>
      </c>
      <c r="E40" s="268">
        <v>55</v>
      </c>
      <c r="F40" s="282"/>
      <c r="G40" s="268"/>
      <c r="H40" s="270">
        <f>SUM(C40:G40)</f>
        <v>1996</v>
      </c>
      <c r="I40" s="276"/>
      <c r="J40" s="269"/>
      <c r="K40" s="269"/>
      <c r="L40" s="270">
        <f>SUM(I40:K40)</f>
        <v>0</v>
      </c>
      <c r="M40" s="273">
        <f>SUM(H40+L40)</f>
        <v>1996</v>
      </c>
      <c r="N40" s="273"/>
      <c r="O40" s="283">
        <f>SUM(M40+N40)</f>
        <v>1996</v>
      </c>
    </row>
    <row r="41" spans="1:16" x14ac:dyDescent="0.25">
      <c r="A41" s="264"/>
      <c r="B41" s="266" t="s">
        <v>160</v>
      </c>
      <c r="C41" s="616"/>
      <c r="D41" s="617"/>
      <c r="E41" s="608"/>
      <c r="F41" s="617"/>
      <c r="G41" s="608"/>
      <c r="H41" s="270"/>
      <c r="I41" s="611"/>
      <c r="J41" s="609"/>
      <c r="K41" s="609"/>
      <c r="L41" s="270"/>
      <c r="M41" s="273"/>
      <c r="N41" s="612"/>
      <c r="O41" s="283"/>
    </row>
    <row r="42" spans="1:16" x14ac:dyDescent="0.25">
      <c r="A42" s="264"/>
      <c r="B42" s="592" t="s">
        <v>1229</v>
      </c>
      <c r="C42" s="616">
        <v>37</v>
      </c>
      <c r="D42" s="617">
        <v>6</v>
      </c>
      <c r="E42" s="608"/>
      <c r="F42" s="617"/>
      <c r="G42" s="608"/>
      <c r="H42" s="277">
        <f t="shared" ref="H42:H49" si="17">SUM(C42:G42)</f>
        <v>43</v>
      </c>
      <c r="I42" s="611"/>
      <c r="J42" s="609"/>
      <c r="K42" s="609"/>
      <c r="L42" s="277">
        <f t="shared" ref="L42:L49" si="18">SUM(I42:K42)</f>
        <v>0</v>
      </c>
      <c r="M42" s="278">
        <f t="shared" ref="M42:M49" si="19">SUM(H42+L42)</f>
        <v>43</v>
      </c>
      <c r="N42" s="612"/>
      <c r="O42" s="284">
        <f t="shared" ref="O42:O49" si="20">SUM(M42+N42)</f>
        <v>43</v>
      </c>
    </row>
    <row r="43" spans="1:16" ht="31.5" x14ac:dyDescent="0.25">
      <c r="A43" s="264"/>
      <c r="B43" s="592" t="s">
        <v>1278</v>
      </c>
      <c r="C43" s="616">
        <v>320</v>
      </c>
      <c r="D43" s="617">
        <v>56</v>
      </c>
      <c r="E43" s="608"/>
      <c r="F43" s="617"/>
      <c r="G43" s="608"/>
      <c r="H43" s="277">
        <f t="shared" si="17"/>
        <v>376</v>
      </c>
      <c r="I43" s="611"/>
      <c r="J43" s="609"/>
      <c r="K43" s="609"/>
      <c r="L43" s="277">
        <f t="shared" si="18"/>
        <v>0</v>
      </c>
      <c r="M43" s="278">
        <f t="shared" si="19"/>
        <v>376</v>
      </c>
      <c r="N43" s="612"/>
      <c r="O43" s="284">
        <f t="shared" si="20"/>
        <v>376</v>
      </c>
    </row>
    <row r="44" spans="1:16" ht="31.5" x14ac:dyDescent="0.25">
      <c r="A44" s="279"/>
      <c r="B44" s="597" t="s">
        <v>1051</v>
      </c>
      <c r="C44" s="607">
        <v>-495</v>
      </c>
      <c r="D44" s="608">
        <v>-87</v>
      </c>
      <c r="E44" s="608">
        <v>404</v>
      </c>
      <c r="F44" s="608"/>
      <c r="G44" s="608"/>
      <c r="H44" s="277">
        <f t="shared" si="17"/>
        <v>-178</v>
      </c>
      <c r="I44" s="611">
        <v>178</v>
      </c>
      <c r="J44" s="609"/>
      <c r="K44" s="609"/>
      <c r="L44" s="277">
        <f t="shared" si="18"/>
        <v>178</v>
      </c>
      <c r="M44" s="277">
        <f t="shared" si="19"/>
        <v>0</v>
      </c>
      <c r="N44" s="610"/>
      <c r="O44" s="277">
        <f t="shared" si="20"/>
        <v>0</v>
      </c>
    </row>
    <row r="45" spans="1:16" x14ac:dyDescent="0.25">
      <c r="A45" s="264"/>
      <c r="B45" s="266" t="s">
        <v>161</v>
      </c>
      <c r="C45" s="616"/>
      <c r="D45" s="617"/>
      <c r="E45" s="608"/>
      <c r="F45" s="617"/>
      <c r="G45" s="608"/>
      <c r="H45" s="270"/>
      <c r="I45" s="611"/>
      <c r="J45" s="609"/>
      <c r="K45" s="609"/>
      <c r="L45" s="277"/>
      <c r="M45" s="278"/>
      <c r="N45" s="612"/>
      <c r="O45" s="284"/>
    </row>
    <row r="46" spans="1:16" x14ac:dyDescent="0.25">
      <c r="A46" s="264"/>
      <c r="B46" s="592" t="s">
        <v>1231</v>
      </c>
      <c r="C46" s="616">
        <v>631</v>
      </c>
      <c r="D46" s="617">
        <v>205</v>
      </c>
      <c r="E46" s="608"/>
      <c r="F46" s="617"/>
      <c r="G46" s="608"/>
      <c r="H46" s="277">
        <f t="shared" si="17"/>
        <v>836</v>
      </c>
      <c r="I46" s="611"/>
      <c r="J46" s="609"/>
      <c r="K46" s="609"/>
      <c r="L46" s="277">
        <f t="shared" si="18"/>
        <v>0</v>
      </c>
      <c r="M46" s="278">
        <f t="shared" si="19"/>
        <v>836</v>
      </c>
      <c r="N46" s="612"/>
      <c r="O46" s="284">
        <f t="shared" si="20"/>
        <v>836</v>
      </c>
    </row>
    <row r="47" spans="1:16" ht="31.5" x14ac:dyDescent="0.25">
      <c r="A47" s="264"/>
      <c r="B47" s="592" t="s">
        <v>1277</v>
      </c>
      <c r="C47" s="616">
        <v>23</v>
      </c>
      <c r="D47" s="617">
        <v>4</v>
      </c>
      <c r="E47" s="608"/>
      <c r="F47" s="617"/>
      <c r="G47" s="608"/>
      <c r="H47" s="277">
        <f t="shared" si="17"/>
        <v>27</v>
      </c>
      <c r="I47" s="611"/>
      <c r="J47" s="609"/>
      <c r="K47" s="609"/>
      <c r="L47" s="277">
        <f t="shared" si="18"/>
        <v>0</v>
      </c>
      <c r="M47" s="278">
        <f t="shared" si="19"/>
        <v>27</v>
      </c>
      <c r="N47" s="612"/>
      <c r="O47" s="284">
        <f t="shared" si="20"/>
        <v>27</v>
      </c>
    </row>
    <row r="48" spans="1:16" ht="63" x14ac:dyDescent="0.25">
      <c r="A48" s="264"/>
      <c r="B48" s="592" t="s">
        <v>1154</v>
      </c>
      <c r="C48" s="616"/>
      <c r="D48" s="617"/>
      <c r="E48" s="608">
        <v>15</v>
      </c>
      <c r="F48" s="617"/>
      <c r="G48" s="608"/>
      <c r="H48" s="277">
        <f t="shared" si="17"/>
        <v>15</v>
      </c>
      <c r="I48" s="611"/>
      <c r="J48" s="609"/>
      <c r="K48" s="609"/>
      <c r="L48" s="277">
        <f t="shared" si="18"/>
        <v>0</v>
      </c>
      <c r="M48" s="278">
        <f t="shared" si="19"/>
        <v>15</v>
      </c>
      <c r="N48" s="612"/>
      <c r="O48" s="284">
        <f t="shared" si="20"/>
        <v>15</v>
      </c>
    </row>
    <row r="49" spans="1:16" ht="79.5" thickBot="1" x14ac:dyDescent="0.3">
      <c r="A49" s="264"/>
      <c r="B49" s="592" t="s">
        <v>1279</v>
      </c>
      <c r="C49" s="616"/>
      <c r="D49" s="617"/>
      <c r="E49" s="608">
        <v>65</v>
      </c>
      <c r="F49" s="617"/>
      <c r="G49" s="608"/>
      <c r="H49" s="277">
        <f t="shared" si="17"/>
        <v>65</v>
      </c>
      <c r="I49" s="611"/>
      <c r="J49" s="609"/>
      <c r="K49" s="609"/>
      <c r="L49" s="277">
        <f t="shared" si="18"/>
        <v>0</v>
      </c>
      <c r="M49" s="278">
        <f t="shared" si="19"/>
        <v>65</v>
      </c>
      <c r="N49" s="612"/>
      <c r="O49" s="284">
        <f t="shared" si="20"/>
        <v>65</v>
      </c>
    </row>
    <row r="50" spans="1:16" ht="17.25" thickTop="1" thickBot="1" x14ac:dyDescent="0.3">
      <c r="A50" s="275"/>
      <c r="B50" s="101" t="s">
        <v>1035</v>
      </c>
      <c r="C50" s="102">
        <f>+C38+C42+C46+C43+C44+C47+C48+C49</f>
        <v>75216</v>
      </c>
      <c r="D50" s="102">
        <f t="shared" ref="D50:O50" si="21">+D38+D42+D46+D43+D44+D47+D48+D49</f>
        <v>14701</v>
      </c>
      <c r="E50" s="102">
        <f t="shared" si="21"/>
        <v>15918</v>
      </c>
      <c r="F50" s="102">
        <f t="shared" si="21"/>
        <v>0</v>
      </c>
      <c r="G50" s="102">
        <f t="shared" si="21"/>
        <v>0</v>
      </c>
      <c r="H50" s="102">
        <f t="shared" si="21"/>
        <v>105835</v>
      </c>
      <c r="I50" s="102">
        <f t="shared" si="21"/>
        <v>493</v>
      </c>
      <c r="J50" s="102">
        <f t="shared" si="21"/>
        <v>0</v>
      </c>
      <c r="K50" s="102">
        <f t="shared" si="21"/>
        <v>0</v>
      </c>
      <c r="L50" s="102">
        <f t="shared" si="21"/>
        <v>493</v>
      </c>
      <c r="M50" s="102">
        <f t="shared" si="21"/>
        <v>106328</v>
      </c>
      <c r="N50" s="102">
        <f t="shared" si="21"/>
        <v>0</v>
      </c>
      <c r="O50" s="102">
        <f t="shared" si="21"/>
        <v>106328</v>
      </c>
      <c r="P50" s="254">
        <f>O51+O52</f>
        <v>106328</v>
      </c>
    </row>
    <row r="51" spans="1:16" ht="17.25" thickTop="1" thickBot="1" x14ac:dyDescent="0.3">
      <c r="A51" s="275"/>
      <c r="B51" s="101" t="s">
        <v>1036</v>
      </c>
      <c r="C51" s="102">
        <f>+C39+C42+C43+C44</f>
        <v>73116</v>
      </c>
      <c r="D51" s="102">
        <f t="shared" ref="D51:O51" si="22">+D39+D42+D43+D44</f>
        <v>13997</v>
      </c>
      <c r="E51" s="102">
        <f t="shared" si="22"/>
        <v>15783</v>
      </c>
      <c r="F51" s="102">
        <f t="shared" si="22"/>
        <v>0</v>
      </c>
      <c r="G51" s="102">
        <f t="shared" si="22"/>
        <v>0</v>
      </c>
      <c r="H51" s="102">
        <f t="shared" si="22"/>
        <v>102896</v>
      </c>
      <c r="I51" s="102">
        <f t="shared" si="22"/>
        <v>493</v>
      </c>
      <c r="J51" s="102">
        <f t="shared" si="22"/>
        <v>0</v>
      </c>
      <c r="K51" s="102">
        <f t="shared" si="22"/>
        <v>0</v>
      </c>
      <c r="L51" s="102">
        <f t="shared" si="22"/>
        <v>493</v>
      </c>
      <c r="M51" s="102">
        <f t="shared" si="22"/>
        <v>103389</v>
      </c>
      <c r="N51" s="102">
        <f t="shared" si="22"/>
        <v>0</v>
      </c>
      <c r="O51" s="102">
        <f t="shared" si="22"/>
        <v>103389</v>
      </c>
    </row>
    <row r="52" spans="1:16" ht="17.25" thickTop="1" thickBot="1" x14ac:dyDescent="0.3">
      <c r="A52" s="275"/>
      <c r="B52" s="101" t="s">
        <v>1037</v>
      </c>
      <c r="C52" s="102">
        <f t="shared" ref="C52:O52" si="23">+C40+C46+C47+C48+C49</f>
        <v>2100</v>
      </c>
      <c r="D52" s="102">
        <f t="shared" si="23"/>
        <v>704</v>
      </c>
      <c r="E52" s="102">
        <f t="shared" si="23"/>
        <v>135</v>
      </c>
      <c r="F52" s="102">
        <f t="shared" si="23"/>
        <v>0</v>
      </c>
      <c r="G52" s="102">
        <f t="shared" si="23"/>
        <v>0</v>
      </c>
      <c r="H52" s="102">
        <f t="shared" si="23"/>
        <v>2939</v>
      </c>
      <c r="I52" s="102">
        <f t="shared" si="23"/>
        <v>0</v>
      </c>
      <c r="J52" s="102">
        <f t="shared" si="23"/>
        <v>0</v>
      </c>
      <c r="K52" s="102">
        <f t="shared" si="23"/>
        <v>0</v>
      </c>
      <c r="L52" s="102">
        <f t="shared" si="23"/>
        <v>0</v>
      </c>
      <c r="M52" s="102">
        <f t="shared" si="23"/>
        <v>2939</v>
      </c>
      <c r="N52" s="102">
        <f t="shared" si="23"/>
        <v>0</v>
      </c>
      <c r="O52" s="102">
        <f t="shared" si="23"/>
        <v>2939</v>
      </c>
    </row>
    <row r="53" spans="1:16" ht="16.5" thickTop="1" x14ac:dyDescent="0.25">
      <c r="A53" s="264" t="s">
        <v>224</v>
      </c>
      <c r="B53" s="597" t="s">
        <v>1040</v>
      </c>
      <c r="C53" s="607"/>
      <c r="D53" s="608"/>
      <c r="E53" s="608"/>
      <c r="F53" s="614"/>
      <c r="G53" s="608"/>
      <c r="H53" s="610"/>
      <c r="I53" s="611"/>
      <c r="J53" s="609"/>
      <c r="K53" s="609"/>
      <c r="L53" s="610"/>
      <c r="M53" s="610"/>
      <c r="N53" s="610"/>
      <c r="O53" s="610"/>
    </row>
    <row r="54" spans="1:16" x14ac:dyDescent="0.25">
      <c r="A54" s="264"/>
      <c r="B54" s="592" t="s">
        <v>998</v>
      </c>
      <c r="C54" s="607">
        <v>80341</v>
      </c>
      <c r="D54" s="608">
        <v>15537</v>
      </c>
      <c r="E54" s="608">
        <v>16059</v>
      </c>
      <c r="F54" s="609"/>
      <c r="G54" s="608"/>
      <c r="H54" s="610">
        <f>SUM(C54:G54)</f>
        <v>111937</v>
      </c>
      <c r="I54" s="613"/>
      <c r="J54" s="614"/>
      <c r="K54" s="614"/>
      <c r="L54" s="610">
        <f>SUM(I54:K54)</f>
        <v>0</v>
      </c>
      <c r="M54" s="612">
        <f>SUM(H54+L54)</f>
        <v>111937</v>
      </c>
      <c r="N54" s="612"/>
      <c r="O54" s="612">
        <f>SUM(M54+N54)</f>
        <v>111937</v>
      </c>
    </row>
    <row r="55" spans="1:16" s="274" customFormat="1" x14ac:dyDescent="0.25">
      <c r="A55" s="265"/>
      <c r="B55" s="266" t="s">
        <v>1033</v>
      </c>
      <c r="C55" s="267">
        <v>78856</v>
      </c>
      <c r="D55" s="268">
        <v>15028</v>
      </c>
      <c r="E55" s="268">
        <v>16004</v>
      </c>
      <c r="F55" s="269"/>
      <c r="G55" s="268"/>
      <c r="H55" s="270">
        <f>SUM(C55:G55)</f>
        <v>109888</v>
      </c>
      <c r="I55" s="271"/>
      <c r="J55" s="272"/>
      <c r="K55" s="272"/>
      <c r="L55" s="270">
        <f>SUM(I55:K55)</f>
        <v>0</v>
      </c>
      <c r="M55" s="273">
        <f>SUM(H55+L55)</f>
        <v>109888</v>
      </c>
      <c r="N55" s="273"/>
      <c r="O55" s="273">
        <f>SUM(M55+N55)</f>
        <v>109888</v>
      </c>
    </row>
    <row r="56" spans="1:16" s="274" customFormat="1" x14ac:dyDescent="0.25">
      <c r="A56" s="265"/>
      <c r="B56" s="266" t="s">
        <v>1034</v>
      </c>
      <c r="C56" s="267">
        <v>1485</v>
      </c>
      <c r="D56" s="268">
        <v>509</v>
      </c>
      <c r="E56" s="268">
        <v>55</v>
      </c>
      <c r="F56" s="269"/>
      <c r="G56" s="268"/>
      <c r="H56" s="270">
        <f>SUM(C56:G56)</f>
        <v>2049</v>
      </c>
      <c r="I56" s="271"/>
      <c r="J56" s="272"/>
      <c r="K56" s="272"/>
      <c r="L56" s="270">
        <f>SUM(I56:K56)</f>
        <v>0</v>
      </c>
      <c r="M56" s="273">
        <f>SUM(H56+L56)</f>
        <v>2049</v>
      </c>
      <c r="N56" s="273"/>
      <c r="O56" s="273">
        <f>SUM(M56+N56)</f>
        <v>2049</v>
      </c>
    </row>
    <row r="57" spans="1:16" x14ac:dyDescent="0.25">
      <c r="A57" s="285"/>
      <c r="B57" s="266" t="s">
        <v>160</v>
      </c>
      <c r="C57" s="287"/>
      <c r="D57" s="288"/>
      <c r="E57" s="288"/>
      <c r="F57" s="289"/>
      <c r="G57" s="288"/>
      <c r="H57" s="270"/>
      <c r="I57" s="291"/>
      <c r="J57" s="292"/>
      <c r="K57" s="292"/>
      <c r="L57" s="270"/>
      <c r="M57" s="273"/>
      <c r="N57" s="278"/>
      <c r="O57" s="273"/>
    </row>
    <row r="58" spans="1:16" x14ac:dyDescent="0.25">
      <c r="A58" s="285"/>
      <c r="B58" s="592" t="s">
        <v>1229</v>
      </c>
      <c r="C58" s="287">
        <v>113</v>
      </c>
      <c r="D58" s="288">
        <v>20</v>
      </c>
      <c r="E58" s="288"/>
      <c r="F58" s="289"/>
      <c r="G58" s="288"/>
      <c r="H58" s="277">
        <f t="shared" ref="H58:H65" si="24">SUM(C58:G58)</f>
        <v>133</v>
      </c>
      <c r="I58" s="291"/>
      <c r="J58" s="292"/>
      <c r="K58" s="292"/>
      <c r="L58" s="277">
        <f t="shared" ref="L58:L65" si="25">SUM(I58:K58)</f>
        <v>0</v>
      </c>
      <c r="M58" s="278">
        <f t="shared" ref="M58:M65" si="26">SUM(H58+L58)</f>
        <v>133</v>
      </c>
      <c r="N58" s="278"/>
      <c r="O58" s="278">
        <f t="shared" ref="O58:O65" si="27">SUM(M58+N58)</f>
        <v>133</v>
      </c>
    </row>
    <row r="59" spans="1:16" ht="31.5" x14ac:dyDescent="0.25">
      <c r="A59" s="285"/>
      <c r="B59" s="592" t="s">
        <v>1278</v>
      </c>
      <c r="C59" s="287">
        <v>409</v>
      </c>
      <c r="D59" s="288">
        <v>72</v>
      </c>
      <c r="E59" s="288"/>
      <c r="F59" s="289"/>
      <c r="G59" s="288"/>
      <c r="H59" s="277">
        <f t="shared" si="24"/>
        <v>481</v>
      </c>
      <c r="I59" s="291"/>
      <c r="J59" s="292"/>
      <c r="K59" s="292"/>
      <c r="L59" s="277">
        <f t="shared" si="25"/>
        <v>0</v>
      </c>
      <c r="M59" s="278">
        <f t="shared" si="26"/>
        <v>481</v>
      </c>
      <c r="N59" s="278"/>
      <c r="O59" s="278">
        <f t="shared" si="27"/>
        <v>481</v>
      </c>
    </row>
    <row r="60" spans="1:16" x14ac:dyDescent="0.25">
      <c r="A60" s="285"/>
      <c r="B60" s="592" t="s">
        <v>1236</v>
      </c>
      <c r="C60" s="287">
        <v>49</v>
      </c>
      <c r="D60" s="288">
        <v>8</v>
      </c>
      <c r="E60" s="288"/>
      <c r="F60" s="289"/>
      <c r="G60" s="288"/>
      <c r="H60" s="277">
        <f t="shared" si="24"/>
        <v>57</v>
      </c>
      <c r="I60" s="291"/>
      <c r="J60" s="292"/>
      <c r="K60" s="292"/>
      <c r="L60" s="277">
        <f t="shared" si="25"/>
        <v>0</v>
      </c>
      <c r="M60" s="278">
        <f t="shared" si="26"/>
        <v>57</v>
      </c>
      <c r="N60" s="278"/>
      <c r="O60" s="278">
        <f t="shared" si="27"/>
        <v>57</v>
      </c>
    </row>
    <row r="61" spans="1:16" ht="31.5" x14ac:dyDescent="0.25">
      <c r="A61" s="285"/>
      <c r="B61" s="592" t="s">
        <v>1051</v>
      </c>
      <c r="C61" s="287"/>
      <c r="D61" s="288"/>
      <c r="E61" s="288">
        <v>-69</v>
      </c>
      <c r="F61" s="289"/>
      <c r="G61" s="288"/>
      <c r="H61" s="277">
        <f t="shared" si="24"/>
        <v>-69</v>
      </c>
      <c r="I61" s="291">
        <v>69</v>
      </c>
      <c r="J61" s="292"/>
      <c r="K61" s="292"/>
      <c r="L61" s="277">
        <f t="shared" si="25"/>
        <v>69</v>
      </c>
      <c r="M61" s="278">
        <f t="shared" si="26"/>
        <v>0</v>
      </c>
      <c r="N61" s="278"/>
      <c r="O61" s="278">
        <f t="shared" si="27"/>
        <v>0</v>
      </c>
    </row>
    <row r="62" spans="1:16" x14ac:dyDescent="0.25">
      <c r="A62" s="285"/>
      <c r="B62" s="266" t="s">
        <v>161</v>
      </c>
      <c r="C62" s="287"/>
      <c r="D62" s="288"/>
      <c r="E62" s="288"/>
      <c r="F62" s="289"/>
      <c r="G62" s="288"/>
      <c r="H62" s="270"/>
      <c r="I62" s="291"/>
      <c r="J62" s="292"/>
      <c r="K62" s="292"/>
      <c r="L62" s="270"/>
      <c r="M62" s="273"/>
      <c r="N62" s="278"/>
      <c r="O62" s="273"/>
    </row>
    <row r="63" spans="1:16" x14ac:dyDescent="0.25">
      <c r="A63" s="285"/>
      <c r="B63" s="592" t="s">
        <v>1231</v>
      </c>
      <c r="C63" s="287">
        <v>651</v>
      </c>
      <c r="D63" s="288">
        <v>212</v>
      </c>
      <c r="E63" s="288"/>
      <c r="F63" s="289"/>
      <c r="G63" s="288"/>
      <c r="H63" s="277">
        <f t="shared" si="24"/>
        <v>863</v>
      </c>
      <c r="I63" s="291"/>
      <c r="J63" s="292"/>
      <c r="K63" s="292"/>
      <c r="L63" s="277">
        <f t="shared" si="25"/>
        <v>0</v>
      </c>
      <c r="M63" s="278">
        <f t="shared" si="26"/>
        <v>863</v>
      </c>
      <c r="N63" s="278"/>
      <c r="O63" s="278">
        <f t="shared" si="27"/>
        <v>863</v>
      </c>
    </row>
    <row r="64" spans="1:16" ht="31.5" x14ac:dyDescent="0.25">
      <c r="A64" s="285"/>
      <c r="B64" s="592" t="s">
        <v>1277</v>
      </c>
      <c r="C64" s="287">
        <v>45</v>
      </c>
      <c r="D64" s="288">
        <v>8</v>
      </c>
      <c r="E64" s="288"/>
      <c r="F64" s="289"/>
      <c r="G64" s="288"/>
      <c r="H64" s="277">
        <f t="shared" si="24"/>
        <v>53</v>
      </c>
      <c r="I64" s="291"/>
      <c r="J64" s="292"/>
      <c r="K64" s="292"/>
      <c r="L64" s="277">
        <f t="shared" si="25"/>
        <v>0</v>
      </c>
      <c r="M64" s="278">
        <f t="shared" si="26"/>
        <v>53</v>
      </c>
      <c r="N64" s="278"/>
      <c r="O64" s="278">
        <f t="shared" si="27"/>
        <v>53</v>
      </c>
    </row>
    <row r="65" spans="1:16" ht="79.5" thickBot="1" x14ac:dyDescent="0.3">
      <c r="A65" s="285"/>
      <c r="B65" s="592" t="s">
        <v>1279</v>
      </c>
      <c r="C65" s="287"/>
      <c r="D65" s="288"/>
      <c r="E65" s="288">
        <v>65</v>
      </c>
      <c r="F65" s="289"/>
      <c r="G65" s="288"/>
      <c r="H65" s="277">
        <f t="shared" si="24"/>
        <v>65</v>
      </c>
      <c r="I65" s="291"/>
      <c r="J65" s="292"/>
      <c r="K65" s="292"/>
      <c r="L65" s="277">
        <f t="shared" si="25"/>
        <v>0</v>
      </c>
      <c r="M65" s="278">
        <f t="shared" si="26"/>
        <v>65</v>
      </c>
      <c r="N65" s="278"/>
      <c r="O65" s="278">
        <f t="shared" si="27"/>
        <v>65</v>
      </c>
    </row>
    <row r="66" spans="1:16" ht="17.25" thickTop="1" thickBot="1" x14ac:dyDescent="0.3">
      <c r="A66" s="275"/>
      <c r="B66" s="101" t="s">
        <v>1035</v>
      </c>
      <c r="C66" s="102">
        <f>+C54+C58+C63+C59+C60+C61+C64+C65</f>
        <v>81608</v>
      </c>
      <c r="D66" s="102">
        <f t="shared" ref="D66:O66" si="28">+D54+D58+D63+D59+D60+D61+D64+D65</f>
        <v>15857</v>
      </c>
      <c r="E66" s="102">
        <f t="shared" si="28"/>
        <v>16055</v>
      </c>
      <c r="F66" s="102">
        <f t="shared" si="28"/>
        <v>0</v>
      </c>
      <c r="G66" s="102">
        <f t="shared" si="28"/>
        <v>0</v>
      </c>
      <c r="H66" s="102">
        <f t="shared" si="28"/>
        <v>113520</v>
      </c>
      <c r="I66" s="102">
        <f t="shared" si="28"/>
        <v>69</v>
      </c>
      <c r="J66" s="102">
        <f t="shared" si="28"/>
        <v>0</v>
      </c>
      <c r="K66" s="102">
        <f t="shared" si="28"/>
        <v>0</v>
      </c>
      <c r="L66" s="102">
        <f t="shared" si="28"/>
        <v>69</v>
      </c>
      <c r="M66" s="102">
        <f t="shared" si="28"/>
        <v>113589</v>
      </c>
      <c r="N66" s="102">
        <f t="shared" si="28"/>
        <v>0</v>
      </c>
      <c r="O66" s="102">
        <f t="shared" si="28"/>
        <v>113589</v>
      </c>
      <c r="P66" s="254">
        <f>O67+O68</f>
        <v>113589</v>
      </c>
    </row>
    <row r="67" spans="1:16" ht="17.25" thickTop="1" thickBot="1" x14ac:dyDescent="0.3">
      <c r="A67" s="275"/>
      <c r="B67" s="101" t="s">
        <v>1036</v>
      </c>
      <c r="C67" s="102">
        <f>+C55+C58+C59+C60+C61</f>
        <v>79427</v>
      </c>
      <c r="D67" s="102">
        <f t="shared" ref="D67:O67" si="29">+D55+D58+D59+D60+D61</f>
        <v>15128</v>
      </c>
      <c r="E67" s="102">
        <f t="shared" si="29"/>
        <v>15935</v>
      </c>
      <c r="F67" s="102">
        <f t="shared" si="29"/>
        <v>0</v>
      </c>
      <c r="G67" s="102">
        <f t="shared" si="29"/>
        <v>0</v>
      </c>
      <c r="H67" s="102">
        <f t="shared" si="29"/>
        <v>110490</v>
      </c>
      <c r="I67" s="102">
        <f t="shared" si="29"/>
        <v>69</v>
      </c>
      <c r="J67" s="102">
        <f t="shared" si="29"/>
        <v>0</v>
      </c>
      <c r="K67" s="102">
        <f t="shared" si="29"/>
        <v>0</v>
      </c>
      <c r="L67" s="102">
        <f t="shared" si="29"/>
        <v>69</v>
      </c>
      <c r="M67" s="102">
        <f t="shared" si="29"/>
        <v>110559</v>
      </c>
      <c r="N67" s="102">
        <f t="shared" si="29"/>
        <v>0</v>
      </c>
      <c r="O67" s="102">
        <f t="shared" si="29"/>
        <v>110559</v>
      </c>
    </row>
    <row r="68" spans="1:16" ht="17.25" thickTop="1" thickBot="1" x14ac:dyDescent="0.3">
      <c r="A68" s="275"/>
      <c r="B68" s="101" t="s">
        <v>1037</v>
      </c>
      <c r="C68" s="102">
        <f>+C56+C63+C64+C65</f>
        <v>2181</v>
      </c>
      <c r="D68" s="102">
        <f t="shared" ref="D68:O68" si="30">+D56+D63+D64+D65</f>
        <v>729</v>
      </c>
      <c r="E68" s="102">
        <f t="shared" si="30"/>
        <v>120</v>
      </c>
      <c r="F68" s="102">
        <f t="shared" si="30"/>
        <v>0</v>
      </c>
      <c r="G68" s="102">
        <f t="shared" si="30"/>
        <v>0</v>
      </c>
      <c r="H68" s="102">
        <f t="shared" si="30"/>
        <v>3030</v>
      </c>
      <c r="I68" s="102">
        <f t="shared" si="30"/>
        <v>0</v>
      </c>
      <c r="J68" s="102">
        <f t="shared" si="30"/>
        <v>0</v>
      </c>
      <c r="K68" s="102">
        <f t="shared" si="30"/>
        <v>0</v>
      </c>
      <c r="L68" s="102">
        <f t="shared" si="30"/>
        <v>0</v>
      </c>
      <c r="M68" s="102">
        <f t="shared" si="30"/>
        <v>3030</v>
      </c>
      <c r="N68" s="102">
        <f t="shared" si="30"/>
        <v>0</v>
      </c>
      <c r="O68" s="102">
        <f t="shared" si="30"/>
        <v>3030</v>
      </c>
    </row>
    <row r="69" spans="1:16" ht="16.5" thickTop="1" x14ac:dyDescent="0.25">
      <c r="A69" s="264" t="s">
        <v>225</v>
      </c>
      <c r="B69" s="597" t="s">
        <v>397</v>
      </c>
      <c r="C69" s="607"/>
      <c r="D69" s="608"/>
      <c r="E69" s="608"/>
      <c r="F69" s="614"/>
      <c r="G69" s="608"/>
      <c r="H69" s="610"/>
      <c r="I69" s="611"/>
      <c r="J69" s="609"/>
      <c r="K69" s="609"/>
      <c r="L69" s="610"/>
      <c r="M69" s="610"/>
      <c r="N69" s="610"/>
      <c r="O69" s="610"/>
    </row>
    <row r="70" spans="1:16" x14ac:dyDescent="0.25">
      <c r="A70" s="264"/>
      <c r="B70" s="592" t="s">
        <v>998</v>
      </c>
      <c r="C70" s="607">
        <v>77854</v>
      </c>
      <c r="D70" s="608">
        <v>15200</v>
      </c>
      <c r="E70" s="608">
        <v>14194</v>
      </c>
      <c r="F70" s="609"/>
      <c r="G70" s="608"/>
      <c r="H70" s="610">
        <f>SUM(C70:G70)</f>
        <v>107248</v>
      </c>
      <c r="I70" s="611">
        <v>51</v>
      </c>
      <c r="J70" s="609"/>
      <c r="K70" s="609"/>
      <c r="L70" s="610">
        <f>SUM(I70:K70)</f>
        <v>51</v>
      </c>
      <c r="M70" s="612">
        <f>SUM(H70+L70)</f>
        <v>107299</v>
      </c>
      <c r="N70" s="612"/>
      <c r="O70" s="612">
        <f>SUM(M70+N70)</f>
        <v>107299</v>
      </c>
    </row>
    <row r="71" spans="1:16" s="274" customFormat="1" x14ac:dyDescent="0.25">
      <c r="A71" s="265"/>
      <c r="B71" s="266" t="s">
        <v>1033</v>
      </c>
      <c r="C71" s="267">
        <v>76406</v>
      </c>
      <c r="D71" s="268">
        <v>14705</v>
      </c>
      <c r="E71" s="268">
        <v>14089</v>
      </c>
      <c r="F71" s="269"/>
      <c r="G71" s="268"/>
      <c r="H71" s="270">
        <f>SUM(C71:G71)</f>
        <v>105200</v>
      </c>
      <c r="I71" s="276">
        <v>51</v>
      </c>
      <c r="J71" s="269"/>
      <c r="K71" s="269"/>
      <c r="L71" s="270">
        <f>SUM(I71:K71)</f>
        <v>51</v>
      </c>
      <c r="M71" s="273">
        <f>SUM(H71+L71)</f>
        <v>105251</v>
      </c>
      <c r="N71" s="273"/>
      <c r="O71" s="273">
        <f>SUM(M71+N71)</f>
        <v>105251</v>
      </c>
    </row>
    <row r="72" spans="1:16" s="274" customFormat="1" x14ac:dyDescent="0.25">
      <c r="A72" s="265"/>
      <c r="B72" s="266" t="s">
        <v>1034</v>
      </c>
      <c r="C72" s="267">
        <v>1448</v>
      </c>
      <c r="D72" s="268">
        <v>495</v>
      </c>
      <c r="E72" s="268">
        <v>105</v>
      </c>
      <c r="F72" s="269"/>
      <c r="G72" s="268"/>
      <c r="H72" s="270">
        <f>SUM(C72:G72)</f>
        <v>2048</v>
      </c>
      <c r="I72" s="276"/>
      <c r="J72" s="269"/>
      <c r="K72" s="269"/>
      <c r="L72" s="270">
        <f>SUM(I72:K72)</f>
        <v>0</v>
      </c>
      <c r="M72" s="273">
        <f>SUM(H72+L72)</f>
        <v>2048</v>
      </c>
      <c r="N72" s="273"/>
      <c r="O72" s="273">
        <f>SUM(M72+N72)</f>
        <v>2048</v>
      </c>
    </row>
    <row r="73" spans="1:16" s="274" customFormat="1" x14ac:dyDescent="0.25">
      <c r="A73" s="265"/>
      <c r="B73" s="266" t="s">
        <v>160</v>
      </c>
      <c r="C73" s="267"/>
      <c r="D73" s="268"/>
      <c r="E73" s="268"/>
      <c r="F73" s="269"/>
      <c r="G73" s="268"/>
      <c r="H73" s="270"/>
      <c r="I73" s="276"/>
      <c r="J73" s="269"/>
      <c r="K73" s="269"/>
      <c r="L73" s="270"/>
      <c r="M73" s="273"/>
      <c r="N73" s="273"/>
      <c r="O73" s="273"/>
    </row>
    <row r="74" spans="1:16" s="274" customFormat="1" x14ac:dyDescent="0.25">
      <c r="A74" s="265"/>
      <c r="B74" s="592" t="s">
        <v>1229</v>
      </c>
      <c r="C74" s="287">
        <v>92</v>
      </c>
      <c r="D74" s="288">
        <v>16</v>
      </c>
      <c r="E74" s="288"/>
      <c r="F74" s="289"/>
      <c r="G74" s="288"/>
      <c r="H74" s="277">
        <f t="shared" ref="H74:H83" si="31">SUM(C74:G74)</f>
        <v>108</v>
      </c>
      <c r="I74" s="290"/>
      <c r="J74" s="289"/>
      <c r="K74" s="289"/>
      <c r="L74" s="277">
        <f t="shared" ref="L74:L83" si="32">SUM(I74:K74)</f>
        <v>0</v>
      </c>
      <c r="M74" s="278">
        <f t="shared" ref="M74:M83" si="33">SUM(H74+L74)</f>
        <v>108</v>
      </c>
      <c r="N74" s="278"/>
      <c r="O74" s="278">
        <f t="shared" ref="O74:O83" si="34">SUM(M74+N74)</f>
        <v>108</v>
      </c>
    </row>
    <row r="75" spans="1:16" s="274" customFormat="1" ht="31.5" x14ac:dyDescent="0.25">
      <c r="A75" s="265"/>
      <c r="B75" s="592" t="s">
        <v>1278</v>
      </c>
      <c r="C75" s="287">
        <v>508</v>
      </c>
      <c r="D75" s="288">
        <v>89</v>
      </c>
      <c r="E75" s="288"/>
      <c r="F75" s="289"/>
      <c r="G75" s="288"/>
      <c r="H75" s="277">
        <f t="shared" si="31"/>
        <v>597</v>
      </c>
      <c r="I75" s="290"/>
      <c r="J75" s="289"/>
      <c r="K75" s="289"/>
      <c r="L75" s="277">
        <f t="shared" si="32"/>
        <v>0</v>
      </c>
      <c r="M75" s="278">
        <f t="shared" si="33"/>
        <v>597</v>
      </c>
      <c r="N75" s="278"/>
      <c r="O75" s="278">
        <f t="shared" si="34"/>
        <v>597</v>
      </c>
    </row>
    <row r="76" spans="1:16" s="274" customFormat="1" x14ac:dyDescent="0.25">
      <c r="A76" s="265"/>
      <c r="B76" s="592" t="s">
        <v>1236</v>
      </c>
      <c r="C76" s="287">
        <v>146</v>
      </c>
      <c r="D76" s="288">
        <v>26</v>
      </c>
      <c r="E76" s="288"/>
      <c r="F76" s="289"/>
      <c r="G76" s="288"/>
      <c r="H76" s="277">
        <f t="shared" si="31"/>
        <v>172</v>
      </c>
      <c r="I76" s="290"/>
      <c r="J76" s="289"/>
      <c r="K76" s="289"/>
      <c r="L76" s="277">
        <f t="shared" si="32"/>
        <v>0</v>
      </c>
      <c r="M76" s="278">
        <f t="shared" si="33"/>
        <v>172</v>
      </c>
      <c r="N76" s="278"/>
      <c r="O76" s="278">
        <f t="shared" si="34"/>
        <v>172</v>
      </c>
    </row>
    <row r="77" spans="1:16" s="274" customFormat="1" ht="47.25" x14ac:dyDescent="0.25">
      <c r="A77" s="265"/>
      <c r="B77" s="592" t="s">
        <v>1276</v>
      </c>
      <c r="C77" s="287">
        <v>2406</v>
      </c>
      <c r="D77" s="288">
        <v>422</v>
      </c>
      <c r="E77" s="288"/>
      <c r="F77" s="289"/>
      <c r="G77" s="288"/>
      <c r="H77" s="277">
        <f t="shared" si="31"/>
        <v>2828</v>
      </c>
      <c r="I77" s="290"/>
      <c r="J77" s="289"/>
      <c r="K77" s="289"/>
      <c r="L77" s="277">
        <f t="shared" si="32"/>
        <v>0</v>
      </c>
      <c r="M77" s="278">
        <f t="shared" si="33"/>
        <v>2828</v>
      </c>
      <c r="N77" s="278"/>
      <c r="O77" s="278">
        <f t="shared" si="34"/>
        <v>2828</v>
      </c>
    </row>
    <row r="78" spans="1:16" s="274" customFormat="1" ht="31.5" x14ac:dyDescent="0.25">
      <c r="A78" s="265"/>
      <c r="B78" s="592" t="s">
        <v>1051</v>
      </c>
      <c r="C78" s="287">
        <v>-396</v>
      </c>
      <c r="D78" s="288">
        <v>-69</v>
      </c>
      <c r="E78" s="288">
        <v>465</v>
      </c>
      <c r="F78" s="289"/>
      <c r="G78" s="288"/>
      <c r="H78" s="277">
        <f t="shared" si="31"/>
        <v>0</v>
      </c>
      <c r="I78" s="290"/>
      <c r="J78" s="289"/>
      <c r="K78" s="289"/>
      <c r="L78" s="277">
        <f t="shared" si="32"/>
        <v>0</v>
      </c>
      <c r="M78" s="278">
        <f t="shared" si="33"/>
        <v>0</v>
      </c>
      <c r="N78" s="278"/>
      <c r="O78" s="278">
        <f t="shared" si="34"/>
        <v>0</v>
      </c>
    </row>
    <row r="79" spans="1:16" s="274" customFormat="1" x14ac:dyDescent="0.25">
      <c r="A79" s="265"/>
      <c r="B79" s="266" t="s">
        <v>161</v>
      </c>
      <c r="C79" s="267"/>
      <c r="D79" s="268"/>
      <c r="E79" s="268"/>
      <c r="F79" s="269"/>
      <c r="G79" s="268"/>
      <c r="H79" s="270"/>
      <c r="I79" s="276"/>
      <c r="J79" s="269"/>
      <c r="K79" s="269"/>
      <c r="L79" s="270"/>
      <c r="M79" s="273"/>
      <c r="N79" s="273"/>
      <c r="O79" s="273"/>
    </row>
    <row r="80" spans="1:16" s="274" customFormat="1" x14ac:dyDescent="0.25">
      <c r="A80" s="293"/>
      <c r="B80" s="597" t="s">
        <v>1231</v>
      </c>
      <c r="C80" s="287">
        <v>628</v>
      </c>
      <c r="D80" s="288">
        <v>204</v>
      </c>
      <c r="E80" s="288"/>
      <c r="F80" s="289"/>
      <c r="G80" s="288"/>
      <c r="H80" s="277">
        <f t="shared" si="31"/>
        <v>832</v>
      </c>
      <c r="I80" s="290"/>
      <c r="J80" s="289"/>
      <c r="K80" s="289"/>
      <c r="L80" s="277">
        <f t="shared" si="32"/>
        <v>0</v>
      </c>
      <c r="M80" s="277">
        <f t="shared" si="33"/>
        <v>832</v>
      </c>
      <c r="N80" s="277"/>
      <c r="O80" s="277">
        <f t="shared" si="34"/>
        <v>832</v>
      </c>
    </row>
    <row r="81" spans="1:16" s="274" customFormat="1" ht="31.5" x14ac:dyDescent="0.25">
      <c r="A81" s="293"/>
      <c r="B81" s="597" t="s">
        <v>1277</v>
      </c>
      <c r="C81" s="287">
        <v>23</v>
      </c>
      <c r="D81" s="288">
        <v>4</v>
      </c>
      <c r="E81" s="288"/>
      <c r="F81" s="289"/>
      <c r="G81" s="288"/>
      <c r="H81" s="277">
        <f t="shared" si="31"/>
        <v>27</v>
      </c>
      <c r="I81" s="290"/>
      <c r="J81" s="289"/>
      <c r="K81" s="289"/>
      <c r="L81" s="277">
        <f t="shared" si="32"/>
        <v>0</v>
      </c>
      <c r="M81" s="277">
        <f t="shared" si="33"/>
        <v>27</v>
      </c>
      <c r="N81" s="277"/>
      <c r="O81" s="277">
        <f t="shared" si="34"/>
        <v>27</v>
      </c>
    </row>
    <row r="82" spans="1:16" s="274" customFormat="1" ht="63" x14ac:dyDescent="0.25">
      <c r="A82" s="265"/>
      <c r="B82" s="592" t="s">
        <v>1154</v>
      </c>
      <c r="C82" s="287"/>
      <c r="D82" s="288"/>
      <c r="E82" s="288">
        <v>15</v>
      </c>
      <c r="F82" s="289"/>
      <c r="G82" s="288"/>
      <c r="H82" s="277">
        <f t="shared" si="31"/>
        <v>15</v>
      </c>
      <c r="I82" s="290"/>
      <c r="J82" s="289"/>
      <c r="K82" s="289"/>
      <c r="L82" s="277">
        <f t="shared" si="32"/>
        <v>0</v>
      </c>
      <c r="M82" s="278">
        <f t="shared" si="33"/>
        <v>15</v>
      </c>
      <c r="N82" s="278"/>
      <c r="O82" s="278">
        <f t="shared" si="34"/>
        <v>15</v>
      </c>
    </row>
    <row r="83" spans="1:16" s="274" customFormat="1" ht="79.5" thickBot="1" x14ac:dyDescent="0.3">
      <c r="A83" s="265"/>
      <c r="B83" s="592" t="s">
        <v>1279</v>
      </c>
      <c r="C83" s="287"/>
      <c r="D83" s="288"/>
      <c r="E83" s="288">
        <v>65</v>
      </c>
      <c r="F83" s="289"/>
      <c r="G83" s="288"/>
      <c r="H83" s="277">
        <f t="shared" si="31"/>
        <v>65</v>
      </c>
      <c r="I83" s="290"/>
      <c r="J83" s="289"/>
      <c r="K83" s="289"/>
      <c r="L83" s="277">
        <f t="shared" si="32"/>
        <v>0</v>
      </c>
      <c r="M83" s="278">
        <f t="shared" si="33"/>
        <v>65</v>
      </c>
      <c r="N83" s="278"/>
      <c r="O83" s="278">
        <f t="shared" si="34"/>
        <v>65</v>
      </c>
    </row>
    <row r="84" spans="1:16" ht="17.25" thickTop="1" thickBot="1" x14ac:dyDescent="0.3">
      <c r="A84" s="275"/>
      <c r="B84" s="101" t="s">
        <v>1035</v>
      </c>
      <c r="C84" s="102">
        <f>+C70+C74+C80+C75+C76+C77+C81+C78+C82+C83</f>
        <v>81261</v>
      </c>
      <c r="D84" s="102">
        <f t="shared" ref="D84:O84" si="35">+D70+D74+D80+D75+D76+D77+D81+D78+D82+D83</f>
        <v>15892</v>
      </c>
      <c r="E84" s="102">
        <f t="shared" si="35"/>
        <v>14739</v>
      </c>
      <c r="F84" s="102">
        <f t="shared" si="35"/>
        <v>0</v>
      </c>
      <c r="G84" s="102">
        <f t="shared" si="35"/>
        <v>0</v>
      </c>
      <c r="H84" s="102">
        <f t="shared" si="35"/>
        <v>111892</v>
      </c>
      <c r="I84" s="102">
        <f t="shared" si="35"/>
        <v>51</v>
      </c>
      <c r="J84" s="102">
        <f t="shared" si="35"/>
        <v>0</v>
      </c>
      <c r="K84" s="102">
        <f t="shared" si="35"/>
        <v>0</v>
      </c>
      <c r="L84" s="102">
        <f t="shared" si="35"/>
        <v>51</v>
      </c>
      <c r="M84" s="102">
        <f t="shared" si="35"/>
        <v>111943</v>
      </c>
      <c r="N84" s="102">
        <f t="shared" si="35"/>
        <v>0</v>
      </c>
      <c r="O84" s="102">
        <f t="shared" si="35"/>
        <v>111943</v>
      </c>
      <c r="P84" s="254">
        <f>O85+O86</f>
        <v>111943</v>
      </c>
    </row>
    <row r="85" spans="1:16" ht="17.25" thickTop="1" thickBot="1" x14ac:dyDescent="0.3">
      <c r="A85" s="275"/>
      <c r="B85" s="101" t="s">
        <v>1036</v>
      </c>
      <c r="C85" s="102">
        <f>+C71+C74+C75+C76+C77+C78</f>
        <v>79162</v>
      </c>
      <c r="D85" s="102">
        <f t="shared" ref="D85:O85" si="36">+D71+D74+D75+D76+D77+D78</f>
        <v>15189</v>
      </c>
      <c r="E85" s="102">
        <f t="shared" si="36"/>
        <v>14554</v>
      </c>
      <c r="F85" s="102">
        <f t="shared" si="36"/>
        <v>0</v>
      </c>
      <c r="G85" s="102">
        <f t="shared" si="36"/>
        <v>0</v>
      </c>
      <c r="H85" s="102">
        <f t="shared" si="36"/>
        <v>108905</v>
      </c>
      <c r="I85" s="102">
        <f t="shared" si="36"/>
        <v>51</v>
      </c>
      <c r="J85" s="102">
        <f t="shared" si="36"/>
        <v>0</v>
      </c>
      <c r="K85" s="102">
        <f t="shared" si="36"/>
        <v>0</v>
      </c>
      <c r="L85" s="102">
        <f t="shared" si="36"/>
        <v>51</v>
      </c>
      <c r="M85" s="102">
        <f t="shared" si="36"/>
        <v>108956</v>
      </c>
      <c r="N85" s="102">
        <f t="shared" si="36"/>
        <v>0</v>
      </c>
      <c r="O85" s="102">
        <f t="shared" si="36"/>
        <v>108956</v>
      </c>
    </row>
    <row r="86" spans="1:16" ht="17.25" thickTop="1" thickBot="1" x14ac:dyDescent="0.3">
      <c r="A86" s="275"/>
      <c r="B86" s="101" t="s">
        <v>1037</v>
      </c>
      <c r="C86" s="102">
        <f t="shared" ref="C86:O86" si="37">+C72+C80+C81+C82+C83</f>
        <v>2099</v>
      </c>
      <c r="D86" s="102">
        <f t="shared" si="37"/>
        <v>703</v>
      </c>
      <c r="E86" s="102">
        <f t="shared" si="37"/>
        <v>185</v>
      </c>
      <c r="F86" s="102">
        <f t="shared" si="37"/>
        <v>0</v>
      </c>
      <c r="G86" s="102">
        <f t="shared" si="37"/>
        <v>0</v>
      </c>
      <c r="H86" s="102">
        <f t="shared" si="37"/>
        <v>2987</v>
      </c>
      <c r="I86" s="102">
        <f t="shared" si="37"/>
        <v>0</v>
      </c>
      <c r="J86" s="102">
        <f t="shared" si="37"/>
        <v>0</v>
      </c>
      <c r="K86" s="102">
        <f t="shared" si="37"/>
        <v>0</v>
      </c>
      <c r="L86" s="102">
        <f t="shared" si="37"/>
        <v>0</v>
      </c>
      <c r="M86" s="102">
        <f t="shared" si="37"/>
        <v>2987</v>
      </c>
      <c r="N86" s="102">
        <f t="shared" si="37"/>
        <v>0</v>
      </c>
      <c r="O86" s="102">
        <f t="shared" si="37"/>
        <v>2987</v>
      </c>
    </row>
    <row r="87" spans="1:16" ht="16.5" thickTop="1" x14ac:dyDescent="0.25">
      <c r="A87" s="294" t="s">
        <v>226</v>
      </c>
      <c r="B87" s="621" t="s">
        <v>854</v>
      </c>
      <c r="C87" s="622"/>
      <c r="D87" s="623"/>
      <c r="E87" s="623"/>
      <c r="F87" s="624"/>
      <c r="G87" s="623"/>
      <c r="H87" s="625"/>
      <c r="I87" s="626"/>
      <c r="J87" s="624"/>
      <c r="K87" s="624"/>
      <c r="L87" s="625"/>
      <c r="M87" s="625"/>
      <c r="N87" s="625"/>
      <c r="O87" s="625"/>
    </row>
    <row r="88" spans="1:16" x14ac:dyDescent="0.25">
      <c r="A88" s="264"/>
      <c r="B88" s="592" t="s">
        <v>998</v>
      </c>
      <c r="C88" s="607">
        <v>45657</v>
      </c>
      <c r="D88" s="608">
        <v>8910</v>
      </c>
      <c r="E88" s="608">
        <v>6563</v>
      </c>
      <c r="F88" s="609"/>
      <c r="G88" s="608"/>
      <c r="H88" s="610">
        <f>SUM(C88:G88)</f>
        <v>61130</v>
      </c>
      <c r="I88" s="611">
        <v>45</v>
      </c>
      <c r="J88" s="609"/>
      <c r="K88" s="609"/>
      <c r="L88" s="610">
        <f>SUM(I88:K88)</f>
        <v>45</v>
      </c>
      <c r="M88" s="612">
        <f>SUM(H88+L88)</f>
        <v>61175</v>
      </c>
      <c r="N88" s="612"/>
      <c r="O88" s="612">
        <f>SUM(M88+N88)</f>
        <v>61175</v>
      </c>
    </row>
    <row r="89" spans="1:16" s="274" customFormat="1" x14ac:dyDescent="0.25">
      <c r="A89" s="265"/>
      <c r="B89" s="266" t="s">
        <v>1033</v>
      </c>
      <c r="C89" s="267">
        <v>44842</v>
      </c>
      <c r="D89" s="268">
        <v>8631</v>
      </c>
      <c r="E89" s="268">
        <v>6508</v>
      </c>
      <c r="F89" s="269"/>
      <c r="G89" s="268"/>
      <c r="H89" s="270">
        <f>SUM(C89:G89)</f>
        <v>59981</v>
      </c>
      <c r="I89" s="276">
        <v>45</v>
      </c>
      <c r="J89" s="269"/>
      <c r="K89" s="269"/>
      <c r="L89" s="270">
        <f>SUM(I89:K89)</f>
        <v>45</v>
      </c>
      <c r="M89" s="273">
        <f>SUM(H89+L89)</f>
        <v>60026</v>
      </c>
      <c r="N89" s="273"/>
      <c r="O89" s="273">
        <f>SUM(M89+N89)</f>
        <v>60026</v>
      </c>
    </row>
    <row r="90" spans="1:16" s="274" customFormat="1" x14ac:dyDescent="0.25">
      <c r="A90" s="265"/>
      <c r="B90" s="266" t="s">
        <v>1034</v>
      </c>
      <c r="C90" s="267">
        <v>815</v>
      </c>
      <c r="D90" s="268">
        <v>279</v>
      </c>
      <c r="E90" s="268">
        <v>55</v>
      </c>
      <c r="F90" s="269"/>
      <c r="G90" s="268"/>
      <c r="H90" s="270">
        <f>SUM(C90:G90)</f>
        <v>1149</v>
      </c>
      <c r="I90" s="276"/>
      <c r="J90" s="269"/>
      <c r="K90" s="269"/>
      <c r="L90" s="270">
        <f>SUM(I90:K90)</f>
        <v>0</v>
      </c>
      <c r="M90" s="273">
        <f>SUM(H90+L90)</f>
        <v>1149</v>
      </c>
      <c r="N90" s="273"/>
      <c r="O90" s="273">
        <f>SUM(M90+N90)</f>
        <v>1149</v>
      </c>
    </row>
    <row r="91" spans="1:16" s="274" customFormat="1" x14ac:dyDescent="0.25">
      <c r="A91" s="265"/>
      <c r="B91" s="266" t="s">
        <v>160</v>
      </c>
      <c r="C91" s="267"/>
      <c r="D91" s="268"/>
      <c r="E91" s="268"/>
      <c r="F91" s="269"/>
      <c r="G91" s="268"/>
      <c r="H91" s="270"/>
      <c r="I91" s="276"/>
      <c r="J91" s="269"/>
      <c r="K91" s="269"/>
      <c r="L91" s="270"/>
      <c r="M91" s="273"/>
      <c r="N91" s="273"/>
      <c r="O91" s="273"/>
    </row>
    <row r="92" spans="1:16" s="274" customFormat="1" x14ac:dyDescent="0.25">
      <c r="A92" s="265"/>
      <c r="B92" s="592" t="s">
        <v>1229</v>
      </c>
      <c r="C92" s="287">
        <v>32</v>
      </c>
      <c r="D92" s="288">
        <v>6</v>
      </c>
      <c r="E92" s="288"/>
      <c r="F92" s="289"/>
      <c r="G92" s="288"/>
      <c r="H92" s="277">
        <f t="shared" ref="H92:H99" si="38">SUM(C92:G92)</f>
        <v>38</v>
      </c>
      <c r="I92" s="290"/>
      <c r="J92" s="289"/>
      <c r="K92" s="289"/>
      <c r="L92" s="277">
        <f t="shared" ref="L92:L99" si="39">SUM(I92:K92)</f>
        <v>0</v>
      </c>
      <c r="M92" s="278">
        <f t="shared" ref="M92:M99" si="40">SUM(H92+L92)</f>
        <v>38</v>
      </c>
      <c r="N92" s="278"/>
      <c r="O92" s="278">
        <f t="shared" ref="O92:O99" si="41">SUM(M92+N92)</f>
        <v>38</v>
      </c>
    </row>
    <row r="93" spans="1:16" s="274" customFormat="1" ht="31.5" x14ac:dyDescent="0.25">
      <c r="A93" s="265"/>
      <c r="B93" s="592" t="s">
        <v>1278</v>
      </c>
      <c r="C93" s="287">
        <v>201</v>
      </c>
      <c r="D93" s="288">
        <v>35</v>
      </c>
      <c r="E93" s="288"/>
      <c r="F93" s="289"/>
      <c r="G93" s="288"/>
      <c r="H93" s="277">
        <f t="shared" si="38"/>
        <v>236</v>
      </c>
      <c r="I93" s="290"/>
      <c r="J93" s="289"/>
      <c r="K93" s="289"/>
      <c r="L93" s="277">
        <f t="shared" si="39"/>
        <v>0</v>
      </c>
      <c r="M93" s="278">
        <f t="shared" si="40"/>
        <v>236</v>
      </c>
      <c r="N93" s="278"/>
      <c r="O93" s="278">
        <f t="shared" si="41"/>
        <v>236</v>
      </c>
    </row>
    <row r="94" spans="1:16" s="274" customFormat="1" ht="31.5" x14ac:dyDescent="0.25">
      <c r="A94" s="265"/>
      <c r="B94" s="592" t="s">
        <v>1051</v>
      </c>
      <c r="C94" s="287">
        <v>-440</v>
      </c>
      <c r="D94" s="288">
        <v>-77</v>
      </c>
      <c r="E94" s="288">
        <v>517</v>
      </c>
      <c r="F94" s="289"/>
      <c r="G94" s="288"/>
      <c r="H94" s="277">
        <f t="shared" si="38"/>
        <v>0</v>
      </c>
      <c r="I94" s="290"/>
      <c r="J94" s="289"/>
      <c r="K94" s="289"/>
      <c r="L94" s="277">
        <f t="shared" si="39"/>
        <v>0</v>
      </c>
      <c r="M94" s="278">
        <f t="shared" si="40"/>
        <v>0</v>
      </c>
      <c r="N94" s="278"/>
      <c r="O94" s="278">
        <f t="shared" si="41"/>
        <v>0</v>
      </c>
    </row>
    <row r="95" spans="1:16" s="274" customFormat="1" x14ac:dyDescent="0.25">
      <c r="A95" s="265"/>
      <c r="B95" s="266" t="s">
        <v>161</v>
      </c>
      <c r="C95" s="267"/>
      <c r="D95" s="268"/>
      <c r="E95" s="268"/>
      <c r="F95" s="269"/>
      <c r="G95" s="268"/>
      <c r="H95" s="270"/>
      <c r="I95" s="276"/>
      <c r="J95" s="269"/>
      <c r="K95" s="269"/>
      <c r="L95" s="270"/>
      <c r="M95" s="273"/>
      <c r="N95" s="273"/>
      <c r="O95" s="273"/>
    </row>
    <row r="96" spans="1:16" s="274" customFormat="1" x14ac:dyDescent="0.25">
      <c r="A96" s="265"/>
      <c r="B96" s="592" t="s">
        <v>1231</v>
      </c>
      <c r="C96" s="287">
        <v>356</v>
      </c>
      <c r="D96" s="288">
        <v>116</v>
      </c>
      <c r="E96" s="288"/>
      <c r="F96" s="289"/>
      <c r="G96" s="288"/>
      <c r="H96" s="277">
        <f t="shared" si="38"/>
        <v>472</v>
      </c>
      <c r="I96" s="290"/>
      <c r="J96" s="289"/>
      <c r="K96" s="289"/>
      <c r="L96" s="277">
        <f t="shared" si="39"/>
        <v>0</v>
      </c>
      <c r="M96" s="278">
        <f t="shared" si="40"/>
        <v>472</v>
      </c>
      <c r="N96" s="278"/>
      <c r="O96" s="278">
        <f t="shared" si="41"/>
        <v>472</v>
      </c>
    </row>
    <row r="97" spans="1:16" s="274" customFormat="1" ht="31.5" x14ac:dyDescent="0.25">
      <c r="A97" s="265"/>
      <c r="B97" s="592" t="s">
        <v>1277</v>
      </c>
      <c r="C97" s="287">
        <v>45</v>
      </c>
      <c r="D97" s="288">
        <v>8</v>
      </c>
      <c r="E97" s="288"/>
      <c r="F97" s="289"/>
      <c r="G97" s="288"/>
      <c r="H97" s="277">
        <f t="shared" si="38"/>
        <v>53</v>
      </c>
      <c r="I97" s="290"/>
      <c r="J97" s="289"/>
      <c r="K97" s="289"/>
      <c r="L97" s="277">
        <f t="shared" si="39"/>
        <v>0</v>
      </c>
      <c r="M97" s="278">
        <f t="shared" si="40"/>
        <v>53</v>
      </c>
      <c r="N97" s="278"/>
      <c r="O97" s="278">
        <f t="shared" si="41"/>
        <v>53</v>
      </c>
    </row>
    <row r="98" spans="1:16" s="274" customFormat="1" ht="63" x14ac:dyDescent="0.25">
      <c r="A98" s="265"/>
      <c r="B98" s="592" t="s">
        <v>1154</v>
      </c>
      <c r="C98" s="287"/>
      <c r="D98" s="288"/>
      <c r="E98" s="288">
        <v>15</v>
      </c>
      <c r="F98" s="289"/>
      <c r="G98" s="288"/>
      <c r="H98" s="277">
        <f t="shared" si="38"/>
        <v>15</v>
      </c>
      <c r="I98" s="290"/>
      <c r="J98" s="289"/>
      <c r="K98" s="289"/>
      <c r="L98" s="277">
        <f t="shared" si="39"/>
        <v>0</v>
      </c>
      <c r="M98" s="278">
        <f t="shared" si="40"/>
        <v>15</v>
      </c>
      <c r="N98" s="278"/>
      <c r="O98" s="278">
        <f t="shared" si="41"/>
        <v>15</v>
      </c>
    </row>
    <row r="99" spans="1:16" s="274" customFormat="1" ht="79.5" thickBot="1" x14ac:dyDescent="0.3">
      <c r="A99" s="265"/>
      <c r="B99" s="592" t="s">
        <v>1279</v>
      </c>
      <c r="C99" s="287"/>
      <c r="D99" s="288"/>
      <c r="E99" s="288">
        <v>65</v>
      </c>
      <c r="F99" s="289"/>
      <c r="G99" s="288"/>
      <c r="H99" s="277">
        <f t="shared" si="38"/>
        <v>65</v>
      </c>
      <c r="I99" s="290"/>
      <c r="J99" s="289"/>
      <c r="K99" s="289"/>
      <c r="L99" s="277">
        <f t="shared" si="39"/>
        <v>0</v>
      </c>
      <c r="M99" s="278">
        <f t="shared" si="40"/>
        <v>65</v>
      </c>
      <c r="N99" s="278"/>
      <c r="O99" s="278">
        <f t="shared" si="41"/>
        <v>65</v>
      </c>
    </row>
    <row r="100" spans="1:16" ht="17.25" thickTop="1" thickBot="1" x14ac:dyDescent="0.3">
      <c r="A100" s="275"/>
      <c r="B100" s="101" t="s">
        <v>1035</v>
      </c>
      <c r="C100" s="102">
        <f>+C88+C92+C96+C93+C94+C97+C98+C99</f>
        <v>45851</v>
      </c>
      <c r="D100" s="102">
        <f t="shared" ref="D100:O100" si="42">+D88+D92+D96+D93+D94+D97+D98+D99</f>
        <v>8998</v>
      </c>
      <c r="E100" s="102">
        <f t="shared" si="42"/>
        <v>7160</v>
      </c>
      <c r="F100" s="102">
        <f t="shared" si="42"/>
        <v>0</v>
      </c>
      <c r="G100" s="102">
        <f t="shared" si="42"/>
        <v>0</v>
      </c>
      <c r="H100" s="102">
        <f t="shared" si="42"/>
        <v>62009</v>
      </c>
      <c r="I100" s="102">
        <f t="shared" si="42"/>
        <v>45</v>
      </c>
      <c r="J100" s="102">
        <f t="shared" si="42"/>
        <v>0</v>
      </c>
      <c r="K100" s="102">
        <f t="shared" si="42"/>
        <v>0</v>
      </c>
      <c r="L100" s="102">
        <f t="shared" si="42"/>
        <v>45</v>
      </c>
      <c r="M100" s="102">
        <f t="shared" si="42"/>
        <v>62054</v>
      </c>
      <c r="N100" s="102">
        <f t="shared" si="42"/>
        <v>0</v>
      </c>
      <c r="O100" s="102">
        <f t="shared" si="42"/>
        <v>62054</v>
      </c>
      <c r="P100" s="254">
        <f>O101+O102</f>
        <v>62054</v>
      </c>
    </row>
    <row r="101" spans="1:16" ht="17.25" thickTop="1" thickBot="1" x14ac:dyDescent="0.3">
      <c r="A101" s="275"/>
      <c r="B101" s="101" t="s">
        <v>1036</v>
      </c>
      <c r="C101" s="102">
        <f>+C89+C92+C93+C94</f>
        <v>44635</v>
      </c>
      <c r="D101" s="102">
        <f t="shared" ref="D101:O101" si="43">+D89+D92+D93+D94</f>
        <v>8595</v>
      </c>
      <c r="E101" s="102">
        <f t="shared" si="43"/>
        <v>7025</v>
      </c>
      <c r="F101" s="102">
        <f t="shared" si="43"/>
        <v>0</v>
      </c>
      <c r="G101" s="102">
        <f t="shared" si="43"/>
        <v>0</v>
      </c>
      <c r="H101" s="102">
        <f t="shared" si="43"/>
        <v>60255</v>
      </c>
      <c r="I101" s="102">
        <f t="shared" si="43"/>
        <v>45</v>
      </c>
      <c r="J101" s="102">
        <f t="shared" si="43"/>
        <v>0</v>
      </c>
      <c r="K101" s="102">
        <f t="shared" si="43"/>
        <v>0</v>
      </c>
      <c r="L101" s="102">
        <f t="shared" si="43"/>
        <v>45</v>
      </c>
      <c r="M101" s="102">
        <f t="shared" si="43"/>
        <v>60300</v>
      </c>
      <c r="N101" s="102">
        <f t="shared" si="43"/>
        <v>0</v>
      </c>
      <c r="O101" s="102">
        <f t="shared" si="43"/>
        <v>60300</v>
      </c>
    </row>
    <row r="102" spans="1:16" ht="17.25" thickTop="1" thickBot="1" x14ac:dyDescent="0.3">
      <c r="A102" s="275"/>
      <c r="B102" s="101" t="s">
        <v>1037</v>
      </c>
      <c r="C102" s="102">
        <f t="shared" ref="C102:O102" si="44">+C90+C96+C97+C98+C99</f>
        <v>1216</v>
      </c>
      <c r="D102" s="102">
        <f t="shared" si="44"/>
        <v>403</v>
      </c>
      <c r="E102" s="102">
        <f t="shared" si="44"/>
        <v>135</v>
      </c>
      <c r="F102" s="102">
        <f t="shared" si="44"/>
        <v>0</v>
      </c>
      <c r="G102" s="102">
        <f t="shared" si="44"/>
        <v>0</v>
      </c>
      <c r="H102" s="102">
        <f t="shared" si="44"/>
        <v>1754</v>
      </c>
      <c r="I102" s="102">
        <f t="shared" si="44"/>
        <v>0</v>
      </c>
      <c r="J102" s="102">
        <f t="shared" si="44"/>
        <v>0</v>
      </c>
      <c r="K102" s="102">
        <f t="shared" si="44"/>
        <v>0</v>
      </c>
      <c r="L102" s="102">
        <f t="shared" si="44"/>
        <v>0</v>
      </c>
      <c r="M102" s="102">
        <f t="shared" si="44"/>
        <v>1754</v>
      </c>
      <c r="N102" s="102">
        <f t="shared" si="44"/>
        <v>0</v>
      </c>
      <c r="O102" s="102">
        <f t="shared" si="44"/>
        <v>1754</v>
      </c>
    </row>
    <row r="103" spans="1:16" ht="16.5" thickTop="1" x14ac:dyDescent="0.25">
      <c r="A103" s="264"/>
      <c r="B103" s="597" t="s">
        <v>1042</v>
      </c>
      <c r="C103" s="607"/>
      <c r="D103" s="608"/>
      <c r="E103" s="608"/>
      <c r="F103" s="614"/>
      <c r="G103" s="608"/>
      <c r="H103" s="610"/>
      <c r="I103" s="611"/>
      <c r="J103" s="609"/>
      <c r="K103" s="609"/>
      <c r="L103" s="610"/>
      <c r="M103" s="610"/>
      <c r="N103" s="610"/>
      <c r="O103" s="610"/>
    </row>
    <row r="104" spans="1:16" x14ac:dyDescent="0.25">
      <c r="A104" s="264" t="s">
        <v>227</v>
      </c>
      <c r="B104" s="592" t="s">
        <v>998</v>
      </c>
      <c r="C104" s="607">
        <v>95152</v>
      </c>
      <c r="D104" s="608">
        <v>20407</v>
      </c>
      <c r="E104" s="608">
        <v>20187</v>
      </c>
      <c r="F104" s="609"/>
      <c r="G104" s="608"/>
      <c r="H104" s="610">
        <f>SUM(C104:G104)</f>
        <v>135746</v>
      </c>
      <c r="I104" s="611"/>
      <c r="J104" s="609"/>
      <c r="K104" s="609"/>
      <c r="L104" s="610">
        <f>SUM(I104:K104)</f>
        <v>0</v>
      </c>
      <c r="M104" s="612">
        <f>SUM(H104+L104)</f>
        <v>135746</v>
      </c>
      <c r="N104" s="612"/>
      <c r="O104" s="612">
        <f>SUM(M104+N104)</f>
        <v>135746</v>
      </c>
    </row>
    <row r="105" spans="1:16" s="274" customFormat="1" x14ac:dyDescent="0.25">
      <c r="A105" s="265"/>
      <c r="B105" s="266" t="s">
        <v>1033</v>
      </c>
      <c r="C105" s="267">
        <v>93383</v>
      </c>
      <c r="D105" s="268">
        <v>19802</v>
      </c>
      <c r="E105" s="268">
        <v>20132</v>
      </c>
      <c r="F105" s="269"/>
      <c r="G105" s="268"/>
      <c r="H105" s="270">
        <f>SUM(C105:G105)</f>
        <v>133317</v>
      </c>
      <c r="I105" s="276"/>
      <c r="J105" s="269"/>
      <c r="K105" s="269"/>
      <c r="L105" s="270">
        <f>SUM(I105:K105)</f>
        <v>0</v>
      </c>
      <c r="M105" s="273">
        <f>SUM(H105+L105)</f>
        <v>133317</v>
      </c>
      <c r="N105" s="273"/>
      <c r="O105" s="273">
        <f>SUM(M105+N105)</f>
        <v>133317</v>
      </c>
    </row>
    <row r="106" spans="1:16" s="274" customFormat="1" x14ac:dyDescent="0.25">
      <c r="A106" s="265"/>
      <c r="B106" s="266" t="s">
        <v>1034</v>
      </c>
      <c r="C106" s="267">
        <v>1769</v>
      </c>
      <c r="D106" s="268">
        <v>605</v>
      </c>
      <c r="E106" s="268">
        <v>55</v>
      </c>
      <c r="F106" s="269"/>
      <c r="G106" s="268"/>
      <c r="H106" s="270">
        <f>SUM(C106:G106)</f>
        <v>2429</v>
      </c>
      <c r="I106" s="276"/>
      <c r="J106" s="269"/>
      <c r="K106" s="269"/>
      <c r="L106" s="270">
        <f>SUM(I106:K106)</f>
        <v>0</v>
      </c>
      <c r="M106" s="273">
        <f>SUM(H106+L106)</f>
        <v>2429</v>
      </c>
      <c r="N106" s="273"/>
      <c r="O106" s="273">
        <f>SUM(M106+N106)</f>
        <v>2429</v>
      </c>
    </row>
    <row r="107" spans="1:16" s="274" customFormat="1" x14ac:dyDescent="0.25">
      <c r="A107" s="265"/>
      <c r="B107" s="266" t="s">
        <v>160</v>
      </c>
      <c r="C107" s="267"/>
      <c r="D107" s="268"/>
      <c r="E107" s="268"/>
      <c r="F107" s="269"/>
      <c r="G107" s="268"/>
      <c r="H107" s="270"/>
      <c r="I107" s="276"/>
      <c r="J107" s="269"/>
      <c r="K107" s="269"/>
      <c r="L107" s="270"/>
      <c r="M107" s="273"/>
      <c r="N107" s="273"/>
      <c r="O107" s="273"/>
    </row>
    <row r="108" spans="1:16" x14ac:dyDescent="0.25">
      <c r="A108" s="285"/>
      <c r="B108" s="592" t="s">
        <v>1229</v>
      </c>
      <c r="C108" s="287">
        <v>260</v>
      </c>
      <c r="D108" s="288">
        <v>46</v>
      </c>
      <c r="E108" s="288"/>
      <c r="F108" s="289"/>
      <c r="G108" s="288"/>
      <c r="H108" s="277">
        <f t="shared" ref="H108:H114" si="45">SUM(C108:G108)</f>
        <v>306</v>
      </c>
      <c r="I108" s="290"/>
      <c r="J108" s="289"/>
      <c r="K108" s="289"/>
      <c r="L108" s="277">
        <f t="shared" ref="L108:L114" si="46">SUM(I108:K108)</f>
        <v>0</v>
      </c>
      <c r="M108" s="278">
        <f t="shared" ref="M108:M114" si="47">SUM(H108+L108)</f>
        <v>306</v>
      </c>
      <c r="N108" s="278"/>
      <c r="O108" s="278">
        <f t="shared" ref="O108:O114" si="48">SUM(M108+N108)</f>
        <v>306</v>
      </c>
    </row>
    <row r="109" spans="1:16" ht="31.5" x14ac:dyDescent="0.25">
      <c r="A109" s="285"/>
      <c r="B109" s="592" t="s">
        <v>1278</v>
      </c>
      <c r="C109" s="287">
        <v>399</v>
      </c>
      <c r="D109" s="288">
        <v>70</v>
      </c>
      <c r="E109" s="288"/>
      <c r="F109" s="289"/>
      <c r="G109" s="288"/>
      <c r="H109" s="277">
        <f t="shared" si="45"/>
        <v>469</v>
      </c>
      <c r="I109" s="290"/>
      <c r="J109" s="289"/>
      <c r="K109" s="289"/>
      <c r="L109" s="277">
        <f t="shared" si="46"/>
        <v>0</v>
      </c>
      <c r="M109" s="278">
        <f t="shared" si="47"/>
        <v>469</v>
      </c>
      <c r="N109" s="278"/>
      <c r="O109" s="278">
        <f t="shared" si="48"/>
        <v>469</v>
      </c>
    </row>
    <row r="110" spans="1:16" ht="31.5" x14ac:dyDescent="0.25">
      <c r="A110" s="285"/>
      <c r="B110" s="592" t="s">
        <v>1051</v>
      </c>
      <c r="C110" s="287">
        <v>-605</v>
      </c>
      <c r="D110" s="288">
        <v>-106</v>
      </c>
      <c r="E110" s="288">
        <v>711</v>
      </c>
      <c r="F110" s="289"/>
      <c r="G110" s="288"/>
      <c r="H110" s="277">
        <f t="shared" si="45"/>
        <v>0</v>
      </c>
      <c r="I110" s="290"/>
      <c r="J110" s="289"/>
      <c r="K110" s="289"/>
      <c r="L110" s="277">
        <f t="shared" si="46"/>
        <v>0</v>
      </c>
      <c r="M110" s="278">
        <f t="shared" si="47"/>
        <v>0</v>
      </c>
      <c r="N110" s="278"/>
      <c r="O110" s="278">
        <f t="shared" si="48"/>
        <v>0</v>
      </c>
    </row>
    <row r="111" spans="1:16" s="274" customFormat="1" x14ac:dyDescent="0.25">
      <c r="A111" s="265"/>
      <c r="B111" s="266" t="s">
        <v>161</v>
      </c>
      <c r="C111" s="267"/>
      <c r="D111" s="268"/>
      <c r="E111" s="268"/>
      <c r="F111" s="269"/>
      <c r="G111" s="268"/>
      <c r="H111" s="270"/>
      <c r="I111" s="276"/>
      <c r="J111" s="269"/>
      <c r="K111" s="269"/>
      <c r="L111" s="270"/>
      <c r="M111" s="273"/>
      <c r="N111" s="273"/>
      <c r="O111" s="273"/>
    </row>
    <row r="112" spans="1:16" x14ac:dyDescent="0.25">
      <c r="A112" s="285"/>
      <c r="B112" s="592" t="s">
        <v>1231</v>
      </c>
      <c r="C112" s="287">
        <v>785</v>
      </c>
      <c r="D112" s="288">
        <v>255</v>
      </c>
      <c r="E112" s="288"/>
      <c r="F112" s="289"/>
      <c r="G112" s="288"/>
      <c r="H112" s="277">
        <f t="shared" si="45"/>
        <v>1040</v>
      </c>
      <c r="I112" s="290"/>
      <c r="J112" s="289"/>
      <c r="K112" s="289"/>
      <c r="L112" s="277">
        <f t="shared" si="46"/>
        <v>0</v>
      </c>
      <c r="M112" s="278">
        <f t="shared" si="47"/>
        <v>1040</v>
      </c>
      <c r="N112" s="278"/>
      <c r="O112" s="278">
        <f t="shared" si="48"/>
        <v>1040</v>
      </c>
    </row>
    <row r="113" spans="1:16" ht="31.5" x14ac:dyDescent="0.25">
      <c r="A113" s="295"/>
      <c r="B113" s="597" t="s">
        <v>1277</v>
      </c>
      <c r="C113" s="287">
        <v>113</v>
      </c>
      <c r="D113" s="288">
        <v>20</v>
      </c>
      <c r="E113" s="288"/>
      <c r="F113" s="289"/>
      <c r="G113" s="288"/>
      <c r="H113" s="277">
        <f t="shared" si="45"/>
        <v>133</v>
      </c>
      <c r="I113" s="290"/>
      <c r="J113" s="289"/>
      <c r="K113" s="289"/>
      <c r="L113" s="277">
        <f t="shared" si="46"/>
        <v>0</v>
      </c>
      <c r="M113" s="277">
        <f t="shared" si="47"/>
        <v>133</v>
      </c>
      <c r="N113" s="277"/>
      <c r="O113" s="277">
        <f t="shared" si="48"/>
        <v>133</v>
      </c>
    </row>
    <row r="114" spans="1:16" ht="79.5" thickBot="1" x14ac:dyDescent="0.3">
      <c r="A114" s="285"/>
      <c r="B114" s="592" t="s">
        <v>1279</v>
      </c>
      <c r="C114" s="287"/>
      <c r="D114" s="288"/>
      <c r="E114" s="288">
        <v>75</v>
      </c>
      <c r="F114" s="289"/>
      <c r="G114" s="288"/>
      <c r="H114" s="277">
        <f t="shared" si="45"/>
        <v>75</v>
      </c>
      <c r="I114" s="290"/>
      <c r="J114" s="289"/>
      <c r="K114" s="289"/>
      <c r="L114" s="277">
        <f t="shared" si="46"/>
        <v>0</v>
      </c>
      <c r="M114" s="278">
        <f t="shared" si="47"/>
        <v>75</v>
      </c>
      <c r="N114" s="278"/>
      <c r="O114" s="278">
        <f t="shared" si="48"/>
        <v>75</v>
      </c>
    </row>
    <row r="115" spans="1:16" ht="17.25" thickTop="1" thickBot="1" x14ac:dyDescent="0.3">
      <c r="A115" s="275"/>
      <c r="B115" s="101" t="s">
        <v>1035</v>
      </c>
      <c r="C115" s="102">
        <f>+C104+C108+C112+C109+C110+C113+C114</f>
        <v>96104</v>
      </c>
      <c r="D115" s="102">
        <f t="shared" ref="D115:O115" si="49">+D104+D108+D112+D109+D110+D113+D114</f>
        <v>20692</v>
      </c>
      <c r="E115" s="102">
        <f t="shared" si="49"/>
        <v>20973</v>
      </c>
      <c r="F115" s="102">
        <f t="shared" si="49"/>
        <v>0</v>
      </c>
      <c r="G115" s="102">
        <f t="shared" si="49"/>
        <v>0</v>
      </c>
      <c r="H115" s="102">
        <f t="shared" si="49"/>
        <v>137769</v>
      </c>
      <c r="I115" s="102">
        <f t="shared" si="49"/>
        <v>0</v>
      </c>
      <c r="J115" s="102">
        <f t="shared" si="49"/>
        <v>0</v>
      </c>
      <c r="K115" s="102">
        <f t="shared" si="49"/>
        <v>0</v>
      </c>
      <c r="L115" s="102">
        <f t="shared" si="49"/>
        <v>0</v>
      </c>
      <c r="M115" s="102">
        <f t="shared" si="49"/>
        <v>137769</v>
      </c>
      <c r="N115" s="102">
        <f t="shared" si="49"/>
        <v>0</v>
      </c>
      <c r="O115" s="102">
        <f t="shared" si="49"/>
        <v>137769</v>
      </c>
      <c r="P115" s="254">
        <f>O116+O117</f>
        <v>137769</v>
      </c>
    </row>
    <row r="116" spans="1:16" ht="17.25" thickTop="1" thickBot="1" x14ac:dyDescent="0.3">
      <c r="A116" s="275"/>
      <c r="B116" s="101" t="s">
        <v>1036</v>
      </c>
      <c r="C116" s="102">
        <f>+C105+C108+C109+C110</f>
        <v>93437</v>
      </c>
      <c r="D116" s="102">
        <f t="shared" ref="D116:O116" si="50">+D105+D108+D109+D110</f>
        <v>19812</v>
      </c>
      <c r="E116" s="102">
        <f t="shared" si="50"/>
        <v>20843</v>
      </c>
      <c r="F116" s="102">
        <f t="shared" si="50"/>
        <v>0</v>
      </c>
      <c r="G116" s="102">
        <f t="shared" si="50"/>
        <v>0</v>
      </c>
      <c r="H116" s="102">
        <f t="shared" si="50"/>
        <v>134092</v>
      </c>
      <c r="I116" s="102">
        <f t="shared" si="50"/>
        <v>0</v>
      </c>
      <c r="J116" s="102">
        <f t="shared" si="50"/>
        <v>0</v>
      </c>
      <c r="K116" s="102">
        <f t="shared" si="50"/>
        <v>0</v>
      </c>
      <c r="L116" s="102">
        <f t="shared" si="50"/>
        <v>0</v>
      </c>
      <c r="M116" s="102">
        <f t="shared" si="50"/>
        <v>134092</v>
      </c>
      <c r="N116" s="102">
        <f t="shared" si="50"/>
        <v>0</v>
      </c>
      <c r="O116" s="102">
        <f t="shared" si="50"/>
        <v>134092</v>
      </c>
    </row>
    <row r="117" spans="1:16" ht="17.25" thickTop="1" thickBot="1" x14ac:dyDescent="0.3">
      <c r="A117" s="275"/>
      <c r="B117" s="101" t="s">
        <v>1037</v>
      </c>
      <c r="C117" s="102">
        <f t="shared" ref="C117:O117" si="51">+C106+C112+C113+C114</f>
        <v>2667</v>
      </c>
      <c r="D117" s="102">
        <f t="shared" si="51"/>
        <v>880</v>
      </c>
      <c r="E117" s="102">
        <f t="shared" si="51"/>
        <v>130</v>
      </c>
      <c r="F117" s="102">
        <f t="shared" si="51"/>
        <v>0</v>
      </c>
      <c r="G117" s="102">
        <f t="shared" si="51"/>
        <v>0</v>
      </c>
      <c r="H117" s="102">
        <f t="shared" si="51"/>
        <v>3677</v>
      </c>
      <c r="I117" s="102">
        <f t="shared" si="51"/>
        <v>0</v>
      </c>
      <c r="J117" s="102">
        <f t="shared" si="51"/>
        <v>0</v>
      </c>
      <c r="K117" s="102">
        <f t="shared" si="51"/>
        <v>0</v>
      </c>
      <c r="L117" s="102">
        <f t="shared" si="51"/>
        <v>0</v>
      </c>
      <c r="M117" s="102">
        <f t="shared" si="51"/>
        <v>3677</v>
      </c>
      <c r="N117" s="102">
        <f t="shared" si="51"/>
        <v>0</v>
      </c>
      <c r="O117" s="102">
        <f t="shared" si="51"/>
        <v>3677</v>
      </c>
    </row>
    <row r="118" spans="1:16" ht="16.5" thickTop="1" x14ac:dyDescent="0.25">
      <c r="A118" s="264" t="s">
        <v>228</v>
      </c>
      <c r="B118" s="597" t="s">
        <v>1043</v>
      </c>
      <c r="C118" s="607"/>
      <c r="D118" s="608"/>
      <c r="E118" s="608"/>
      <c r="F118" s="614"/>
      <c r="G118" s="608"/>
      <c r="H118" s="610"/>
      <c r="I118" s="611"/>
      <c r="J118" s="609"/>
      <c r="K118" s="609"/>
      <c r="L118" s="610"/>
      <c r="M118" s="610"/>
      <c r="N118" s="610"/>
      <c r="O118" s="610"/>
    </row>
    <row r="119" spans="1:16" x14ac:dyDescent="0.25">
      <c r="A119" s="264"/>
      <c r="B119" s="592" t="s">
        <v>998</v>
      </c>
      <c r="C119" s="607">
        <v>74915</v>
      </c>
      <c r="D119" s="608">
        <v>16513</v>
      </c>
      <c r="E119" s="608">
        <v>15193</v>
      </c>
      <c r="F119" s="609"/>
      <c r="G119" s="608"/>
      <c r="H119" s="610">
        <f>SUM(C119:G119)</f>
        <v>106621</v>
      </c>
      <c r="I119" s="611">
        <v>27</v>
      </c>
      <c r="J119" s="609"/>
      <c r="K119" s="609"/>
      <c r="L119" s="610">
        <f>SUM(I119:K119)</f>
        <v>27</v>
      </c>
      <c r="M119" s="612">
        <f>SUM(H119+L119)</f>
        <v>106648</v>
      </c>
      <c r="N119" s="612"/>
      <c r="O119" s="612">
        <f>SUM(M119+N119)</f>
        <v>106648</v>
      </c>
    </row>
    <row r="120" spans="1:16" s="274" customFormat="1" x14ac:dyDescent="0.25">
      <c r="A120" s="265"/>
      <c r="B120" s="266" t="s">
        <v>1033</v>
      </c>
      <c r="C120" s="267">
        <v>73422</v>
      </c>
      <c r="D120" s="268">
        <v>16002</v>
      </c>
      <c r="E120" s="268">
        <v>15138</v>
      </c>
      <c r="F120" s="269"/>
      <c r="G120" s="268"/>
      <c r="H120" s="270">
        <f>SUM(C120:G120)</f>
        <v>104562</v>
      </c>
      <c r="I120" s="276">
        <v>27</v>
      </c>
      <c r="J120" s="269"/>
      <c r="K120" s="269"/>
      <c r="L120" s="270">
        <f>SUM(I120:K120)</f>
        <v>27</v>
      </c>
      <c r="M120" s="273">
        <f>SUM(H120+L120)</f>
        <v>104589</v>
      </c>
      <c r="N120" s="273"/>
      <c r="O120" s="273">
        <f>SUM(M120+N120)</f>
        <v>104589</v>
      </c>
    </row>
    <row r="121" spans="1:16" s="274" customFormat="1" x14ac:dyDescent="0.25">
      <c r="A121" s="265"/>
      <c r="B121" s="266" t="s">
        <v>1034</v>
      </c>
      <c r="C121" s="267">
        <v>1493</v>
      </c>
      <c r="D121" s="268">
        <v>511</v>
      </c>
      <c r="E121" s="268">
        <v>55</v>
      </c>
      <c r="F121" s="269"/>
      <c r="G121" s="268"/>
      <c r="H121" s="270">
        <f>SUM(C121:G121)</f>
        <v>2059</v>
      </c>
      <c r="I121" s="276"/>
      <c r="J121" s="269"/>
      <c r="K121" s="269"/>
      <c r="L121" s="270">
        <f>SUM(I121:K121)</f>
        <v>0</v>
      </c>
      <c r="M121" s="273">
        <f>SUM(H121+L121)</f>
        <v>2059</v>
      </c>
      <c r="N121" s="273"/>
      <c r="O121" s="273">
        <f>SUM(M121+N121)</f>
        <v>2059</v>
      </c>
    </row>
    <row r="122" spans="1:16" s="274" customFormat="1" x14ac:dyDescent="0.25">
      <c r="A122" s="265"/>
      <c r="B122" s="266" t="s">
        <v>160</v>
      </c>
      <c r="C122" s="267"/>
      <c r="D122" s="268"/>
      <c r="E122" s="268"/>
      <c r="F122" s="269"/>
      <c r="G122" s="268"/>
      <c r="H122" s="270"/>
      <c r="I122" s="276"/>
      <c r="J122" s="269"/>
      <c r="K122" s="269"/>
      <c r="L122" s="270"/>
      <c r="M122" s="273"/>
      <c r="N122" s="273"/>
      <c r="O122" s="273"/>
    </row>
    <row r="123" spans="1:16" s="274" customFormat="1" x14ac:dyDescent="0.25">
      <c r="A123" s="265"/>
      <c r="B123" s="592" t="s">
        <v>1229</v>
      </c>
      <c r="C123" s="287">
        <v>40</v>
      </c>
      <c r="D123" s="288">
        <v>7</v>
      </c>
      <c r="E123" s="288"/>
      <c r="F123" s="269"/>
      <c r="G123" s="268"/>
      <c r="H123" s="277">
        <f t="shared" ref="H123:H129" si="52">SUM(C123:G123)</f>
        <v>47</v>
      </c>
      <c r="I123" s="276"/>
      <c r="J123" s="269"/>
      <c r="K123" s="269"/>
      <c r="L123" s="277">
        <f t="shared" ref="L123:L129" si="53">SUM(I123:K123)</f>
        <v>0</v>
      </c>
      <c r="M123" s="278">
        <f t="shared" ref="M123:M129" si="54">SUM(H123+L123)</f>
        <v>47</v>
      </c>
      <c r="N123" s="273"/>
      <c r="O123" s="278">
        <f t="shared" ref="O123:O129" si="55">SUM(M123+N123)</f>
        <v>47</v>
      </c>
    </row>
    <row r="124" spans="1:16" s="274" customFormat="1" ht="31.5" x14ac:dyDescent="0.25">
      <c r="A124" s="265"/>
      <c r="B124" s="592" t="s">
        <v>1278</v>
      </c>
      <c r="C124" s="287">
        <v>366</v>
      </c>
      <c r="D124" s="288">
        <v>64</v>
      </c>
      <c r="E124" s="288"/>
      <c r="F124" s="269"/>
      <c r="G124" s="268"/>
      <c r="H124" s="277">
        <f t="shared" si="52"/>
        <v>430</v>
      </c>
      <c r="I124" s="276"/>
      <c r="J124" s="269"/>
      <c r="K124" s="269"/>
      <c r="L124" s="277">
        <f t="shared" si="53"/>
        <v>0</v>
      </c>
      <c r="M124" s="278">
        <f t="shared" si="54"/>
        <v>430</v>
      </c>
      <c r="N124" s="273"/>
      <c r="O124" s="278">
        <f t="shared" si="55"/>
        <v>430</v>
      </c>
    </row>
    <row r="125" spans="1:16" s="274" customFormat="1" ht="31.5" x14ac:dyDescent="0.25">
      <c r="A125" s="265"/>
      <c r="B125" s="592" t="s">
        <v>1051</v>
      </c>
      <c r="C125" s="287">
        <v>-561</v>
      </c>
      <c r="D125" s="288">
        <v>-98</v>
      </c>
      <c r="E125" s="288">
        <v>659</v>
      </c>
      <c r="F125" s="269"/>
      <c r="G125" s="268"/>
      <c r="H125" s="277">
        <f t="shared" si="52"/>
        <v>0</v>
      </c>
      <c r="I125" s="276"/>
      <c r="J125" s="269"/>
      <c r="K125" s="269"/>
      <c r="L125" s="277">
        <f t="shared" si="53"/>
        <v>0</v>
      </c>
      <c r="M125" s="278">
        <f t="shared" si="54"/>
        <v>0</v>
      </c>
      <c r="N125" s="273"/>
      <c r="O125" s="278">
        <f t="shared" si="55"/>
        <v>0</v>
      </c>
    </row>
    <row r="126" spans="1:16" s="274" customFormat="1" x14ac:dyDescent="0.25">
      <c r="A126" s="265"/>
      <c r="B126" s="266" t="s">
        <v>161</v>
      </c>
      <c r="C126" s="287"/>
      <c r="D126" s="288"/>
      <c r="E126" s="288"/>
      <c r="F126" s="269"/>
      <c r="G126" s="268"/>
      <c r="H126" s="277"/>
      <c r="I126" s="276"/>
      <c r="J126" s="269"/>
      <c r="K126" s="269"/>
      <c r="L126" s="277"/>
      <c r="M126" s="278"/>
      <c r="N126" s="273"/>
      <c r="O126" s="278"/>
    </row>
    <row r="127" spans="1:16" s="274" customFormat="1" x14ac:dyDescent="0.25">
      <c r="A127" s="265"/>
      <c r="B127" s="592" t="s">
        <v>1231</v>
      </c>
      <c r="C127" s="287">
        <v>660</v>
      </c>
      <c r="D127" s="288">
        <v>214</v>
      </c>
      <c r="E127" s="288"/>
      <c r="F127" s="269"/>
      <c r="G127" s="268"/>
      <c r="H127" s="277">
        <f t="shared" si="52"/>
        <v>874</v>
      </c>
      <c r="I127" s="276"/>
      <c r="J127" s="269"/>
      <c r="K127" s="269"/>
      <c r="L127" s="277">
        <f t="shared" si="53"/>
        <v>0</v>
      </c>
      <c r="M127" s="278">
        <f t="shared" si="54"/>
        <v>874</v>
      </c>
      <c r="N127" s="273"/>
      <c r="O127" s="278">
        <f t="shared" si="55"/>
        <v>874</v>
      </c>
    </row>
    <row r="128" spans="1:16" s="274" customFormat="1" ht="31.5" x14ac:dyDescent="0.25">
      <c r="A128" s="265"/>
      <c r="B128" s="592" t="s">
        <v>1277</v>
      </c>
      <c r="C128" s="287">
        <v>136</v>
      </c>
      <c r="D128" s="288">
        <v>24</v>
      </c>
      <c r="E128" s="288"/>
      <c r="F128" s="269"/>
      <c r="G128" s="268"/>
      <c r="H128" s="277">
        <f t="shared" si="52"/>
        <v>160</v>
      </c>
      <c r="I128" s="276"/>
      <c r="J128" s="269"/>
      <c r="K128" s="269"/>
      <c r="L128" s="277">
        <f t="shared" si="53"/>
        <v>0</v>
      </c>
      <c r="M128" s="278">
        <f t="shared" si="54"/>
        <v>160</v>
      </c>
      <c r="N128" s="273"/>
      <c r="O128" s="278">
        <f t="shared" si="55"/>
        <v>160</v>
      </c>
    </row>
    <row r="129" spans="1:16" s="274" customFormat="1" ht="79.5" thickBot="1" x14ac:dyDescent="0.3">
      <c r="A129" s="265"/>
      <c r="B129" s="592" t="s">
        <v>1279</v>
      </c>
      <c r="C129" s="287"/>
      <c r="D129" s="288"/>
      <c r="E129" s="288">
        <v>65</v>
      </c>
      <c r="F129" s="269"/>
      <c r="G129" s="268"/>
      <c r="H129" s="277">
        <f t="shared" si="52"/>
        <v>65</v>
      </c>
      <c r="I129" s="276"/>
      <c r="J129" s="269"/>
      <c r="K129" s="269"/>
      <c r="L129" s="277">
        <f t="shared" si="53"/>
        <v>0</v>
      </c>
      <c r="M129" s="278">
        <f t="shared" si="54"/>
        <v>65</v>
      </c>
      <c r="N129" s="273"/>
      <c r="O129" s="278">
        <f t="shared" si="55"/>
        <v>65</v>
      </c>
    </row>
    <row r="130" spans="1:16" ht="17.25" thickTop="1" thickBot="1" x14ac:dyDescent="0.3">
      <c r="A130" s="275"/>
      <c r="B130" s="101" t="s">
        <v>1035</v>
      </c>
      <c r="C130" s="102">
        <f>+C119+C123+C127+C124+C125+C128+C129</f>
        <v>75556</v>
      </c>
      <c r="D130" s="102">
        <f t="shared" ref="D130:O130" si="56">+D119+D123+D127+D124+D125+D128+D129</f>
        <v>16724</v>
      </c>
      <c r="E130" s="102">
        <f t="shared" si="56"/>
        <v>15917</v>
      </c>
      <c r="F130" s="102">
        <f t="shared" si="56"/>
        <v>0</v>
      </c>
      <c r="G130" s="102">
        <f t="shared" si="56"/>
        <v>0</v>
      </c>
      <c r="H130" s="102">
        <f t="shared" si="56"/>
        <v>108197</v>
      </c>
      <c r="I130" s="102">
        <f t="shared" si="56"/>
        <v>27</v>
      </c>
      <c r="J130" s="102">
        <f t="shared" si="56"/>
        <v>0</v>
      </c>
      <c r="K130" s="102">
        <f t="shared" si="56"/>
        <v>0</v>
      </c>
      <c r="L130" s="102">
        <f t="shared" si="56"/>
        <v>27</v>
      </c>
      <c r="M130" s="102">
        <f t="shared" si="56"/>
        <v>108224</v>
      </c>
      <c r="N130" s="102">
        <f t="shared" si="56"/>
        <v>0</v>
      </c>
      <c r="O130" s="102">
        <f t="shared" si="56"/>
        <v>108224</v>
      </c>
      <c r="P130" s="254">
        <f>O131+O132</f>
        <v>108224</v>
      </c>
    </row>
    <row r="131" spans="1:16" ht="17.25" thickTop="1" thickBot="1" x14ac:dyDescent="0.3">
      <c r="A131" s="275"/>
      <c r="B131" s="101" t="s">
        <v>1036</v>
      </c>
      <c r="C131" s="102">
        <f>+C120+C123+C124+C125</f>
        <v>73267</v>
      </c>
      <c r="D131" s="102">
        <f t="shared" ref="D131:O131" si="57">+D120+D123+D124+D125</f>
        <v>15975</v>
      </c>
      <c r="E131" s="102">
        <f t="shared" si="57"/>
        <v>15797</v>
      </c>
      <c r="F131" s="102">
        <f t="shared" si="57"/>
        <v>0</v>
      </c>
      <c r="G131" s="102">
        <f t="shared" si="57"/>
        <v>0</v>
      </c>
      <c r="H131" s="102">
        <f t="shared" si="57"/>
        <v>105039</v>
      </c>
      <c r="I131" s="102">
        <f t="shared" si="57"/>
        <v>27</v>
      </c>
      <c r="J131" s="102">
        <f t="shared" si="57"/>
        <v>0</v>
      </c>
      <c r="K131" s="102">
        <f t="shared" si="57"/>
        <v>0</v>
      </c>
      <c r="L131" s="102">
        <f t="shared" si="57"/>
        <v>27</v>
      </c>
      <c r="M131" s="102">
        <f t="shared" si="57"/>
        <v>105066</v>
      </c>
      <c r="N131" s="102">
        <f t="shared" si="57"/>
        <v>0</v>
      </c>
      <c r="O131" s="102">
        <f t="shared" si="57"/>
        <v>105066</v>
      </c>
    </row>
    <row r="132" spans="1:16" ht="17.25" thickTop="1" thickBot="1" x14ac:dyDescent="0.3">
      <c r="A132" s="275"/>
      <c r="B132" s="101" t="s">
        <v>1037</v>
      </c>
      <c r="C132" s="102">
        <f t="shared" ref="C132:O132" si="58">+C121+C127+C128+C129</f>
        <v>2289</v>
      </c>
      <c r="D132" s="102">
        <f t="shared" si="58"/>
        <v>749</v>
      </c>
      <c r="E132" s="102">
        <f t="shared" si="58"/>
        <v>120</v>
      </c>
      <c r="F132" s="102">
        <f t="shared" si="58"/>
        <v>0</v>
      </c>
      <c r="G132" s="102">
        <f t="shared" si="58"/>
        <v>0</v>
      </c>
      <c r="H132" s="102">
        <f t="shared" si="58"/>
        <v>3158</v>
      </c>
      <c r="I132" s="102">
        <f t="shared" si="58"/>
        <v>0</v>
      </c>
      <c r="J132" s="102">
        <f t="shared" si="58"/>
        <v>0</v>
      </c>
      <c r="K132" s="102">
        <f t="shared" si="58"/>
        <v>0</v>
      </c>
      <c r="L132" s="102">
        <f t="shared" si="58"/>
        <v>0</v>
      </c>
      <c r="M132" s="102">
        <f t="shared" si="58"/>
        <v>3158</v>
      </c>
      <c r="N132" s="102">
        <f t="shared" si="58"/>
        <v>0</v>
      </c>
      <c r="O132" s="102">
        <f t="shared" si="58"/>
        <v>3158</v>
      </c>
    </row>
    <row r="133" spans="1:16" ht="17.25" thickTop="1" thickBot="1" x14ac:dyDescent="0.3">
      <c r="A133" s="275"/>
      <c r="B133" s="101" t="s">
        <v>398</v>
      </c>
      <c r="C133" s="102">
        <f t="shared" ref="C133:O133" si="59">SUM(C50+C66+C84+C100+C115+C130)</f>
        <v>455596</v>
      </c>
      <c r="D133" s="102">
        <f t="shared" si="59"/>
        <v>92864</v>
      </c>
      <c r="E133" s="102">
        <f t="shared" si="59"/>
        <v>90762</v>
      </c>
      <c r="F133" s="102">
        <f t="shared" si="59"/>
        <v>0</v>
      </c>
      <c r="G133" s="102">
        <f t="shared" si="59"/>
        <v>0</v>
      </c>
      <c r="H133" s="102">
        <f t="shared" si="59"/>
        <v>639222</v>
      </c>
      <c r="I133" s="102">
        <f t="shared" si="59"/>
        <v>685</v>
      </c>
      <c r="J133" s="102">
        <f t="shared" si="59"/>
        <v>0</v>
      </c>
      <c r="K133" s="102">
        <f t="shared" si="59"/>
        <v>0</v>
      </c>
      <c r="L133" s="102">
        <f t="shared" si="59"/>
        <v>685</v>
      </c>
      <c r="M133" s="102">
        <f t="shared" si="59"/>
        <v>639907</v>
      </c>
      <c r="N133" s="102">
        <f t="shared" si="59"/>
        <v>0</v>
      </c>
      <c r="O133" s="102">
        <f t="shared" si="59"/>
        <v>639907</v>
      </c>
    </row>
    <row r="134" spans="1:16" ht="16.5" thickTop="1" x14ac:dyDescent="0.25">
      <c r="A134" s="264" t="s">
        <v>229</v>
      </c>
      <c r="B134" s="597" t="s">
        <v>399</v>
      </c>
      <c r="C134" s="607"/>
      <c r="D134" s="608"/>
      <c r="E134" s="608"/>
      <c r="F134" s="614"/>
      <c r="G134" s="608"/>
      <c r="H134" s="610"/>
      <c r="I134" s="611"/>
      <c r="J134" s="609"/>
      <c r="K134" s="609"/>
      <c r="L134" s="610"/>
      <c r="M134" s="610"/>
      <c r="N134" s="610"/>
      <c r="O134" s="610"/>
    </row>
    <row r="135" spans="1:16" x14ac:dyDescent="0.25">
      <c r="A135" s="264"/>
      <c r="B135" s="592" t="s">
        <v>998</v>
      </c>
      <c r="C135" s="607">
        <v>178455</v>
      </c>
      <c r="D135" s="608">
        <v>38268</v>
      </c>
      <c r="E135" s="608">
        <v>75642</v>
      </c>
      <c r="F135" s="609"/>
      <c r="G135" s="608"/>
      <c r="H135" s="610">
        <f>SUM(C135:G135)</f>
        <v>292365</v>
      </c>
      <c r="I135" s="611"/>
      <c r="J135" s="609"/>
      <c r="K135" s="609"/>
      <c r="L135" s="610">
        <f>SUM(I135:K135)</f>
        <v>0</v>
      </c>
      <c r="M135" s="612">
        <f>SUM(H135+L135)</f>
        <v>292365</v>
      </c>
      <c r="N135" s="612"/>
      <c r="O135" s="612">
        <f>SUM(M135+N135)</f>
        <v>292365</v>
      </c>
    </row>
    <row r="136" spans="1:16" x14ac:dyDescent="0.25">
      <c r="A136" s="264"/>
      <c r="B136" s="266" t="s">
        <v>1033</v>
      </c>
      <c r="C136" s="267">
        <v>175407</v>
      </c>
      <c r="D136" s="268">
        <v>37225</v>
      </c>
      <c r="E136" s="268">
        <v>75487</v>
      </c>
      <c r="F136" s="269"/>
      <c r="G136" s="268"/>
      <c r="H136" s="270">
        <f>SUM(C136:G136)</f>
        <v>288119</v>
      </c>
      <c r="I136" s="276"/>
      <c r="J136" s="269"/>
      <c r="K136" s="269"/>
      <c r="L136" s="270">
        <f>SUM(I136:K136)</f>
        <v>0</v>
      </c>
      <c r="M136" s="273">
        <f>SUM(H136+L136)</f>
        <v>288119</v>
      </c>
      <c r="N136" s="273"/>
      <c r="O136" s="273">
        <f>SUM(M136+N136)</f>
        <v>288119</v>
      </c>
    </row>
    <row r="137" spans="1:16" x14ac:dyDescent="0.25">
      <c r="A137" s="264"/>
      <c r="B137" s="266" t="s">
        <v>1034</v>
      </c>
      <c r="C137" s="267">
        <v>3048</v>
      </c>
      <c r="D137" s="268">
        <v>1043</v>
      </c>
      <c r="E137" s="268">
        <v>155</v>
      </c>
      <c r="F137" s="269"/>
      <c r="G137" s="268"/>
      <c r="H137" s="270">
        <f>SUM(C137:G137)</f>
        <v>4246</v>
      </c>
      <c r="I137" s="276"/>
      <c r="J137" s="269"/>
      <c r="K137" s="269"/>
      <c r="L137" s="270">
        <f>SUM(I137:K137)</f>
        <v>0</v>
      </c>
      <c r="M137" s="273">
        <f>SUM(H137+L137)</f>
        <v>4246</v>
      </c>
      <c r="N137" s="273"/>
      <c r="O137" s="273">
        <f>SUM(M137+N137)</f>
        <v>4246</v>
      </c>
    </row>
    <row r="138" spans="1:16" x14ac:dyDescent="0.25">
      <c r="A138" s="279"/>
      <c r="B138" s="280" t="s">
        <v>160</v>
      </c>
      <c r="C138" s="267"/>
      <c r="D138" s="268"/>
      <c r="E138" s="268"/>
      <c r="F138" s="269"/>
      <c r="G138" s="268"/>
      <c r="H138" s="270"/>
      <c r="I138" s="276"/>
      <c r="J138" s="269"/>
      <c r="K138" s="269"/>
      <c r="L138" s="270"/>
      <c r="M138" s="270"/>
      <c r="N138" s="270"/>
      <c r="O138" s="270"/>
    </row>
    <row r="139" spans="1:16" x14ac:dyDescent="0.25">
      <c r="A139" s="264"/>
      <c r="B139" s="592" t="s">
        <v>1229</v>
      </c>
      <c r="C139" s="287">
        <v>17</v>
      </c>
      <c r="D139" s="288">
        <v>3</v>
      </c>
      <c r="E139" s="288"/>
      <c r="F139" s="289"/>
      <c r="G139" s="268"/>
      <c r="H139" s="277">
        <f t="shared" ref="H139:H146" si="60">SUM(C139:G139)</f>
        <v>20</v>
      </c>
      <c r="I139" s="276"/>
      <c r="J139" s="269"/>
      <c r="K139" s="269"/>
      <c r="L139" s="277">
        <f t="shared" ref="L139:L146" si="61">SUM(I139:K139)</f>
        <v>0</v>
      </c>
      <c r="M139" s="277">
        <f t="shared" ref="M139:M146" si="62">SUM(H139+L139)</f>
        <v>20</v>
      </c>
      <c r="N139" s="270"/>
      <c r="O139" s="277">
        <f t="shared" ref="O139:O146" si="63">SUM(M139+N139)</f>
        <v>20</v>
      </c>
    </row>
    <row r="140" spans="1:16" ht="47.25" x14ac:dyDescent="0.25">
      <c r="A140" s="279"/>
      <c r="B140" s="597" t="s">
        <v>1276</v>
      </c>
      <c r="C140" s="287">
        <v>1380</v>
      </c>
      <c r="D140" s="288">
        <v>242</v>
      </c>
      <c r="E140" s="288"/>
      <c r="F140" s="289"/>
      <c r="G140" s="268"/>
      <c r="H140" s="277">
        <f t="shared" si="60"/>
        <v>1622</v>
      </c>
      <c r="I140" s="276"/>
      <c r="J140" s="269"/>
      <c r="K140" s="269"/>
      <c r="L140" s="277">
        <f t="shared" si="61"/>
        <v>0</v>
      </c>
      <c r="M140" s="277">
        <f t="shared" si="62"/>
        <v>1622</v>
      </c>
      <c r="N140" s="270"/>
      <c r="O140" s="277">
        <f t="shared" si="63"/>
        <v>1622</v>
      </c>
    </row>
    <row r="141" spans="1:16" ht="31.5" x14ac:dyDescent="0.25">
      <c r="A141" s="264"/>
      <c r="B141" s="592" t="s">
        <v>1051</v>
      </c>
      <c r="C141" s="287"/>
      <c r="D141" s="288"/>
      <c r="E141" s="288">
        <v>-26</v>
      </c>
      <c r="F141" s="289"/>
      <c r="G141" s="268"/>
      <c r="H141" s="277">
        <f t="shared" si="60"/>
        <v>-26</v>
      </c>
      <c r="I141" s="276">
        <v>26</v>
      </c>
      <c r="J141" s="269"/>
      <c r="K141" s="269"/>
      <c r="L141" s="277">
        <f t="shared" si="61"/>
        <v>26</v>
      </c>
      <c r="M141" s="277">
        <f t="shared" si="62"/>
        <v>0</v>
      </c>
      <c r="N141" s="270"/>
      <c r="O141" s="277">
        <f t="shared" si="63"/>
        <v>0</v>
      </c>
    </row>
    <row r="142" spans="1:16" x14ac:dyDescent="0.25">
      <c r="A142" s="264"/>
      <c r="B142" s="266" t="s">
        <v>161</v>
      </c>
      <c r="C142" s="287"/>
      <c r="D142" s="288"/>
      <c r="E142" s="288"/>
      <c r="F142" s="289"/>
      <c r="G142" s="268"/>
      <c r="H142" s="277"/>
      <c r="I142" s="276"/>
      <c r="J142" s="269"/>
      <c r="K142" s="269"/>
      <c r="L142" s="277"/>
      <c r="M142" s="278"/>
      <c r="N142" s="273"/>
      <c r="O142" s="278"/>
    </row>
    <row r="143" spans="1:16" x14ac:dyDescent="0.25">
      <c r="A143" s="264"/>
      <c r="B143" s="592" t="s">
        <v>1231</v>
      </c>
      <c r="C143" s="287">
        <v>1323</v>
      </c>
      <c r="D143" s="288">
        <v>430</v>
      </c>
      <c r="E143" s="288"/>
      <c r="F143" s="289"/>
      <c r="G143" s="268"/>
      <c r="H143" s="277">
        <f t="shared" si="60"/>
        <v>1753</v>
      </c>
      <c r="I143" s="290"/>
      <c r="J143" s="269"/>
      <c r="K143" s="269"/>
      <c r="L143" s="277">
        <f t="shared" si="61"/>
        <v>0</v>
      </c>
      <c r="M143" s="278">
        <f t="shared" si="62"/>
        <v>1753</v>
      </c>
      <c r="N143" s="273"/>
      <c r="O143" s="278">
        <f t="shared" si="63"/>
        <v>1753</v>
      </c>
    </row>
    <row r="144" spans="1:16" ht="31.5" x14ac:dyDescent="0.25">
      <c r="A144" s="264"/>
      <c r="B144" s="592" t="s">
        <v>1277</v>
      </c>
      <c r="C144" s="287">
        <v>90</v>
      </c>
      <c r="D144" s="288">
        <v>16</v>
      </c>
      <c r="E144" s="288"/>
      <c r="F144" s="289"/>
      <c r="G144" s="268"/>
      <c r="H144" s="277">
        <f t="shared" si="60"/>
        <v>106</v>
      </c>
      <c r="I144" s="290"/>
      <c r="J144" s="269"/>
      <c r="K144" s="269"/>
      <c r="L144" s="277">
        <f t="shared" si="61"/>
        <v>0</v>
      </c>
      <c r="M144" s="278">
        <f t="shared" si="62"/>
        <v>106</v>
      </c>
      <c r="N144" s="273"/>
      <c r="O144" s="278">
        <f t="shared" si="63"/>
        <v>106</v>
      </c>
    </row>
    <row r="145" spans="1:16" ht="63" x14ac:dyDescent="0.25">
      <c r="A145" s="264"/>
      <c r="B145" s="592" t="s">
        <v>1154</v>
      </c>
      <c r="C145" s="287"/>
      <c r="D145" s="288"/>
      <c r="E145" s="288">
        <v>15</v>
      </c>
      <c r="F145" s="289"/>
      <c r="G145" s="268"/>
      <c r="H145" s="277">
        <f t="shared" si="60"/>
        <v>15</v>
      </c>
      <c r="I145" s="290"/>
      <c r="J145" s="269"/>
      <c r="K145" s="269"/>
      <c r="L145" s="277">
        <f t="shared" si="61"/>
        <v>0</v>
      </c>
      <c r="M145" s="278">
        <f t="shared" si="62"/>
        <v>15</v>
      </c>
      <c r="N145" s="273"/>
      <c r="O145" s="278">
        <f t="shared" si="63"/>
        <v>15</v>
      </c>
    </row>
    <row r="146" spans="1:16" ht="79.5" thickBot="1" x14ac:dyDescent="0.3">
      <c r="A146" s="264"/>
      <c r="B146" s="592" t="s">
        <v>1280</v>
      </c>
      <c r="C146" s="287"/>
      <c r="D146" s="288"/>
      <c r="E146" s="288">
        <v>15</v>
      </c>
      <c r="F146" s="289"/>
      <c r="G146" s="268"/>
      <c r="H146" s="277">
        <f t="shared" si="60"/>
        <v>15</v>
      </c>
      <c r="I146" s="290"/>
      <c r="J146" s="269"/>
      <c r="K146" s="269"/>
      <c r="L146" s="277">
        <f t="shared" si="61"/>
        <v>0</v>
      </c>
      <c r="M146" s="278">
        <f t="shared" si="62"/>
        <v>15</v>
      </c>
      <c r="N146" s="273"/>
      <c r="O146" s="278">
        <f t="shared" si="63"/>
        <v>15</v>
      </c>
    </row>
    <row r="147" spans="1:16" ht="17.25" thickTop="1" thickBot="1" x14ac:dyDescent="0.3">
      <c r="A147" s="275"/>
      <c r="B147" s="307" t="s">
        <v>1035</v>
      </c>
      <c r="C147" s="102">
        <f>+C135+C139+C143+C140+C144+C141+C145+C146</f>
        <v>181265</v>
      </c>
      <c r="D147" s="102">
        <f t="shared" ref="D147:O147" si="64">+D135+D139+D143+D140+D144+D141+D145+D146</f>
        <v>38959</v>
      </c>
      <c r="E147" s="102">
        <f t="shared" si="64"/>
        <v>75646</v>
      </c>
      <c r="F147" s="102">
        <f t="shared" si="64"/>
        <v>0</v>
      </c>
      <c r="G147" s="102">
        <f t="shared" si="64"/>
        <v>0</v>
      </c>
      <c r="H147" s="102">
        <f t="shared" si="64"/>
        <v>295870</v>
      </c>
      <c r="I147" s="102">
        <f t="shared" si="64"/>
        <v>26</v>
      </c>
      <c r="J147" s="102">
        <f t="shared" si="64"/>
        <v>0</v>
      </c>
      <c r="K147" s="102">
        <f t="shared" si="64"/>
        <v>0</v>
      </c>
      <c r="L147" s="102">
        <f t="shared" si="64"/>
        <v>26</v>
      </c>
      <c r="M147" s="102">
        <f t="shared" si="64"/>
        <v>295896</v>
      </c>
      <c r="N147" s="102">
        <f t="shared" si="64"/>
        <v>0</v>
      </c>
      <c r="O147" s="102">
        <f t="shared" si="64"/>
        <v>295896</v>
      </c>
      <c r="P147" s="254">
        <f>O148+O149</f>
        <v>295896</v>
      </c>
    </row>
    <row r="148" spans="1:16" ht="17.25" thickTop="1" thickBot="1" x14ac:dyDescent="0.3">
      <c r="A148" s="275"/>
      <c r="B148" s="101" t="s">
        <v>1036</v>
      </c>
      <c r="C148" s="102">
        <f>+C136+C139+C140+C141</f>
        <v>176804</v>
      </c>
      <c r="D148" s="102">
        <f t="shared" ref="D148:O148" si="65">+D136+D139+D140+D141</f>
        <v>37470</v>
      </c>
      <c r="E148" s="102">
        <f t="shared" si="65"/>
        <v>75461</v>
      </c>
      <c r="F148" s="102">
        <f t="shared" si="65"/>
        <v>0</v>
      </c>
      <c r="G148" s="102">
        <f t="shared" si="65"/>
        <v>0</v>
      </c>
      <c r="H148" s="102">
        <f t="shared" si="65"/>
        <v>289735</v>
      </c>
      <c r="I148" s="102">
        <f t="shared" si="65"/>
        <v>26</v>
      </c>
      <c r="J148" s="102">
        <f t="shared" si="65"/>
        <v>0</v>
      </c>
      <c r="K148" s="102">
        <f t="shared" si="65"/>
        <v>0</v>
      </c>
      <c r="L148" s="102">
        <f t="shared" si="65"/>
        <v>26</v>
      </c>
      <c r="M148" s="102">
        <f t="shared" si="65"/>
        <v>289761</v>
      </c>
      <c r="N148" s="102">
        <f t="shared" si="65"/>
        <v>0</v>
      </c>
      <c r="O148" s="102">
        <f t="shared" si="65"/>
        <v>289761</v>
      </c>
    </row>
    <row r="149" spans="1:16" ht="17.25" thickTop="1" thickBot="1" x14ac:dyDescent="0.3">
      <c r="A149" s="275"/>
      <c r="B149" s="101" t="s">
        <v>1037</v>
      </c>
      <c r="C149" s="102">
        <f t="shared" ref="C149:O149" si="66">+C137+C143+C144+C145+C146</f>
        <v>4461</v>
      </c>
      <c r="D149" s="102">
        <f t="shared" si="66"/>
        <v>1489</v>
      </c>
      <c r="E149" s="102">
        <f t="shared" si="66"/>
        <v>185</v>
      </c>
      <c r="F149" s="102">
        <f t="shared" si="66"/>
        <v>0</v>
      </c>
      <c r="G149" s="102">
        <f t="shared" si="66"/>
        <v>0</v>
      </c>
      <c r="H149" s="102">
        <f t="shared" si="66"/>
        <v>6135</v>
      </c>
      <c r="I149" s="102">
        <f t="shared" si="66"/>
        <v>0</v>
      </c>
      <c r="J149" s="102">
        <f t="shared" si="66"/>
        <v>0</v>
      </c>
      <c r="K149" s="102">
        <f t="shared" si="66"/>
        <v>0</v>
      </c>
      <c r="L149" s="102">
        <f t="shared" si="66"/>
        <v>0</v>
      </c>
      <c r="M149" s="102">
        <f t="shared" si="66"/>
        <v>6135</v>
      </c>
      <c r="N149" s="102">
        <f t="shared" si="66"/>
        <v>0</v>
      </c>
      <c r="O149" s="102">
        <f t="shared" si="66"/>
        <v>6135</v>
      </c>
    </row>
    <row r="150" spans="1:16" ht="16.5" thickTop="1" x14ac:dyDescent="0.25">
      <c r="A150" s="264" t="s">
        <v>0</v>
      </c>
      <c r="B150" s="597" t="s">
        <v>1044</v>
      </c>
      <c r="C150" s="607"/>
      <c r="D150" s="608"/>
      <c r="E150" s="608"/>
      <c r="F150" s="614"/>
      <c r="G150" s="608"/>
      <c r="H150" s="610"/>
      <c r="I150" s="611"/>
      <c r="J150" s="609"/>
      <c r="K150" s="609"/>
      <c r="L150" s="610"/>
      <c r="M150" s="610"/>
      <c r="N150" s="610"/>
      <c r="O150" s="610"/>
    </row>
    <row r="151" spans="1:16" x14ac:dyDescent="0.25">
      <c r="A151" s="264"/>
      <c r="B151" s="592" t="s">
        <v>998</v>
      </c>
      <c r="C151" s="607">
        <v>185895</v>
      </c>
      <c r="D151" s="608">
        <v>39682</v>
      </c>
      <c r="E151" s="608">
        <v>63047</v>
      </c>
      <c r="F151" s="609"/>
      <c r="G151" s="608"/>
      <c r="H151" s="610">
        <f>SUM(C151:G151)</f>
        <v>288624</v>
      </c>
      <c r="I151" s="611">
        <v>201</v>
      </c>
      <c r="J151" s="609"/>
      <c r="K151" s="609"/>
      <c r="L151" s="610">
        <f>SUM(I151:K151)</f>
        <v>201</v>
      </c>
      <c r="M151" s="612">
        <f>SUM(H151+L151)</f>
        <v>288825</v>
      </c>
      <c r="N151" s="612"/>
      <c r="O151" s="612">
        <f>SUM(M151+N151)</f>
        <v>288825</v>
      </c>
    </row>
    <row r="152" spans="1:16" s="274" customFormat="1" x14ac:dyDescent="0.25">
      <c r="A152" s="265"/>
      <c r="B152" s="266" t="s">
        <v>1033</v>
      </c>
      <c r="C152" s="267">
        <v>182726</v>
      </c>
      <c r="D152" s="268">
        <v>38598</v>
      </c>
      <c r="E152" s="268">
        <v>62817</v>
      </c>
      <c r="F152" s="269"/>
      <c r="G152" s="268"/>
      <c r="H152" s="270">
        <f>SUM(C152:G152)</f>
        <v>284141</v>
      </c>
      <c r="I152" s="276">
        <v>201</v>
      </c>
      <c r="J152" s="269"/>
      <c r="K152" s="269"/>
      <c r="L152" s="270">
        <f>SUM(I152:K152)</f>
        <v>201</v>
      </c>
      <c r="M152" s="273">
        <f>SUM(H152+L152)</f>
        <v>284342</v>
      </c>
      <c r="N152" s="273"/>
      <c r="O152" s="273">
        <f>SUM(M152+N152)</f>
        <v>284342</v>
      </c>
    </row>
    <row r="153" spans="1:16" s="274" customFormat="1" x14ac:dyDescent="0.25">
      <c r="A153" s="265"/>
      <c r="B153" s="266" t="s">
        <v>1034</v>
      </c>
      <c r="C153" s="267">
        <v>3169</v>
      </c>
      <c r="D153" s="268">
        <v>1084</v>
      </c>
      <c r="E153" s="268">
        <v>230</v>
      </c>
      <c r="F153" s="269"/>
      <c r="G153" s="268"/>
      <c r="H153" s="270">
        <f>SUM(C153:G153)</f>
        <v>4483</v>
      </c>
      <c r="I153" s="276"/>
      <c r="J153" s="269"/>
      <c r="K153" s="269"/>
      <c r="L153" s="270">
        <f>SUM(I153:K153)</f>
        <v>0</v>
      </c>
      <c r="M153" s="273">
        <f>SUM(H153+L153)</f>
        <v>4483</v>
      </c>
      <c r="N153" s="273"/>
      <c r="O153" s="273">
        <f>SUM(M153+N153)</f>
        <v>4483</v>
      </c>
    </row>
    <row r="154" spans="1:16" s="274" customFormat="1" x14ac:dyDescent="0.25">
      <c r="A154" s="265"/>
      <c r="B154" s="266" t="s">
        <v>160</v>
      </c>
      <c r="C154" s="267"/>
      <c r="D154" s="268"/>
      <c r="E154" s="268"/>
      <c r="F154" s="269"/>
      <c r="G154" s="268"/>
      <c r="H154" s="270"/>
      <c r="I154" s="276"/>
      <c r="J154" s="269"/>
      <c r="K154" s="269"/>
      <c r="L154" s="270"/>
      <c r="M154" s="273"/>
      <c r="N154" s="273"/>
      <c r="O154" s="273"/>
    </row>
    <row r="155" spans="1:16" s="274" customFormat="1" x14ac:dyDescent="0.25">
      <c r="A155" s="265"/>
      <c r="B155" s="592" t="s">
        <v>1229</v>
      </c>
      <c r="C155" s="287">
        <v>54</v>
      </c>
      <c r="D155" s="288">
        <v>9</v>
      </c>
      <c r="E155" s="288"/>
      <c r="F155" s="269"/>
      <c r="G155" s="268"/>
      <c r="H155" s="277">
        <f t="shared" ref="H155:H160" si="67">SUM(C155:G155)</f>
        <v>63</v>
      </c>
      <c r="I155" s="276"/>
      <c r="J155" s="269"/>
      <c r="K155" s="269"/>
      <c r="L155" s="277">
        <f t="shared" ref="L155:L160" si="68">SUM(I155:K155)</f>
        <v>0</v>
      </c>
      <c r="M155" s="278">
        <f t="shared" ref="M155:M160" si="69">SUM(H155+L155)</f>
        <v>63</v>
      </c>
      <c r="N155" s="273"/>
      <c r="O155" s="278">
        <f t="shared" ref="O155:O160" si="70">SUM(M155+N155)</f>
        <v>63</v>
      </c>
    </row>
    <row r="156" spans="1:16" s="274" customFormat="1" ht="47.25" x14ac:dyDescent="0.25">
      <c r="A156" s="265"/>
      <c r="B156" s="597" t="s">
        <v>1276</v>
      </c>
      <c r="C156" s="287">
        <v>1469</v>
      </c>
      <c r="D156" s="288">
        <v>257</v>
      </c>
      <c r="E156" s="288"/>
      <c r="F156" s="269"/>
      <c r="G156" s="268"/>
      <c r="H156" s="277">
        <f t="shared" si="67"/>
        <v>1726</v>
      </c>
      <c r="I156" s="276"/>
      <c r="J156" s="269"/>
      <c r="K156" s="269"/>
      <c r="L156" s="277">
        <f t="shared" si="68"/>
        <v>0</v>
      </c>
      <c r="M156" s="278">
        <f t="shared" si="69"/>
        <v>1726</v>
      </c>
      <c r="N156" s="273"/>
      <c r="O156" s="278">
        <f t="shared" si="70"/>
        <v>1726</v>
      </c>
    </row>
    <row r="157" spans="1:16" s="274" customFormat="1" ht="31.5" x14ac:dyDescent="0.25">
      <c r="A157" s="265"/>
      <c r="B157" s="592" t="s">
        <v>1051</v>
      </c>
      <c r="C157" s="287"/>
      <c r="D157" s="288"/>
      <c r="E157" s="288">
        <v>-71</v>
      </c>
      <c r="F157" s="269"/>
      <c r="G157" s="268"/>
      <c r="H157" s="277">
        <f t="shared" si="67"/>
        <v>-71</v>
      </c>
      <c r="I157" s="290">
        <v>71</v>
      </c>
      <c r="J157" s="269"/>
      <c r="K157" s="269"/>
      <c r="L157" s="277">
        <f t="shared" si="68"/>
        <v>71</v>
      </c>
      <c r="M157" s="278">
        <f t="shared" si="69"/>
        <v>0</v>
      </c>
      <c r="N157" s="273"/>
      <c r="O157" s="278">
        <f t="shared" si="70"/>
        <v>0</v>
      </c>
    </row>
    <row r="158" spans="1:16" s="274" customFormat="1" x14ac:dyDescent="0.25">
      <c r="A158" s="265"/>
      <c r="B158" s="266" t="s">
        <v>161</v>
      </c>
      <c r="C158" s="287"/>
      <c r="D158" s="288"/>
      <c r="E158" s="288"/>
      <c r="F158" s="269"/>
      <c r="G158" s="268"/>
      <c r="H158" s="277"/>
      <c r="I158" s="276"/>
      <c r="J158" s="269"/>
      <c r="K158" s="269"/>
      <c r="L158" s="277"/>
      <c r="M158" s="278"/>
      <c r="N158" s="273"/>
      <c r="O158" s="278"/>
    </row>
    <row r="159" spans="1:16" s="274" customFormat="1" x14ac:dyDescent="0.25">
      <c r="A159" s="265"/>
      <c r="B159" s="592" t="s">
        <v>1231</v>
      </c>
      <c r="C159" s="287">
        <v>1379</v>
      </c>
      <c r="D159" s="288">
        <v>448</v>
      </c>
      <c r="E159" s="288"/>
      <c r="F159" s="269"/>
      <c r="G159" s="268"/>
      <c r="H159" s="277">
        <f t="shared" si="67"/>
        <v>1827</v>
      </c>
      <c r="I159" s="276"/>
      <c r="J159" s="269"/>
      <c r="K159" s="269"/>
      <c r="L159" s="277">
        <f t="shared" si="68"/>
        <v>0</v>
      </c>
      <c r="M159" s="278">
        <f t="shared" si="69"/>
        <v>1827</v>
      </c>
      <c r="N159" s="273"/>
      <c r="O159" s="278">
        <f t="shared" si="70"/>
        <v>1827</v>
      </c>
    </row>
    <row r="160" spans="1:16" s="274" customFormat="1" ht="32.25" thickBot="1" x14ac:dyDescent="0.3">
      <c r="A160" s="293"/>
      <c r="B160" s="592" t="s">
        <v>1277</v>
      </c>
      <c r="C160" s="287">
        <v>203</v>
      </c>
      <c r="D160" s="288">
        <v>35</v>
      </c>
      <c r="E160" s="288"/>
      <c r="F160" s="269"/>
      <c r="G160" s="268"/>
      <c r="H160" s="277">
        <f t="shared" si="67"/>
        <v>238</v>
      </c>
      <c r="I160" s="276"/>
      <c r="J160" s="269"/>
      <c r="K160" s="269"/>
      <c r="L160" s="277">
        <f t="shared" si="68"/>
        <v>0</v>
      </c>
      <c r="M160" s="277">
        <f t="shared" si="69"/>
        <v>238</v>
      </c>
      <c r="N160" s="270"/>
      <c r="O160" s="277">
        <f t="shared" si="70"/>
        <v>238</v>
      </c>
    </row>
    <row r="161" spans="1:16" ht="17.25" thickTop="1" thickBot="1" x14ac:dyDescent="0.3">
      <c r="A161" s="275"/>
      <c r="B161" s="101" t="s">
        <v>1035</v>
      </c>
      <c r="C161" s="102">
        <f>+C151+C155+C159+C156+C157+C160</f>
        <v>189000</v>
      </c>
      <c r="D161" s="102">
        <f t="shared" ref="D161:O161" si="71">+D151+D155+D159+D156+D157+D160</f>
        <v>40431</v>
      </c>
      <c r="E161" s="102">
        <f t="shared" si="71"/>
        <v>62976</v>
      </c>
      <c r="F161" s="102">
        <f t="shared" si="71"/>
        <v>0</v>
      </c>
      <c r="G161" s="102">
        <f t="shared" si="71"/>
        <v>0</v>
      </c>
      <c r="H161" s="102">
        <f t="shared" si="71"/>
        <v>292407</v>
      </c>
      <c r="I161" s="102">
        <f t="shared" si="71"/>
        <v>272</v>
      </c>
      <c r="J161" s="102">
        <f t="shared" si="71"/>
        <v>0</v>
      </c>
      <c r="K161" s="102">
        <f t="shared" si="71"/>
        <v>0</v>
      </c>
      <c r="L161" s="102">
        <f t="shared" si="71"/>
        <v>272</v>
      </c>
      <c r="M161" s="102">
        <f t="shared" si="71"/>
        <v>292679</v>
      </c>
      <c r="N161" s="102">
        <f t="shared" si="71"/>
        <v>0</v>
      </c>
      <c r="O161" s="102">
        <f t="shared" si="71"/>
        <v>292679</v>
      </c>
      <c r="P161" s="254">
        <f>O162+O163</f>
        <v>292679</v>
      </c>
    </row>
    <row r="162" spans="1:16" ht="17.25" thickTop="1" thickBot="1" x14ac:dyDescent="0.3">
      <c r="A162" s="275"/>
      <c r="B162" s="101" t="s">
        <v>1036</v>
      </c>
      <c r="C162" s="102">
        <f>+C152+C155+C156+C157</f>
        <v>184249</v>
      </c>
      <c r="D162" s="102">
        <f t="shared" ref="D162:O162" si="72">+D152+D155+D156+D157</f>
        <v>38864</v>
      </c>
      <c r="E162" s="102">
        <f t="shared" si="72"/>
        <v>62746</v>
      </c>
      <c r="F162" s="102">
        <f t="shared" si="72"/>
        <v>0</v>
      </c>
      <c r="G162" s="102">
        <f t="shared" si="72"/>
        <v>0</v>
      </c>
      <c r="H162" s="102">
        <f t="shared" si="72"/>
        <v>285859</v>
      </c>
      <c r="I162" s="102">
        <f t="shared" si="72"/>
        <v>272</v>
      </c>
      <c r="J162" s="102">
        <f t="shared" si="72"/>
        <v>0</v>
      </c>
      <c r="K162" s="102">
        <f t="shared" si="72"/>
        <v>0</v>
      </c>
      <c r="L162" s="102">
        <f t="shared" si="72"/>
        <v>272</v>
      </c>
      <c r="M162" s="102">
        <f t="shared" si="72"/>
        <v>286131</v>
      </c>
      <c r="N162" s="102">
        <f t="shared" si="72"/>
        <v>0</v>
      </c>
      <c r="O162" s="102">
        <f t="shared" si="72"/>
        <v>286131</v>
      </c>
    </row>
    <row r="163" spans="1:16" ht="17.25" thickTop="1" thickBot="1" x14ac:dyDescent="0.3">
      <c r="A163" s="275"/>
      <c r="B163" s="101" t="s">
        <v>1037</v>
      </c>
      <c r="C163" s="102">
        <f>+C153+C159+C160</f>
        <v>4751</v>
      </c>
      <c r="D163" s="102">
        <f t="shared" ref="D163:O163" si="73">+D153+D159+D160</f>
        <v>1567</v>
      </c>
      <c r="E163" s="102">
        <f t="shared" si="73"/>
        <v>230</v>
      </c>
      <c r="F163" s="102">
        <f t="shared" si="73"/>
        <v>0</v>
      </c>
      <c r="G163" s="102">
        <f t="shared" si="73"/>
        <v>0</v>
      </c>
      <c r="H163" s="102">
        <f t="shared" si="73"/>
        <v>6548</v>
      </c>
      <c r="I163" s="102">
        <f t="shared" si="73"/>
        <v>0</v>
      </c>
      <c r="J163" s="102">
        <f t="shared" si="73"/>
        <v>0</v>
      </c>
      <c r="K163" s="102">
        <f t="shared" si="73"/>
        <v>0</v>
      </c>
      <c r="L163" s="102">
        <f t="shared" si="73"/>
        <v>0</v>
      </c>
      <c r="M163" s="102">
        <f t="shared" si="73"/>
        <v>6548</v>
      </c>
      <c r="N163" s="102">
        <f t="shared" si="73"/>
        <v>0</v>
      </c>
      <c r="O163" s="102">
        <f t="shared" si="73"/>
        <v>6548</v>
      </c>
    </row>
    <row r="164" spans="1:16" ht="32.25" thickTop="1" x14ac:dyDescent="0.25">
      <c r="A164" s="294" t="s">
        <v>1</v>
      </c>
      <c r="B164" s="621" t="s">
        <v>1045</v>
      </c>
      <c r="C164" s="622"/>
      <c r="D164" s="623"/>
      <c r="E164" s="623"/>
      <c r="F164" s="624"/>
      <c r="G164" s="623"/>
      <c r="H164" s="625"/>
      <c r="I164" s="626"/>
      <c r="J164" s="624"/>
      <c r="K164" s="624"/>
      <c r="L164" s="625"/>
      <c r="M164" s="625"/>
      <c r="N164" s="625"/>
      <c r="O164" s="625"/>
    </row>
    <row r="165" spans="1:16" x14ac:dyDescent="0.25">
      <c r="A165" s="264"/>
      <c r="B165" s="592" t="s">
        <v>998</v>
      </c>
      <c r="C165" s="607">
        <v>194864</v>
      </c>
      <c r="D165" s="608">
        <v>42026</v>
      </c>
      <c r="E165" s="608">
        <v>95020</v>
      </c>
      <c r="F165" s="609"/>
      <c r="G165" s="608"/>
      <c r="H165" s="610">
        <f>SUM(C165:G165)</f>
        <v>331910</v>
      </c>
      <c r="I165" s="611">
        <v>507</v>
      </c>
      <c r="J165" s="609"/>
      <c r="K165" s="609"/>
      <c r="L165" s="610">
        <f>SUM(I165:K165)</f>
        <v>507</v>
      </c>
      <c r="M165" s="612">
        <f>SUM(H165+L165)</f>
        <v>332417</v>
      </c>
      <c r="N165" s="612"/>
      <c r="O165" s="612">
        <f>SUM(M165+N165)</f>
        <v>332417</v>
      </c>
    </row>
    <row r="166" spans="1:16" s="274" customFormat="1" x14ac:dyDescent="0.25">
      <c r="A166" s="265"/>
      <c r="B166" s="266" t="s">
        <v>1033</v>
      </c>
      <c r="C166" s="267">
        <v>191536</v>
      </c>
      <c r="D166" s="268">
        <v>40887</v>
      </c>
      <c r="E166" s="268">
        <v>94965</v>
      </c>
      <c r="F166" s="269"/>
      <c r="G166" s="268"/>
      <c r="H166" s="270">
        <f>SUM(C166:G166)</f>
        <v>327388</v>
      </c>
      <c r="I166" s="276">
        <v>507</v>
      </c>
      <c r="J166" s="269"/>
      <c r="K166" s="269"/>
      <c r="L166" s="270">
        <f>SUM(I166:K166)</f>
        <v>507</v>
      </c>
      <c r="M166" s="273">
        <f>SUM(H166+L166)</f>
        <v>327895</v>
      </c>
      <c r="N166" s="273"/>
      <c r="O166" s="273">
        <f>SUM(M166+N166)</f>
        <v>327895</v>
      </c>
    </row>
    <row r="167" spans="1:16" s="274" customFormat="1" x14ac:dyDescent="0.25">
      <c r="A167" s="265"/>
      <c r="B167" s="266" t="s">
        <v>1034</v>
      </c>
      <c r="C167" s="267">
        <v>3328</v>
      </c>
      <c r="D167" s="268">
        <v>1139</v>
      </c>
      <c r="E167" s="268">
        <v>55</v>
      </c>
      <c r="F167" s="269"/>
      <c r="G167" s="268"/>
      <c r="H167" s="270">
        <f>SUM(C167:G167)</f>
        <v>4522</v>
      </c>
      <c r="I167" s="276"/>
      <c r="J167" s="269"/>
      <c r="K167" s="269"/>
      <c r="L167" s="270">
        <f>SUM(I167:K167)</f>
        <v>0</v>
      </c>
      <c r="M167" s="273">
        <f>SUM(H167+L167)</f>
        <v>4522</v>
      </c>
      <c r="N167" s="273"/>
      <c r="O167" s="273">
        <f>SUM(M167+N167)</f>
        <v>4522</v>
      </c>
    </row>
    <row r="168" spans="1:16" s="274" customFormat="1" x14ac:dyDescent="0.25">
      <c r="A168" s="265"/>
      <c r="B168" s="266" t="s">
        <v>160</v>
      </c>
      <c r="C168" s="267"/>
      <c r="D168" s="268"/>
      <c r="E168" s="268"/>
      <c r="F168" s="269"/>
      <c r="G168" s="268"/>
      <c r="H168" s="270"/>
      <c r="I168" s="276"/>
      <c r="J168" s="269"/>
      <c r="K168" s="269"/>
      <c r="L168" s="270"/>
      <c r="M168" s="273"/>
      <c r="N168" s="273"/>
      <c r="O168" s="273"/>
    </row>
    <row r="169" spans="1:16" s="274" customFormat="1" x14ac:dyDescent="0.25">
      <c r="A169" s="265"/>
      <c r="B169" s="592" t="s">
        <v>1229</v>
      </c>
      <c r="C169" s="287">
        <v>61</v>
      </c>
      <c r="D169" s="288">
        <v>11</v>
      </c>
      <c r="E169" s="288"/>
      <c r="F169" s="269"/>
      <c r="G169" s="268"/>
      <c r="H169" s="277">
        <f t="shared" ref="H169:H174" si="74">SUM(C169:G169)</f>
        <v>72</v>
      </c>
      <c r="I169" s="276"/>
      <c r="J169" s="269"/>
      <c r="K169" s="269"/>
      <c r="L169" s="277">
        <f t="shared" ref="L169:L174" si="75">SUM(I169:K169)</f>
        <v>0</v>
      </c>
      <c r="M169" s="278">
        <f t="shared" ref="M169:M174" si="76">SUM(H169+L169)</f>
        <v>72</v>
      </c>
      <c r="N169" s="273"/>
      <c r="O169" s="278">
        <f t="shared" ref="O169:O174" si="77">SUM(M169+N169)</f>
        <v>72</v>
      </c>
    </row>
    <row r="170" spans="1:16" s="274" customFormat="1" ht="47.25" x14ac:dyDescent="0.25">
      <c r="A170" s="265"/>
      <c r="B170" s="597" t="s">
        <v>1276</v>
      </c>
      <c r="C170" s="287">
        <v>2995</v>
      </c>
      <c r="D170" s="288">
        <v>524</v>
      </c>
      <c r="E170" s="288"/>
      <c r="F170" s="269"/>
      <c r="G170" s="268"/>
      <c r="H170" s="277">
        <f t="shared" si="74"/>
        <v>3519</v>
      </c>
      <c r="I170" s="276"/>
      <c r="J170" s="269"/>
      <c r="K170" s="269"/>
      <c r="L170" s="277">
        <f t="shared" si="75"/>
        <v>0</v>
      </c>
      <c r="M170" s="278">
        <f t="shared" si="76"/>
        <v>3519</v>
      </c>
      <c r="N170" s="273"/>
      <c r="O170" s="278">
        <f t="shared" si="77"/>
        <v>3519</v>
      </c>
    </row>
    <row r="171" spans="1:16" s="274" customFormat="1" ht="31.5" x14ac:dyDescent="0.25">
      <c r="A171" s="265"/>
      <c r="B171" s="592" t="s">
        <v>1051</v>
      </c>
      <c r="C171" s="287"/>
      <c r="D171" s="288"/>
      <c r="E171" s="288">
        <v>-65</v>
      </c>
      <c r="F171" s="269"/>
      <c r="G171" s="268"/>
      <c r="H171" s="277">
        <f t="shared" si="74"/>
        <v>-65</v>
      </c>
      <c r="I171" s="290">
        <v>65</v>
      </c>
      <c r="J171" s="269"/>
      <c r="K171" s="269"/>
      <c r="L171" s="277">
        <f t="shared" si="75"/>
        <v>65</v>
      </c>
      <c r="M171" s="278">
        <f t="shared" si="76"/>
        <v>0</v>
      </c>
      <c r="N171" s="273"/>
      <c r="O171" s="278">
        <f t="shared" si="77"/>
        <v>0</v>
      </c>
    </row>
    <row r="172" spans="1:16" s="274" customFormat="1" x14ac:dyDescent="0.25">
      <c r="A172" s="265"/>
      <c r="B172" s="266" t="s">
        <v>161</v>
      </c>
      <c r="C172" s="287"/>
      <c r="D172" s="288"/>
      <c r="E172" s="288"/>
      <c r="F172" s="269"/>
      <c r="G172" s="268"/>
      <c r="H172" s="277"/>
      <c r="I172" s="276"/>
      <c r="J172" s="269"/>
      <c r="K172" s="269"/>
      <c r="L172" s="277"/>
      <c r="M172" s="278"/>
      <c r="N172" s="273"/>
      <c r="O172" s="278"/>
    </row>
    <row r="173" spans="1:16" s="274" customFormat="1" x14ac:dyDescent="0.25">
      <c r="A173" s="265"/>
      <c r="B173" s="592" t="s">
        <v>1231</v>
      </c>
      <c r="C173" s="287">
        <v>1428</v>
      </c>
      <c r="D173" s="288">
        <v>464</v>
      </c>
      <c r="E173" s="288"/>
      <c r="F173" s="269"/>
      <c r="G173" s="268"/>
      <c r="H173" s="277">
        <f t="shared" si="74"/>
        <v>1892</v>
      </c>
      <c r="I173" s="276"/>
      <c r="J173" s="269"/>
      <c r="K173" s="269"/>
      <c r="L173" s="277">
        <f t="shared" si="75"/>
        <v>0</v>
      </c>
      <c r="M173" s="278">
        <f t="shared" si="76"/>
        <v>1892</v>
      </c>
      <c r="N173" s="273"/>
      <c r="O173" s="278">
        <f t="shared" si="77"/>
        <v>1892</v>
      </c>
    </row>
    <row r="174" spans="1:16" s="274" customFormat="1" ht="32.25" thickBot="1" x14ac:dyDescent="0.3">
      <c r="A174" s="265"/>
      <c r="B174" s="592" t="s">
        <v>1277</v>
      </c>
      <c r="C174" s="287">
        <v>68</v>
      </c>
      <c r="D174" s="288">
        <v>12</v>
      </c>
      <c r="E174" s="288"/>
      <c r="F174" s="269"/>
      <c r="G174" s="268"/>
      <c r="H174" s="277">
        <f t="shared" si="74"/>
        <v>80</v>
      </c>
      <c r="I174" s="276"/>
      <c r="J174" s="269"/>
      <c r="K174" s="269"/>
      <c r="L174" s="277">
        <f t="shared" si="75"/>
        <v>0</v>
      </c>
      <c r="M174" s="278">
        <f t="shared" si="76"/>
        <v>80</v>
      </c>
      <c r="N174" s="273"/>
      <c r="O174" s="278">
        <f t="shared" si="77"/>
        <v>80</v>
      </c>
    </row>
    <row r="175" spans="1:16" ht="17.25" thickTop="1" thickBot="1" x14ac:dyDescent="0.3">
      <c r="A175" s="275"/>
      <c r="B175" s="101" t="s">
        <v>1035</v>
      </c>
      <c r="C175" s="102">
        <f>+C165+C169+C173+C170+C171+C174</f>
        <v>199416</v>
      </c>
      <c r="D175" s="102">
        <f t="shared" ref="D175:O175" si="78">+D165+D169+D173+D170+D171+D174</f>
        <v>43037</v>
      </c>
      <c r="E175" s="102">
        <f t="shared" si="78"/>
        <v>94955</v>
      </c>
      <c r="F175" s="102">
        <f t="shared" si="78"/>
        <v>0</v>
      </c>
      <c r="G175" s="102">
        <f t="shared" si="78"/>
        <v>0</v>
      </c>
      <c r="H175" s="102">
        <f t="shared" si="78"/>
        <v>337408</v>
      </c>
      <c r="I175" s="102">
        <f t="shared" si="78"/>
        <v>572</v>
      </c>
      <c r="J175" s="102">
        <f t="shared" si="78"/>
        <v>0</v>
      </c>
      <c r="K175" s="102">
        <f t="shared" si="78"/>
        <v>0</v>
      </c>
      <c r="L175" s="102">
        <f t="shared" si="78"/>
        <v>572</v>
      </c>
      <c r="M175" s="102">
        <f t="shared" si="78"/>
        <v>337980</v>
      </c>
      <c r="N175" s="102">
        <f t="shared" si="78"/>
        <v>0</v>
      </c>
      <c r="O175" s="102">
        <f t="shared" si="78"/>
        <v>337980</v>
      </c>
      <c r="P175" s="254">
        <f>O176+O177</f>
        <v>337980</v>
      </c>
    </row>
    <row r="176" spans="1:16" ht="17.25" thickTop="1" thickBot="1" x14ac:dyDescent="0.3">
      <c r="A176" s="275"/>
      <c r="B176" s="101" t="s">
        <v>1036</v>
      </c>
      <c r="C176" s="102">
        <f>+C166+C169+C170+C171</f>
        <v>194592</v>
      </c>
      <c r="D176" s="102">
        <f t="shared" ref="D176:O176" si="79">+D166+D169+D170+D171</f>
        <v>41422</v>
      </c>
      <c r="E176" s="102">
        <f t="shared" si="79"/>
        <v>94900</v>
      </c>
      <c r="F176" s="102">
        <f t="shared" si="79"/>
        <v>0</v>
      </c>
      <c r="G176" s="102">
        <f t="shared" si="79"/>
        <v>0</v>
      </c>
      <c r="H176" s="102">
        <f t="shared" si="79"/>
        <v>330914</v>
      </c>
      <c r="I176" s="102">
        <f t="shared" si="79"/>
        <v>572</v>
      </c>
      <c r="J176" s="102">
        <f t="shared" si="79"/>
        <v>0</v>
      </c>
      <c r="K176" s="102">
        <f t="shared" si="79"/>
        <v>0</v>
      </c>
      <c r="L176" s="102">
        <f t="shared" si="79"/>
        <v>572</v>
      </c>
      <c r="M176" s="102">
        <f t="shared" si="79"/>
        <v>331486</v>
      </c>
      <c r="N176" s="102">
        <f t="shared" si="79"/>
        <v>0</v>
      </c>
      <c r="O176" s="102">
        <f t="shared" si="79"/>
        <v>331486</v>
      </c>
    </row>
    <row r="177" spans="1:16" ht="17.25" thickTop="1" thickBot="1" x14ac:dyDescent="0.3">
      <c r="A177" s="275"/>
      <c r="B177" s="101" t="s">
        <v>1037</v>
      </c>
      <c r="C177" s="102">
        <f t="shared" ref="C177:O177" si="80">+C167+C173+C174</f>
        <v>4824</v>
      </c>
      <c r="D177" s="102">
        <f t="shared" si="80"/>
        <v>1615</v>
      </c>
      <c r="E177" s="102">
        <f t="shared" si="80"/>
        <v>55</v>
      </c>
      <c r="F177" s="102">
        <f t="shared" si="80"/>
        <v>0</v>
      </c>
      <c r="G177" s="102">
        <f t="shared" si="80"/>
        <v>0</v>
      </c>
      <c r="H177" s="102">
        <f t="shared" si="80"/>
        <v>6494</v>
      </c>
      <c r="I177" s="102">
        <f t="shared" si="80"/>
        <v>0</v>
      </c>
      <c r="J177" s="102">
        <f t="shared" si="80"/>
        <v>0</v>
      </c>
      <c r="K177" s="102">
        <f t="shared" si="80"/>
        <v>0</v>
      </c>
      <c r="L177" s="102">
        <f t="shared" si="80"/>
        <v>0</v>
      </c>
      <c r="M177" s="102">
        <f t="shared" si="80"/>
        <v>6494</v>
      </c>
      <c r="N177" s="102">
        <f t="shared" si="80"/>
        <v>0</v>
      </c>
      <c r="O177" s="102">
        <f t="shared" si="80"/>
        <v>6494</v>
      </c>
    </row>
    <row r="178" spans="1:16" ht="16.5" thickTop="1" x14ac:dyDescent="0.25">
      <c r="A178" s="264" t="s">
        <v>2</v>
      </c>
      <c r="B178" s="597" t="s">
        <v>400</v>
      </c>
      <c r="C178" s="607"/>
      <c r="D178" s="608"/>
      <c r="E178" s="608"/>
      <c r="F178" s="614"/>
      <c r="G178" s="608"/>
      <c r="H178" s="610"/>
      <c r="I178" s="611"/>
      <c r="J178" s="609"/>
      <c r="K178" s="609"/>
      <c r="L178" s="610"/>
      <c r="M178" s="610"/>
      <c r="N178" s="610"/>
      <c r="O178" s="610"/>
    </row>
    <row r="179" spans="1:16" x14ac:dyDescent="0.25">
      <c r="A179" s="279"/>
      <c r="B179" s="597" t="s">
        <v>1156</v>
      </c>
      <c r="C179" s="607">
        <v>131489</v>
      </c>
      <c r="D179" s="608">
        <v>28018</v>
      </c>
      <c r="E179" s="608">
        <v>56083</v>
      </c>
      <c r="F179" s="609"/>
      <c r="G179" s="608"/>
      <c r="H179" s="610">
        <f>SUM(C179:G179)</f>
        <v>215590</v>
      </c>
      <c r="I179" s="611"/>
      <c r="J179" s="609"/>
      <c r="K179" s="609"/>
      <c r="L179" s="610">
        <f>SUM(I179:K179)</f>
        <v>0</v>
      </c>
      <c r="M179" s="612">
        <f>SUM(H179+L179)</f>
        <v>215590</v>
      </c>
      <c r="N179" s="612"/>
      <c r="O179" s="612">
        <f>SUM(M179+N179)</f>
        <v>215590</v>
      </c>
    </row>
    <row r="180" spans="1:16" s="274" customFormat="1" x14ac:dyDescent="0.25">
      <c r="A180" s="293"/>
      <c r="B180" s="266" t="s">
        <v>1033</v>
      </c>
      <c r="C180" s="267">
        <v>129328</v>
      </c>
      <c r="D180" s="268">
        <v>27278</v>
      </c>
      <c r="E180" s="268">
        <v>55678</v>
      </c>
      <c r="F180" s="269"/>
      <c r="G180" s="268"/>
      <c r="H180" s="270">
        <f>SUM(C180:G180)</f>
        <v>212284</v>
      </c>
      <c r="I180" s="276"/>
      <c r="J180" s="269"/>
      <c r="K180" s="269"/>
      <c r="L180" s="270">
        <f>SUM(I180:K180)</f>
        <v>0</v>
      </c>
      <c r="M180" s="273">
        <f>SUM(H180+L180)</f>
        <v>212284</v>
      </c>
      <c r="N180" s="273"/>
      <c r="O180" s="273">
        <f>SUM(M180+N180)</f>
        <v>212284</v>
      </c>
    </row>
    <row r="181" spans="1:16" s="274" customFormat="1" x14ac:dyDescent="0.25">
      <c r="A181" s="293"/>
      <c r="B181" s="266" t="s">
        <v>1034</v>
      </c>
      <c r="C181" s="267">
        <v>2161</v>
      </c>
      <c r="D181" s="268">
        <v>740</v>
      </c>
      <c r="E181" s="268">
        <v>405</v>
      </c>
      <c r="F181" s="269"/>
      <c r="G181" s="268"/>
      <c r="H181" s="270">
        <f>SUM(C181:G181)</f>
        <v>3306</v>
      </c>
      <c r="I181" s="276"/>
      <c r="J181" s="269"/>
      <c r="K181" s="269"/>
      <c r="L181" s="270">
        <f>SUM(I181:K181)</f>
        <v>0</v>
      </c>
      <c r="M181" s="273">
        <f>SUM(H181+L181)</f>
        <v>3306</v>
      </c>
      <c r="N181" s="273"/>
      <c r="O181" s="273">
        <f>SUM(M181+N181)</f>
        <v>3306</v>
      </c>
    </row>
    <row r="182" spans="1:16" x14ac:dyDescent="0.25">
      <c r="A182" s="279"/>
      <c r="B182" s="280" t="s">
        <v>160</v>
      </c>
      <c r="C182" s="607"/>
      <c r="D182" s="608"/>
      <c r="E182" s="608"/>
      <c r="F182" s="609"/>
      <c r="G182" s="608"/>
      <c r="H182" s="270"/>
      <c r="I182" s="611"/>
      <c r="J182" s="609"/>
      <c r="K182" s="609"/>
      <c r="L182" s="270"/>
      <c r="M182" s="273"/>
      <c r="N182" s="612"/>
      <c r="O182" s="273"/>
    </row>
    <row r="183" spans="1:16" x14ac:dyDescent="0.25">
      <c r="A183" s="279"/>
      <c r="B183" s="592" t="s">
        <v>1229</v>
      </c>
      <c r="C183" s="287">
        <v>118</v>
      </c>
      <c r="D183" s="288">
        <v>21</v>
      </c>
      <c r="E183" s="288"/>
      <c r="F183" s="289"/>
      <c r="G183" s="288"/>
      <c r="H183" s="277">
        <f t="shared" ref="H183:H185" si="81">SUM(C183:G183)</f>
        <v>139</v>
      </c>
      <c r="I183" s="290"/>
      <c r="J183" s="289"/>
      <c r="K183" s="289"/>
      <c r="L183" s="277">
        <f t="shared" ref="L183:L185" si="82">SUM(I183:K183)</f>
        <v>0</v>
      </c>
      <c r="M183" s="278">
        <f t="shared" ref="M183:M185" si="83">SUM(H183+L183)</f>
        <v>139</v>
      </c>
      <c r="N183" s="278"/>
      <c r="O183" s="278">
        <f t="shared" ref="O183:O190" si="84">SUM(M183+N183)</f>
        <v>139</v>
      </c>
    </row>
    <row r="184" spans="1:16" ht="47.25" x14ac:dyDescent="0.25">
      <c r="A184" s="264"/>
      <c r="B184" s="597" t="s">
        <v>1276</v>
      </c>
      <c r="C184" s="304">
        <v>1497</v>
      </c>
      <c r="D184" s="305">
        <v>262</v>
      </c>
      <c r="E184" s="305"/>
      <c r="F184" s="306"/>
      <c r="G184" s="305"/>
      <c r="H184" s="284">
        <f t="shared" si="81"/>
        <v>1759</v>
      </c>
      <c r="I184" s="627"/>
      <c r="J184" s="306"/>
      <c r="K184" s="306"/>
      <c r="L184" s="284">
        <f t="shared" si="82"/>
        <v>0</v>
      </c>
      <c r="M184" s="284">
        <f t="shared" si="83"/>
        <v>1759</v>
      </c>
      <c r="N184" s="284"/>
      <c r="O184" s="284">
        <f t="shared" si="84"/>
        <v>1759</v>
      </c>
    </row>
    <row r="185" spans="1:16" ht="31.5" x14ac:dyDescent="0.25">
      <c r="A185" s="279"/>
      <c r="B185" s="592" t="s">
        <v>1051</v>
      </c>
      <c r="C185" s="287"/>
      <c r="D185" s="288"/>
      <c r="E185" s="288">
        <v>-507</v>
      </c>
      <c r="F185" s="289"/>
      <c r="G185" s="288"/>
      <c r="H185" s="277">
        <f t="shared" si="81"/>
        <v>-507</v>
      </c>
      <c r="I185" s="290">
        <v>507</v>
      </c>
      <c r="J185" s="289"/>
      <c r="K185" s="289"/>
      <c r="L185" s="277">
        <f t="shared" si="82"/>
        <v>507</v>
      </c>
      <c r="M185" s="278">
        <f t="shared" si="83"/>
        <v>0</v>
      </c>
      <c r="N185" s="278"/>
      <c r="O185" s="278">
        <f t="shared" si="84"/>
        <v>0</v>
      </c>
    </row>
    <row r="186" spans="1:16" x14ac:dyDescent="0.25">
      <c r="A186" s="279"/>
      <c r="B186" s="233" t="s">
        <v>161</v>
      </c>
      <c r="C186" s="287"/>
      <c r="D186" s="288"/>
      <c r="E186" s="288"/>
      <c r="F186" s="289"/>
      <c r="G186" s="288"/>
      <c r="H186" s="277"/>
      <c r="I186" s="290"/>
      <c r="J186" s="289"/>
      <c r="K186" s="289"/>
      <c r="L186" s="277"/>
      <c r="M186" s="277"/>
      <c r="N186" s="277"/>
      <c r="O186" s="277"/>
    </row>
    <row r="187" spans="1:16" x14ac:dyDescent="0.25">
      <c r="A187" s="279"/>
      <c r="B187" s="592" t="s">
        <v>1231</v>
      </c>
      <c r="C187" s="287">
        <v>914</v>
      </c>
      <c r="D187" s="288">
        <v>297</v>
      </c>
      <c r="E187" s="288"/>
      <c r="F187" s="289"/>
      <c r="G187" s="288"/>
      <c r="H187" s="277">
        <f t="shared" ref="H187:H190" si="85">SUM(C187:G187)</f>
        <v>1211</v>
      </c>
      <c r="I187" s="290"/>
      <c r="J187" s="289"/>
      <c r="K187" s="289"/>
      <c r="L187" s="277">
        <f t="shared" ref="L187:L190" si="86">SUM(I187:K187)</f>
        <v>0</v>
      </c>
      <c r="M187" s="277">
        <f t="shared" ref="M187:M190" si="87">SUM(H187+L187)</f>
        <v>1211</v>
      </c>
      <c r="N187" s="277"/>
      <c r="O187" s="277">
        <f t="shared" si="84"/>
        <v>1211</v>
      </c>
    </row>
    <row r="188" spans="1:16" ht="31.5" x14ac:dyDescent="0.25">
      <c r="A188" s="279"/>
      <c r="B188" s="597" t="s">
        <v>1277</v>
      </c>
      <c r="C188" s="287">
        <v>203</v>
      </c>
      <c r="D188" s="288">
        <v>35</v>
      </c>
      <c r="E188" s="288"/>
      <c r="F188" s="289"/>
      <c r="G188" s="288"/>
      <c r="H188" s="277">
        <f t="shared" si="85"/>
        <v>238</v>
      </c>
      <c r="I188" s="290"/>
      <c r="J188" s="289"/>
      <c r="K188" s="289"/>
      <c r="L188" s="277">
        <f t="shared" si="86"/>
        <v>0</v>
      </c>
      <c r="M188" s="277">
        <f t="shared" si="87"/>
        <v>238</v>
      </c>
      <c r="N188" s="277"/>
      <c r="O188" s="277">
        <f t="shared" si="84"/>
        <v>238</v>
      </c>
    </row>
    <row r="189" spans="1:16" ht="63" x14ac:dyDescent="0.25">
      <c r="A189" s="279"/>
      <c r="B189" s="597" t="s">
        <v>1154</v>
      </c>
      <c r="C189" s="287"/>
      <c r="D189" s="288"/>
      <c r="E189" s="288">
        <v>15</v>
      </c>
      <c r="F189" s="289"/>
      <c r="G189" s="288"/>
      <c r="H189" s="277">
        <f t="shared" si="85"/>
        <v>15</v>
      </c>
      <c r="I189" s="290"/>
      <c r="J189" s="289"/>
      <c r="K189" s="289"/>
      <c r="L189" s="277">
        <f t="shared" si="86"/>
        <v>0</v>
      </c>
      <c r="M189" s="277">
        <f t="shared" si="87"/>
        <v>15</v>
      </c>
      <c r="N189" s="277"/>
      <c r="O189" s="277">
        <f t="shared" si="84"/>
        <v>15</v>
      </c>
    </row>
    <row r="190" spans="1:16" ht="79.5" thickBot="1" x14ac:dyDescent="0.3">
      <c r="A190" s="279"/>
      <c r="B190" s="592" t="s">
        <v>1281</v>
      </c>
      <c r="C190" s="287"/>
      <c r="D190" s="288"/>
      <c r="E190" s="288">
        <v>15</v>
      </c>
      <c r="F190" s="289"/>
      <c r="G190" s="288"/>
      <c r="H190" s="277">
        <f t="shared" si="85"/>
        <v>15</v>
      </c>
      <c r="I190" s="290"/>
      <c r="J190" s="289"/>
      <c r="K190" s="289"/>
      <c r="L190" s="277">
        <f t="shared" si="86"/>
        <v>0</v>
      </c>
      <c r="M190" s="278">
        <f t="shared" si="87"/>
        <v>15</v>
      </c>
      <c r="N190" s="278"/>
      <c r="O190" s="278">
        <f t="shared" si="84"/>
        <v>15</v>
      </c>
    </row>
    <row r="191" spans="1:16" ht="17.25" thickTop="1" thickBot="1" x14ac:dyDescent="0.3">
      <c r="A191" s="275"/>
      <c r="B191" s="101" t="s">
        <v>1035</v>
      </c>
      <c r="C191" s="102">
        <f>+C179+C183+C184+C187+C188+C185+C189+C190</f>
        <v>134221</v>
      </c>
      <c r="D191" s="102">
        <f t="shared" ref="D191:O191" si="88">+D179+D183+D184+D187+D188+D185+D189+D190</f>
        <v>28633</v>
      </c>
      <c r="E191" s="102">
        <f t="shared" si="88"/>
        <v>55606</v>
      </c>
      <c r="F191" s="102">
        <f t="shared" si="88"/>
        <v>0</v>
      </c>
      <c r="G191" s="102">
        <f t="shared" si="88"/>
        <v>0</v>
      </c>
      <c r="H191" s="102">
        <f t="shared" si="88"/>
        <v>218460</v>
      </c>
      <c r="I191" s="102">
        <f t="shared" si="88"/>
        <v>507</v>
      </c>
      <c r="J191" s="102">
        <f t="shared" si="88"/>
        <v>0</v>
      </c>
      <c r="K191" s="102">
        <f t="shared" si="88"/>
        <v>0</v>
      </c>
      <c r="L191" s="102">
        <f t="shared" si="88"/>
        <v>507</v>
      </c>
      <c r="M191" s="102">
        <f t="shared" si="88"/>
        <v>218967</v>
      </c>
      <c r="N191" s="102">
        <f t="shared" si="88"/>
        <v>0</v>
      </c>
      <c r="O191" s="102">
        <f t="shared" si="88"/>
        <v>218967</v>
      </c>
      <c r="P191" s="254">
        <f>O192+O193</f>
        <v>218967</v>
      </c>
    </row>
    <row r="192" spans="1:16" ht="17.25" thickTop="1" thickBot="1" x14ac:dyDescent="0.3">
      <c r="A192" s="275"/>
      <c r="B192" s="101" t="s">
        <v>1036</v>
      </c>
      <c r="C192" s="102">
        <f>+C180+C183+C184+C185</f>
        <v>130943</v>
      </c>
      <c r="D192" s="102">
        <f t="shared" ref="D192:O192" si="89">+D180+D183+D184+D185</f>
        <v>27561</v>
      </c>
      <c r="E192" s="102">
        <f t="shared" si="89"/>
        <v>55171</v>
      </c>
      <c r="F192" s="102">
        <f t="shared" si="89"/>
        <v>0</v>
      </c>
      <c r="G192" s="102">
        <f t="shared" si="89"/>
        <v>0</v>
      </c>
      <c r="H192" s="102">
        <f t="shared" si="89"/>
        <v>213675</v>
      </c>
      <c r="I192" s="102">
        <f t="shared" si="89"/>
        <v>507</v>
      </c>
      <c r="J192" s="102">
        <f t="shared" si="89"/>
        <v>0</v>
      </c>
      <c r="K192" s="102">
        <f t="shared" si="89"/>
        <v>0</v>
      </c>
      <c r="L192" s="102">
        <f t="shared" si="89"/>
        <v>507</v>
      </c>
      <c r="M192" s="102">
        <f t="shared" si="89"/>
        <v>214182</v>
      </c>
      <c r="N192" s="102">
        <f t="shared" si="89"/>
        <v>0</v>
      </c>
      <c r="O192" s="102">
        <f t="shared" si="89"/>
        <v>214182</v>
      </c>
    </row>
    <row r="193" spans="1:16" ht="17.25" thickTop="1" thickBot="1" x14ac:dyDescent="0.3">
      <c r="A193" s="275"/>
      <c r="B193" s="101" t="s">
        <v>1037</v>
      </c>
      <c r="C193" s="102">
        <f t="shared" ref="C193:O193" si="90">+C181+C187+C188+C189+C190</f>
        <v>3278</v>
      </c>
      <c r="D193" s="102">
        <f t="shared" si="90"/>
        <v>1072</v>
      </c>
      <c r="E193" s="102">
        <f t="shared" si="90"/>
        <v>435</v>
      </c>
      <c r="F193" s="102">
        <f t="shared" si="90"/>
        <v>0</v>
      </c>
      <c r="G193" s="102">
        <f t="shared" si="90"/>
        <v>0</v>
      </c>
      <c r="H193" s="102">
        <f t="shared" si="90"/>
        <v>4785</v>
      </c>
      <c r="I193" s="102">
        <f t="shared" si="90"/>
        <v>0</v>
      </c>
      <c r="J193" s="102">
        <f t="shared" si="90"/>
        <v>0</v>
      </c>
      <c r="K193" s="102">
        <f t="shared" si="90"/>
        <v>0</v>
      </c>
      <c r="L193" s="102">
        <f t="shared" si="90"/>
        <v>0</v>
      </c>
      <c r="M193" s="102">
        <f t="shared" si="90"/>
        <v>4785</v>
      </c>
      <c r="N193" s="102">
        <f t="shared" si="90"/>
        <v>0</v>
      </c>
      <c r="O193" s="102">
        <f t="shared" si="90"/>
        <v>4785</v>
      </c>
    </row>
    <row r="194" spans="1:16" ht="16.5" thickTop="1" x14ac:dyDescent="0.25">
      <c r="A194" s="264" t="s">
        <v>3</v>
      </c>
      <c r="B194" s="597" t="s">
        <v>401</v>
      </c>
      <c r="C194" s="607"/>
      <c r="D194" s="608"/>
      <c r="E194" s="608"/>
      <c r="F194" s="614"/>
      <c r="G194" s="608"/>
      <c r="H194" s="610"/>
      <c r="I194" s="611"/>
      <c r="J194" s="609"/>
      <c r="K194" s="609"/>
      <c r="L194" s="610"/>
      <c r="M194" s="610"/>
      <c r="N194" s="610"/>
      <c r="O194" s="610"/>
    </row>
    <row r="195" spans="1:16" x14ac:dyDescent="0.25">
      <c r="A195" s="264"/>
      <c r="B195" s="592" t="s">
        <v>998</v>
      </c>
      <c r="C195" s="607">
        <v>153626</v>
      </c>
      <c r="D195" s="608">
        <v>33003</v>
      </c>
      <c r="E195" s="608">
        <v>63153</v>
      </c>
      <c r="F195" s="609"/>
      <c r="G195" s="608"/>
      <c r="H195" s="610">
        <f>SUM(C195:G195)</f>
        <v>249782</v>
      </c>
      <c r="I195" s="611">
        <v>390</v>
      </c>
      <c r="J195" s="609"/>
      <c r="K195" s="609"/>
      <c r="L195" s="610">
        <f>SUM(I195:K195)</f>
        <v>390</v>
      </c>
      <c r="M195" s="612">
        <f>SUM(H195+L195)</f>
        <v>250172</v>
      </c>
      <c r="N195" s="612"/>
      <c r="O195" s="612">
        <f>SUM(M195+N195)</f>
        <v>250172</v>
      </c>
    </row>
    <row r="196" spans="1:16" s="274" customFormat="1" x14ac:dyDescent="0.25">
      <c r="A196" s="265"/>
      <c r="B196" s="266" t="s">
        <v>1033</v>
      </c>
      <c r="C196" s="267">
        <v>150913</v>
      </c>
      <c r="D196" s="268">
        <v>32074</v>
      </c>
      <c r="E196" s="268">
        <v>63098</v>
      </c>
      <c r="F196" s="269"/>
      <c r="G196" s="268"/>
      <c r="H196" s="270">
        <f>SUM(C196:G196)</f>
        <v>246085</v>
      </c>
      <c r="I196" s="276">
        <v>390</v>
      </c>
      <c r="J196" s="269"/>
      <c r="K196" s="269"/>
      <c r="L196" s="270">
        <f>SUM(I196:K196)</f>
        <v>390</v>
      </c>
      <c r="M196" s="273">
        <f>SUM(H196+L196)</f>
        <v>246475</v>
      </c>
      <c r="N196" s="273"/>
      <c r="O196" s="273">
        <f>SUM(M196+N196)</f>
        <v>246475</v>
      </c>
    </row>
    <row r="197" spans="1:16" s="274" customFormat="1" x14ac:dyDescent="0.25">
      <c r="A197" s="265"/>
      <c r="B197" s="266" t="s">
        <v>1034</v>
      </c>
      <c r="C197" s="267">
        <v>2713</v>
      </c>
      <c r="D197" s="268">
        <v>929</v>
      </c>
      <c r="E197" s="268">
        <v>55</v>
      </c>
      <c r="F197" s="269"/>
      <c r="G197" s="268"/>
      <c r="H197" s="270">
        <f>SUM(C197:G197)</f>
        <v>3697</v>
      </c>
      <c r="I197" s="276"/>
      <c r="J197" s="269"/>
      <c r="K197" s="269"/>
      <c r="L197" s="270">
        <f>SUM(I197:K197)</f>
        <v>0</v>
      </c>
      <c r="M197" s="273">
        <f>SUM(H197+L197)</f>
        <v>3697</v>
      </c>
      <c r="N197" s="273"/>
      <c r="O197" s="273">
        <f>SUM(M197+N197)</f>
        <v>3697</v>
      </c>
    </row>
    <row r="198" spans="1:16" s="274" customFormat="1" x14ac:dyDescent="0.25">
      <c r="A198" s="265"/>
      <c r="B198" s="266" t="s">
        <v>160</v>
      </c>
      <c r="C198" s="267"/>
      <c r="D198" s="268"/>
      <c r="E198" s="268"/>
      <c r="F198" s="269"/>
      <c r="G198" s="268"/>
      <c r="H198" s="270"/>
      <c r="I198" s="276"/>
      <c r="J198" s="269"/>
      <c r="K198" s="269"/>
      <c r="L198" s="270"/>
      <c r="M198" s="273"/>
      <c r="N198" s="273"/>
      <c r="O198" s="273"/>
    </row>
    <row r="199" spans="1:16" s="274" customFormat="1" x14ac:dyDescent="0.25">
      <c r="A199" s="265"/>
      <c r="B199" s="592" t="s">
        <v>1229</v>
      </c>
      <c r="C199" s="287">
        <v>15</v>
      </c>
      <c r="D199" s="288">
        <v>3</v>
      </c>
      <c r="E199" s="288"/>
      <c r="F199" s="289"/>
      <c r="G199" s="268"/>
      <c r="H199" s="277">
        <f t="shared" ref="H199:H206" si="91">SUM(C199:G199)</f>
        <v>18</v>
      </c>
      <c r="I199" s="276"/>
      <c r="J199" s="269"/>
      <c r="K199" s="269"/>
      <c r="L199" s="277">
        <f t="shared" ref="L199:L206" si="92">SUM(I199:K199)</f>
        <v>0</v>
      </c>
      <c r="M199" s="278">
        <f t="shared" ref="M199:M206" si="93">SUM(H199+L199)</f>
        <v>18</v>
      </c>
      <c r="N199" s="273"/>
      <c r="O199" s="278">
        <f t="shared" ref="O199:O206" si="94">SUM(M199+N199)</f>
        <v>18</v>
      </c>
    </row>
    <row r="200" spans="1:16" s="274" customFormat="1" ht="47.25" x14ac:dyDescent="0.25">
      <c r="A200" s="265"/>
      <c r="B200" s="592" t="s">
        <v>1276</v>
      </c>
      <c r="C200" s="287">
        <v>20</v>
      </c>
      <c r="D200" s="288">
        <v>4</v>
      </c>
      <c r="E200" s="288"/>
      <c r="F200" s="289"/>
      <c r="G200" s="268"/>
      <c r="H200" s="277">
        <f t="shared" si="91"/>
        <v>24</v>
      </c>
      <c r="I200" s="276"/>
      <c r="J200" s="269"/>
      <c r="K200" s="269"/>
      <c r="L200" s="277">
        <f t="shared" si="92"/>
        <v>0</v>
      </c>
      <c r="M200" s="278">
        <f t="shared" si="93"/>
        <v>24</v>
      </c>
      <c r="N200" s="273"/>
      <c r="O200" s="278">
        <f t="shared" si="94"/>
        <v>24</v>
      </c>
    </row>
    <row r="201" spans="1:16" s="274" customFormat="1" ht="31.5" x14ac:dyDescent="0.25">
      <c r="A201" s="265"/>
      <c r="B201" s="592" t="s">
        <v>1051</v>
      </c>
      <c r="C201" s="287"/>
      <c r="D201" s="288"/>
      <c r="E201" s="288">
        <v>-1839</v>
      </c>
      <c r="F201" s="289"/>
      <c r="G201" s="268"/>
      <c r="H201" s="277">
        <f t="shared" si="91"/>
        <v>-1839</v>
      </c>
      <c r="I201" s="290">
        <v>1839</v>
      </c>
      <c r="J201" s="269"/>
      <c r="K201" s="269"/>
      <c r="L201" s="277">
        <f t="shared" si="92"/>
        <v>1839</v>
      </c>
      <c r="M201" s="278">
        <f t="shared" si="93"/>
        <v>0</v>
      </c>
      <c r="N201" s="273"/>
      <c r="O201" s="278">
        <f t="shared" si="94"/>
        <v>0</v>
      </c>
    </row>
    <row r="202" spans="1:16" s="274" customFormat="1" x14ac:dyDescent="0.25">
      <c r="A202" s="265"/>
      <c r="B202" s="266" t="s">
        <v>161</v>
      </c>
      <c r="C202" s="287"/>
      <c r="D202" s="288"/>
      <c r="E202" s="288"/>
      <c r="F202" s="289"/>
      <c r="G202" s="268"/>
      <c r="H202" s="277"/>
      <c r="I202" s="276"/>
      <c r="J202" s="269"/>
      <c r="K202" s="269"/>
      <c r="L202" s="277"/>
      <c r="M202" s="278"/>
      <c r="N202" s="273"/>
      <c r="O202" s="278"/>
    </row>
    <row r="203" spans="1:16" s="274" customFormat="1" x14ac:dyDescent="0.25">
      <c r="A203" s="265"/>
      <c r="B203" s="592" t="s">
        <v>1231</v>
      </c>
      <c r="C203" s="287">
        <v>1204</v>
      </c>
      <c r="D203" s="288">
        <v>391</v>
      </c>
      <c r="E203" s="288"/>
      <c r="F203" s="289"/>
      <c r="G203" s="268"/>
      <c r="H203" s="277">
        <f t="shared" si="91"/>
        <v>1595</v>
      </c>
      <c r="I203" s="290"/>
      <c r="J203" s="269"/>
      <c r="K203" s="269"/>
      <c r="L203" s="277">
        <f t="shared" si="92"/>
        <v>0</v>
      </c>
      <c r="M203" s="278">
        <f t="shared" si="93"/>
        <v>1595</v>
      </c>
      <c r="N203" s="273"/>
      <c r="O203" s="278">
        <f t="shared" si="94"/>
        <v>1595</v>
      </c>
    </row>
    <row r="204" spans="1:16" s="274" customFormat="1" ht="31.5" x14ac:dyDescent="0.25">
      <c r="A204" s="265"/>
      <c r="B204" s="592" t="s">
        <v>1277</v>
      </c>
      <c r="C204" s="287">
        <v>180</v>
      </c>
      <c r="D204" s="288">
        <v>32</v>
      </c>
      <c r="E204" s="288"/>
      <c r="F204" s="289"/>
      <c r="G204" s="268"/>
      <c r="H204" s="277">
        <f t="shared" si="91"/>
        <v>212</v>
      </c>
      <c r="I204" s="290"/>
      <c r="J204" s="269"/>
      <c r="K204" s="269"/>
      <c r="L204" s="277">
        <f t="shared" si="92"/>
        <v>0</v>
      </c>
      <c r="M204" s="278">
        <f t="shared" si="93"/>
        <v>212</v>
      </c>
      <c r="N204" s="273"/>
      <c r="O204" s="278">
        <f t="shared" si="94"/>
        <v>212</v>
      </c>
    </row>
    <row r="205" spans="1:16" s="274" customFormat="1" ht="63" x14ac:dyDescent="0.25">
      <c r="A205" s="265"/>
      <c r="B205" s="592" t="s">
        <v>1154</v>
      </c>
      <c r="C205" s="287"/>
      <c r="D205" s="288"/>
      <c r="E205" s="288">
        <v>15</v>
      </c>
      <c r="F205" s="289"/>
      <c r="G205" s="268"/>
      <c r="H205" s="277">
        <f t="shared" si="91"/>
        <v>15</v>
      </c>
      <c r="I205" s="290"/>
      <c r="J205" s="269"/>
      <c r="K205" s="269"/>
      <c r="L205" s="277">
        <f t="shared" si="92"/>
        <v>0</v>
      </c>
      <c r="M205" s="278">
        <f t="shared" si="93"/>
        <v>15</v>
      </c>
      <c r="N205" s="273"/>
      <c r="O205" s="278">
        <f t="shared" si="94"/>
        <v>15</v>
      </c>
    </row>
    <row r="206" spans="1:16" s="274" customFormat="1" ht="79.5" thickBot="1" x14ac:dyDescent="0.3">
      <c r="A206" s="265"/>
      <c r="B206" s="592" t="s">
        <v>1282</v>
      </c>
      <c r="C206" s="287"/>
      <c r="D206" s="288"/>
      <c r="E206" s="288">
        <v>15</v>
      </c>
      <c r="F206" s="289"/>
      <c r="G206" s="268"/>
      <c r="H206" s="277">
        <f t="shared" si="91"/>
        <v>15</v>
      </c>
      <c r="I206" s="290"/>
      <c r="J206" s="269"/>
      <c r="K206" s="269"/>
      <c r="L206" s="277">
        <f t="shared" si="92"/>
        <v>0</v>
      </c>
      <c r="M206" s="278">
        <f t="shared" si="93"/>
        <v>15</v>
      </c>
      <c r="N206" s="273"/>
      <c r="O206" s="278">
        <f t="shared" si="94"/>
        <v>15</v>
      </c>
    </row>
    <row r="207" spans="1:16" ht="17.25" thickTop="1" thickBot="1" x14ac:dyDescent="0.3">
      <c r="A207" s="275"/>
      <c r="B207" s="101" t="s">
        <v>1035</v>
      </c>
      <c r="C207" s="102">
        <f>+C195+C199+C203+C200+C201+C204+C205+C206</f>
        <v>155045</v>
      </c>
      <c r="D207" s="102">
        <f t="shared" ref="D207:O207" si="95">+D195+D199+D203+D200+D201+D204+D205+D206</f>
        <v>33433</v>
      </c>
      <c r="E207" s="102">
        <f t="shared" si="95"/>
        <v>61344</v>
      </c>
      <c r="F207" s="102">
        <f t="shared" si="95"/>
        <v>0</v>
      </c>
      <c r="G207" s="102">
        <f t="shared" si="95"/>
        <v>0</v>
      </c>
      <c r="H207" s="102">
        <f t="shared" si="95"/>
        <v>249822</v>
      </c>
      <c r="I207" s="102">
        <f t="shared" si="95"/>
        <v>2229</v>
      </c>
      <c r="J207" s="102">
        <f t="shared" si="95"/>
        <v>0</v>
      </c>
      <c r="K207" s="102">
        <f t="shared" si="95"/>
        <v>0</v>
      </c>
      <c r="L207" s="102">
        <f t="shared" si="95"/>
        <v>2229</v>
      </c>
      <c r="M207" s="102">
        <f t="shared" si="95"/>
        <v>252051</v>
      </c>
      <c r="N207" s="102">
        <f t="shared" si="95"/>
        <v>0</v>
      </c>
      <c r="O207" s="102">
        <f t="shared" si="95"/>
        <v>252051</v>
      </c>
      <c r="P207" s="254">
        <f>O208+O209</f>
        <v>252051</v>
      </c>
    </row>
    <row r="208" spans="1:16" ht="17.25" thickTop="1" thickBot="1" x14ac:dyDescent="0.3">
      <c r="A208" s="275"/>
      <c r="B208" s="101" t="s">
        <v>1036</v>
      </c>
      <c r="C208" s="102">
        <f>+C196+C199+C200+C201</f>
        <v>150948</v>
      </c>
      <c r="D208" s="102">
        <f t="shared" ref="D208:O208" si="96">+D196+D199+D200+D201</f>
        <v>32081</v>
      </c>
      <c r="E208" s="102">
        <f t="shared" si="96"/>
        <v>61259</v>
      </c>
      <c r="F208" s="102">
        <f t="shared" si="96"/>
        <v>0</v>
      </c>
      <c r="G208" s="102">
        <f t="shared" si="96"/>
        <v>0</v>
      </c>
      <c r="H208" s="102">
        <f t="shared" si="96"/>
        <v>244288</v>
      </c>
      <c r="I208" s="102">
        <f t="shared" si="96"/>
        <v>2229</v>
      </c>
      <c r="J208" s="102">
        <f t="shared" si="96"/>
        <v>0</v>
      </c>
      <c r="K208" s="102">
        <f t="shared" si="96"/>
        <v>0</v>
      </c>
      <c r="L208" s="102">
        <f t="shared" si="96"/>
        <v>2229</v>
      </c>
      <c r="M208" s="102">
        <f t="shared" si="96"/>
        <v>246517</v>
      </c>
      <c r="N208" s="102">
        <f t="shared" si="96"/>
        <v>0</v>
      </c>
      <c r="O208" s="102">
        <f t="shared" si="96"/>
        <v>246517</v>
      </c>
    </row>
    <row r="209" spans="1:16" ht="17.25" thickTop="1" thickBot="1" x14ac:dyDescent="0.3">
      <c r="A209" s="275"/>
      <c r="B209" s="101" t="s">
        <v>1037</v>
      </c>
      <c r="C209" s="102">
        <f t="shared" ref="C209:O209" si="97">+C197+C203+C204+C205+C206</f>
        <v>4097</v>
      </c>
      <c r="D209" s="102">
        <f t="shared" si="97"/>
        <v>1352</v>
      </c>
      <c r="E209" s="102">
        <f t="shared" si="97"/>
        <v>85</v>
      </c>
      <c r="F209" s="102">
        <f t="shared" si="97"/>
        <v>0</v>
      </c>
      <c r="G209" s="102">
        <f t="shared" si="97"/>
        <v>0</v>
      </c>
      <c r="H209" s="102">
        <f t="shared" si="97"/>
        <v>5534</v>
      </c>
      <c r="I209" s="102">
        <f t="shared" si="97"/>
        <v>0</v>
      </c>
      <c r="J209" s="102">
        <f t="shared" si="97"/>
        <v>0</v>
      </c>
      <c r="K209" s="102">
        <f t="shared" si="97"/>
        <v>0</v>
      </c>
      <c r="L209" s="102">
        <f t="shared" si="97"/>
        <v>0</v>
      </c>
      <c r="M209" s="102">
        <f t="shared" si="97"/>
        <v>5534</v>
      </c>
      <c r="N209" s="102">
        <f t="shared" si="97"/>
        <v>0</v>
      </c>
      <c r="O209" s="102">
        <f t="shared" si="97"/>
        <v>5534</v>
      </c>
    </row>
    <row r="210" spans="1:16" ht="16.5" thickTop="1" x14ac:dyDescent="0.25">
      <c r="A210" s="264" t="s">
        <v>4</v>
      </c>
      <c r="B210" s="597" t="s">
        <v>402</v>
      </c>
      <c r="C210" s="607"/>
      <c r="D210" s="608"/>
      <c r="E210" s="608"/>
      <c r="F210" s="614"/>
      <c r="G210" s="608"/>
      <c r="H210" s="610"/>
      <c r="I210" s="611"/>
      <c r="J210" s="609"/>
      <c r="K210" s="609"/>
      <c r="L210" s="610"/>
      <c r="M210" s="610"/>
      <c r="N210" s="610"/>
      <c r="O210" s="610"/>
    </row>
    <row r="211" spans="1:16" x14ac:dyDescent="0.25">
      <c r="A211" s="279"/>
      <c r="B211" s="597" t="s">
        <v>998</v>
      </c>
      <c r="C211" s="607">
        <v>138315</v>
      </c>
      <c r="D211" s="608">
        <v>29671</v>
      </c>
      <c r="E211" s="608">
        <v>50684</v>
      </c>
      <c r="F211" s="609"/>
      <c r="G211" s="608"/>
      <c r="H211" s="610">
        <f>SUM(C211:G211)</f>
        <v>218670</v>
      </c>
      <c r="I211" s="611">
        <v>473</v>
      </c>
      <c r="J211" s="609"/>
      <c r="K211" s="609"/>
      <c r="L211" s="610">
        <f>SUM(I211:K211)</f>
        <v>473</v>
      </c>
      <c r="M211" s="612">
        <f>SUM(H211+L211)</f>
        <v>219143</v>
      </c>
      <c r="N211" s="612"/>
      <c r="O211" s="612">
        <f>SUM(M211+N211)</f>
        <v>219143</v>
      </c>
    </row>
    <row r="212" spans="1:16" s="274" customFormat="1" x14ac:dyDescent="0.25">
      <c r="A212" s="293"/>
      <c r="B212" s="266" t="s">
        <v>1033</v>
      </c>
      <c r="C212" s="267">
        <v>135942</v>
      </c>
      <c r="D212" s="268">
        <v>28859</v>
      </c>
      <c r="E212" s="268">
        <v>50629</v>
      </c>
      <c r="F212" s="269"/>
      <c r="G212" s="268"/>
      <c r="H212" s="270">
        <f>SUM(C212:G212)</f>
        <v>215430</v>
      </c>
      <c r="I212" s="276">
        <v>473</v>
      </c>
      <c r="J212" s="269"/>
      <c r="K212" s="269"/>
      <c r="L212" s="270">
        <f>SUM(I212:K212)</f>
        <v>473</v>
      </c>
      <c r="M212" s="273">
        <f>SUM(H212+L212)</f>
        <v>215903</v>
      </c>
      <c r="N212" s="273"/>
      <c r="O212" s="273">
        <f>SUM(M212+N212)</f>
        <v>215903</v>
      </c>
    </row>
    <row r="213" spans="1:16" s="274" customFormat="1" x14ac:dyDescent="0.25">
      <c r="A213" s="293"/>
      <c r="B213" s="266" t="s">
        <v>1034</v>
      </c>
      <c r="C213" s="267">
        <v>2373</v>
      </c>
      <c r="D213" s="268">
        <v>812</v>
      </c>
      <c r="E213" s="268">
        <v>55</v>
      </c>
      <c r="F213" s="269"/>
      <c r="G213" s="268"/>
      <c r="H213" s="270">
        <f>SUM(C213:G213)</f>
        <v>3240</v>
      </c>
      <c r="I213" s="276"/>
      <c r="J213" s="269"/>
      <c r="K213" s="269"/>
      <c r="L213" s="270">
        <f>SUM(I213:K213)</f>
        <v>0</v>
      </c>
      <c r="M213" s="273">
        <f>SUM(H213+L213)</f>
        <v>3240</v>
      </c>
      <c r="N213" s="273"/>
      <c r="O213" s="273">
        <f>SUM(M213+N213)</f>
        <v>3240</v>
      </c>
    </row>
    <row r="214" spans="1:16" s="274" customFormat="1" x14ac:dyDescent="0.25">
      <c r="A214" s="293"/>
      <c r="B214" s="266" t="s">
        <v>160</v>
      </c>
      <c r="C214" s="267"/>
      <c r="D214" s="268"/>
      <c r="E214" s="268"/>
      <c r="F214" s="269"/>
      <c r="G214" s="268"/>
      <c r="H214" s="270"/>
      <c r="I214" s="276"/>
      <c r="J214" s="269"/>
      <c r="K214" s="269"/>
      <c r="L214" s="270"/>
      <c r="M214" s="273"/>
      <c r="N214" s="273"/>
      <c r="O214" s="273"/>
    </row>
    <row r="215" spans="1:16" s="274" customFormat="1" x14ac:dyDescent="0.25">
      <c r="A215" s="293"/>
      <c r="B215" s="594" t="s">
        <v>1229</v>
      </c>
      <c r="C215" s="287">
        <v>4</v>
      </c>
      <c r="D215" s="288">
        <v>1</v>
      </c>
      <c r="E215" s="288"/>
      <c r="F215" s="289"/>
      <c r="G215" s="268"/>
      <c r="H215" s="277">
        <f t="shared" ref="H215:H219" si="98">SUM(C215:G215)</f>
        <v>5</v>
      </c>
      <c r="I215" s="276"/>
      <c r="J215" s="269"/>
      <c r="K215" s="269"/>
      <c r="L215" s="277">
        <f t="shared" ref="L215:L219" si="99">SUM(I215:K215)</f>
        <v>0</v>
      </c>
      <c r="M215" s="277">
        <f t="shared" ref="M215:M219" si="100">SUM(H215+L215)</f>
        <v>5</v>
      </c>
      <c r="N215" s="270"/>
      <c r="O215" s="277">
        <f t="shared" ref="O215:O219" si="101">SUM(M215+N215)</f>
        <v>5</v>
      </c>
    </row>
    <row r="216" spans="1:16" s="274" customFormat="1" ht="47.25" x14ac:dyDescent="0.25">
      <c r="A216" s="265"/>
      <c r="B216" s="592" t="s">
        <v>1276</v>
      </c>
      <c r="C216" s="304">
        <v>3222</v>
      </c>
      <c r="D216" s="305">
        <v>564</v>
      </c>
      <c r="E216" s="305"/>
      <c r="F216" s="306"/>
      <c r="G216" s="282"/>
      <c r="H216" s="284">
        <f t="shared" si="98"/>
        <v>3786</v>
      </c>
      <c r="I216" s="628"/>
      <c r="J216" s="303"/>
      <c r="K216" s="303"/>
      <c r="L216" s="284">
        <f t="shared" si="99"/>
        <v>0</v>
      </c>
      <c r="M216" s="284">
        <f t="shared" si="100"/>
        <v>3786</v>
      </c>
      <c r="N216" s="283"/>
      <c r="O216" s="284">
        <f t="shared" si="101"/>
        <v>3786</v>
      </c>
    </row>
    <row r="217" spans="1:16" s="274" customFormat="1" x14ac:dyDescent="0.25">
      <c r="A217" s="293"/>
      <c r="B217" s="266" t="s">
        <v>161</v>
      </c>
      <c r="C217" s="287"/>
      <c r="D217" s="288"/>
      <c r="E217" s="288"/>
      <c r="F217" s="289"/>
      <c r="G217" s="268"/>
      <c r="H217" s="277"/>
      <c r="I217" s="276"/>
      <c r="J217" s="269"/>
      <c r="K217" s="269"/>
      <c r="L217" s="277"/>
      <c r="M217" s="278"/>
      <c r="N217" s="273"/>
      <c r="O217" s="278"/>
    </row>
    <row r="218" spans="1:16" s="274" customFormat="1" x14ac:dyDescent="0.25">
      <c r="A218" s="265"/>
      <c r="B218" s="592" t="s">
        <v>1231</v>
      </c>
      <c r="C218" s="287">
        <v>1049</v>
      </c>
      <c r="D218" s="288">
        <v>341</v>
      </c>
      <c r="E218" s="288"/>
      <c r="F218" s="289"/>
      <c r="G218" s="268"/>
      <c r="H218" s="277">
        <f t="shared" si="98"/>
        <v>1390</v>
      </c>
      <c r="I218" s="290"/>
      <c r="J218" s="269"/>
      <c r="K218" s="269"/>
      <c r="L218" s="277">
        <f t="shared" si="99"/>
        <v>0</v>
      </c>
      <c r="M218" s="278">
        <f t="shared" si="100"/>
        <v>1390</v>
      </c>
      <c r="N218" s="273"/>
      <c r="O218" s="278">
        <f t="shared" si="101"/>
        <v>1390</v>
      </c>
    </row>
    <row r="219" spans="1:16" s="274" customFormat="1" ht="32.25" thickBot="1" x14ac:dyDescent="0.3">
      <c r="A219" s="265"/>
      <c r="B219" s="592" t="s">
        <v>1277</v>
      </c>
      <c r="C219" s="287">
        <v>158</v>
      </c>
      <c r="D219" s="288">
        <v>28</v>
      </c>
      <c r="E219" s="288"/>
      <c r="F219" s="289"/>
      <c r="G219" s="268"/>
      <c r="H219" s="277">
        <f t="shared" si="98"/>
        <v>186</v>
      </c>
      <c r="I219" s="290"/>
      <c r="J219" s="269"/>
      <c r="K219" s="269"/>
      <c r="L219" s="277">
        <f t="shared" si="99"/>
        <v>0</v>
      </c>
      <c r="M219" s="278">
        <f t="shared" si="100"/>
        <v>186</v>
      </c>
      <c r="N219" s="273"/>
      <c r="O219" s="278">
        <f t="shared" si="101"/>
        <v>186</v>
      </c>
    </row>
    <row r="220" spans="1:16" ht="17.25" thickTop="1" thickBot="1" x14ac:dyDescent="0.3">
      <c r="A220" s="275"/>
      <c r="B220" s="101" t="s">
        <v>1035</v>
      </c>
      <c r="C220" s="102">
        <f>+C211+C215+C218+C216+C219</f>
        <v>142748</v>
      </c>
      <c r="D220" s="102">
        <f t="shared" ref="D220:O220" si="102">+D211+D215+D218+D216+D219</f>
        <v>30605</v>
      </c>
      <c r="E220" s="102">
        <f t="shared" si="102"/>
        <v>50684</v>
      </c>
      <c r="F220" s="102">
        <f t="shared" si="102"/>
        <v>0</v>
      </c>
      <c r="G220" s="102">
        <f t="shared" si="102"/>
        <v>0</v>
      </c>
      <c r="H220" s="102">
        <f t="shared" si="102"/>
        <v>224037</v>
      </c>
      <c r="I220" s="102">
        <f t="shared" si="102"/>
        <v>473</v>
      </c>
      <c r="J220" s="102">
        <f t="shared" si="102"/>
        <v>0</v>
      </c>
      <c r="K220" s="102">
        <f t="shared" si="102"/>
        <v>0</v>
      </c>
      <c r="L220" s="102">
        <f t="shared" si="102"/>
        <v>473</v>
      </c>
      <c r="M220" s="102">
        <f t="shared" si="102"/>
        <v>224510</v>
      </c>
      <c r="N220" s="102">
        <f t="shared" si="102"/>
        <v>0</v>
      </c>
      <c r="O220" s="102">
        <f t="shared" si="102"/>
        <v>224510</v>
      </c>
      <c r="P220" s="254">
        <f>O221+O222</f>
        <v>224510</v>
      </c>
    </row>
    <row r="221" spans="1:16" ht="17.25" thickTop="1" thickBot="1" x14ac:dyDescent="0.3">
      <c r="A221" s="275"/>
      <c r="B221" s="101" t="s">
        <v>1036</v>
      </c>
      <c r="C221" s="102">
        <f>+C212+C215+C216</f>
        <v>139168</v>
      </c>
      <c r="D221" s="102">
        <f t="shared" ref="D221:O221" si="103">+D212+D215+D216</f>
        <v>29424</v>
      </c>
      <c r="E221" s="102">
        <f t="shared" si="103"/>
        <v>50629</v>
      </c>
      <c r="F221" s="102">
        <f t="shared" si="103"/>
        <v>0</v>
      </c>
      <c r="G221" s="102">
        <f t="shared" si="103"/>
        <v>0</v>
      </c>
      <c r="H221" s="102">
        <f t="shared" si="103"/>
        <v>219221</v>
      </c>
      <c r="I221" s="102">
        <f t="shared" si="103"/>
        <v>473</v>
      </c>
      <c r="J221" s="102">
        <f t="shared" si="103"/>
        <v>0</v>
      </c>
      <c r="K221" s="102">
        <f t="shared" si="103"/>
        <v>0</v>
      </c>
      <c r="L221" s="102">
        <f t="shared" si="103"/>
        <v>473</v>
      </c>
      <c r="M221" s="102">
        <f t="shared" si="103"/>
        <v>219694</v>
      </c>
      <c r="N221" s="102">
        <f t="shared" si="103"/>
        <v>0</v>
      </c>
      <c r="O221" s="102">
        <f t="shared" si="103"/>
        <v>219694</v>
      </c>
    </row>
    <row r="222" spans="1:16" ht="17.25" thickTop="1" thickBot="1" x14ac:dyDescent="0.3">
      <c r="A222" s="275"/>
      <c r="B222" s="101" t="s">
        <v>1037</v>
      </c>
      <c r="C222" s="102">
        <f t="shared" ref="C222:O222" si="104">+C213+C218+C219</f>
        <v>3580</v>
      </c>
      <c r="D222" s="102">
        <f t="shared" si="104"/>
        <v>1181</v>
      </c>
      <c r="E222" s="102">
        <f t="shared" si="104"/>
        <v>55</v>
      </c>
      <c r="F222" s="102">
        <f t="shared" si="104"/>
        <v>0</v>
      </c>
      <c r="G222" s="102">
        <f t="shared" si="104"/>
        <v>0</v>
      </c>
      <c r="H222" s="102">
        <f t="shared" si="104"/>
        <v>4816</v>
      </c>
      <c r="I222" s="102">
        <f t="shared" si="104"/>
        <v>0</v>
      </c>
      <c r="J222" s="102">
        <f t="shared" si="104"/>
        <v>0</v>
      </c>
      <c r="K222" s="102">
        <f t="shared" si="104"/>
        <v>0</v>
      </c>
      <c r="L222" s="102">
        <f t="shared" si="104"/>
        <v>0</v>
      </c>
      <c r="M222" s="102">
        <f t="shared" si="104"/>
        <v>4816</v>
      </c>
      <c r="N222" s="102">
        <f t="shared" si="104"/>
        <v>0</v>
      </c>
      <c r="O222" s="102">
        <f t="shared" si="104"/>
        <v>4816</v>
      </c>
    </row>
    <row r="223" spans="1:16" ht="16.5" thickTop="1" x14ac:dyDescent="0.25">
      <c r="A223" s="294" t="s">
        <v>5</v>
      </c>
      <c r="B223" s="621" t="s">
        <v>31</v>
      </c>
      <c r="C223" s="622"/>
      <c r="D223" s="623"/>
      <c r="E223" s="623"/>
      <c r="F223" s="624"/>
      <c r="G223" s="623"/>
      <c r="H223" s="625"/>
      <c r="I223" s="626"/>
      <c r="J223" s="624"/>
      <c r="K223" s="624"/>
      <c r="L223" s="625"/>
      <c r="M223" s="625"/>
      <c r="N223" s="625"/>
      <c r="O223" s="625"/>
    </row>
    <row r="224" spans="1:16" x14ac:dyDescent="0.25">
      <c r="A224" s="264"/>
      <c r="B224" s="592" t="s">
        <v>998</v>
      </c>
      <c r="C224" s="607">
        <v>158510</v>
      </c>
      <c r="D224" s="608">
        <v>33900</v>
      </c>
      <c r="E224" s="608">
        <v>74320</v>
      </c>
      <c r="F224" s="614"/>
      <c r="G224" s="608"/>
      <c r="H224" s="610">
        <f>SUM(C224:G224)</f>
        <v>266730</v>
      </c>
      <c r="I224" s="611"/>
      <c r="J224" s="609"/>
      <c r="K224" s="609"/>
      <c r="L224" s="610">
        <f>SUM(I224:K224)</f>
        <v>0</v>
      </c>
      <c r="M224" s="612">
        <f>SUM(H224+L224)</f>
        <v>266730</v>
      </c>
      <c r="N224" s="612"/>
      <c r="O224" s="612">
        <f>SUM(M224+N224)</f>
        <v>266730</v>
      </c>
    </row>
    <row r="225" spans="1:16" s="274" customFormat="1" x14ac:dyDescent="0.25">
      <c r="A225" s="265"/>
      <c r="B225" s="266" t="s">
        <v>1033</v>
      </c>
      <c r="C225" s="267">
        <v>155766</v>
      </c>
      <c r="D225" s="268">
        <v>32961</v>
      </c>
      <c r="E225" s="268">
        <v>74265</v>
      </c>
      <c r="F225" s="272"/>
      <c r="G225" s="268"/>
      <c r="H225" s="270">
        <f>SUM(C225:G225)</f>
        <v>262992</v>
      </c>
      <c r="I225" s="276"/>
      <c r="J225" s="269"/>
      <c r="K225" s="269"/>
      <c r="L225" s="270">
        <f>SUM(I225:K225)</f>
        <v>0</v>
      </c>
      <c r="M225" s="273">
        <f>SUM(H225+L225)</f>
        <v>262992</v>
      </c>
      <c r="N225" s="273"/>
      <c r="O225" s="273">
        <f>SUM(M225+N225)</f>
        <v>262992</v>
      </c>
    </row>
    <row r="226" spans="1:16" s="274" customFormat="1" x14ac:dyDescent="0.25">
      <c r="A226" s="265"/>
      <c r="B226" s="266" t="s">
        <v>1034</v>
      </c>
      <c r="C226" s="267">
        <v>2744</v>
      </c>
      <c r="D226" s="268">
        <v>939</v>
      </c>
      <c r="E226" s="268">
        <v>55</v>
      </c>
      <c r="F226" s="272"/>
      <c r="G226" s="268"/>
      <c r="H226" s="270">
        <f>SUM(C226:G226)</f>
        <v>3738</v>
      </c>
      <c r="I226" s="276"/>
      <c r="J226" s="269"/>
      <c r="K226" s="269"/>
      <c r="L226" s="270">
        <f>SUM(I226:K226)</f>
        <v>0</v>
      </c>
      <c r="M226" s="273">
        <f>SUM(H226+L226)</f>
        <v>3738</v>
      </c>
      <c r="N226" s="273"/>
      <c r="O226" s="273">
        <f>SUM(M226+N226)</f>
        <v>3738</v>
      </c>
    </row>
    <row r="227" spans="1:16" s="274" customFormat="1" x14ac:dyDescent="0.25">
      <c r="A227" s="265"/>
      <c r="B227" s="266" t="s">
        <v>160</v>
      </c>
      <c r="C227" s="267"/>
      <c r="D227" s="268"/>
      <c r="E227" s="268"/>
      <c r="F227" s="272"/>
      <c r="G227" s="268"/>
      <c r="H227" s="270"/>
      <c r="I227" s="276"/>
      <c r="J227" s="269"/>
      <c r="K227" s="269"/>
      <c r="L227" s="270"/>
      <c r="M227" s="273"/>
      <c r="N227" s="273"/>
      <c r="O227" s="273"/>
    </row>
    <row r="228" spans="1:16" s="274" customFormat="1" x14ac:dyDescent="0.25">
      <c r="A228" s="265"/>
      <c r="B228" s="592" t="s">
        <v>1229</v>
      </c>
      <c r="C228" s="287">
        <v>15</v>
      </c>
      <c r="D228" s="288">
        <v>3</v>
      </c>
      <c r="E228" s="288"/>
      <c r="F228" s="292"/>
      <c r="G228" s="268"/>
      <c r="H228" s="277">
        <f t="shared" ref="H228:H235" si="105">SUM(C228:G228)</f>
        <v>18</v>
      </c>
      <c r="I228" s="276"/>
      <c r="J228" s="269"/>
      <c r="K228" s="269"/>
      <c r="L228" s="277">
        <f t="shared" ref="L228:L235" si="106">SUM(I228:K228)</f>
        <v>0</v>
      </c>
      <c r="M228" s="278">
        <f t="shared" ref="M228:M235" si="107">SUM(H228+L228)</f>
        <v>18</v>
      </c>
      <c r="N228" s="273"/>
      <c r="O228" s="278">
        <f t="shared" ref="O228:O235" si="108">SUM(M228+N228)</f>
        <v>18</v>
      </c>
    </row>
    <row r="229" spans="1:16" s="274" customFormat="1" x14ac:dyDescent="0.25">
      <c r="A229" s="265"/>
      <c r="B229" s="592" t="s">
        <v>1236</v>
      </c>
      <c r="C229" s="287">
        <v>98</v>
      </c>
      <c r="D229" s="288">
        <v>17</v>
      </c>
      <c r="E229" s="288"/>
      <c r="F229" s="292"/>
      <c r="G229" s="268"/>
      <c r="H229" s="277">
        <f t="shared" si="105"/>
        <v>115</v>
      </c>
      <c r="I229" s="276"/>
      <c r="J229" s="269"/>
      <c r="K229" s="269"/>
      <c r="L229" s="277">
        <f t="shared" si="106"/>
        <v>0</v>
      </c>
      <c r="M229" s="278">
        <f t="shared" si="107"/>
        <v>115</v>
      </c>
      <c r="N229" s="273"/>
      <c r="O229" s="278">
        <f t="shared" si="108"/>
        <v>115</v>
      </c>
    </row>
    <row r="230" spans="1:16" s="274" customFormat="1" ht="47.25" x14ac:dyDescent="0.25">
      <c r="A230" s="265"/>
      <c r="B230" s="592" t="s">
        <v>1276</v>
      </c>
      <c r="C230" s="287">
        <v>1785</v>
      </c>
      <c r="D230" s="288">
        <v>313</v>
      </c>
      <c r="E230" s="288"/>
      <c r="F230" s="292"/>
      <c r="G230" s="268"/>
      <c r="H230" s="277">
        <f t="shared" si="105"/>
        <v>2098</v>
      </c>
      <c r="I230" s="276"/>
      <c r="J230" s="269"/>
      <c r="K230" s="269"/>
      <c r="L230" s="277">
        <f t="shared" si="106"/>
        <v>0</v>
      </c>
      <c r="M230" s="278">
        <f t="shared" si="107"/>
        <v>2098</v>
      </c>
      <c r="N230" s="273"/>
      <c r="O230" s="278">
        <f t="shared" si="108"/>
        <v>2098</v>
      </c>
    </row>
    <row r="231" spans="1:16" s="274" customFormat="1" x14ac:dyDescent="0.25">
      <c r="A231" s="265"/>
      <c r="B231" s="266" t="s">
        <v>161</v>
      </c>
      <c r="C231" s="287"/>
      <c r="D231" s="288"/>
      <c r="E231" s="288"/>
      <c r="F231" s="292"/>
      <c r="G231" s="268"/>
      <c r="H231" s="277"/>
      <c r="I231" s="276"/>
      <c r="J231" s="269"/>
      <c r="K231" s="269"/>
      <c r="L231" s="277"/>
      <c r="M231" s="278"/>
      <c r="N231" s="273"/>
      <c r="O231" s="278"/>
    </row>
    <row r="232" spans="1:16" s="274" customFormat="1" x14ac:dyDescent="0.25">
      <c r="A232" s="265"/>
      <c r="B232" s="592" t="s">
        <v>1231</v>
      </c>
      <c r="C232" s="287">
        <v>1169</v>
      </c>
      <c r="D232" s="288">
        <v>380</v>
      </c>
      <c r="E232" s="288"/>
      <c r="F232" s="289"/>
      <c r="G232" s="268"/>
      <c r="H232" s="277">
        <f t="shared" si="105"/>
        <v>1549</v>
      </c>
      <c r="I232" s="290"/>
      <c r="J232" s="269"/>
      <c r="K232" s="269"/>
      <c r="L232" s="277">
        <f t="shared" si="106"/>
        <v>0</v>
      </c>
      <c r="M232" s="278">
        <f t="shared" si="107"/>
        <v>1549</v>
      </c>
      <c r="N232" s="273"/>
      <c r="O232" s="278">
        <f t="shared" si="108"/>
        <v>1549</v>
      </c>
    </row>
    <row r="233" spans="1:16" s="274" customFormat="1" ht="31.5" x14ac:dyDescent="0.25">
      <c r="A233" s="265"/>
      <c r="B233" s="592" t="s">
        <v>1277</v>
      </c>
      <c r="C233" s="287">
        <v>180</v>
      </c>
      <c r="D233" s="288">
        <v>31</v>
      </c>
      <c r="E233" s="288"/>
      <c r="F233" s="289"/>
      <c r="G233" s="268"/>
      <c r="H233" s="277">
        <f t="shared" si="105"/>
        <v>211</v>
      </c>
      <c r="I233" s="290"/>
      <c r="J233" s="269"/>
      <c r="K233" s="269"/>
      <c r="L233" s="277">
        <f t="shared" si="106"/>
        <v>0</v>
      </c>
      <c r="M233" s="278">
        <f t="shared" si="107"/>
        <v>211</v>
      </c>
      <c r="N233" s="273"/>
      <c r="O233" s="278">
        <f t="shared" si="108"/>
        <v>211</v>
      </c>
    </row>
    <row r="234" spans="1:16" s="274" customFormat="1" ht="63" x14ac:dyDescent="0.25">
      <c r="A234" s="265"/>
      <c r="B234" s="592" t="s">
        <v>1154</v>
      </c>
      <c r="C234" s="287"/>
      <c r="D234" s="288"/>
      <c r="E234" s="288">
        <v>15</v>
      </c>
      <c r="F234" s="289"/>
      <c r="G234" s="268"/>
      <c r="H234" s="277">
        <f t="shared" si="105"/>
        <v>15</v>
      </c>
      <c r="I234" s="290"/>
      <c r="J234" s="269"/>
      <c r="K234" s="269"/>
      <c r="L234" s="277">
        <f t="shared" si="106"/>
        <v>0</v>
      </c>
      <c r="M234" s="278">
        <f t="shared" si="107"/>
        <v>15</v>
      </c>
      <c r="N234" s="273"/>
      <c r="O234" s="278">
        <f t="shared" si="108"/>
        <v>15</v>
      </c>
    </row>
    <row r="235" spans="1:16" s="274" customFormat="1" ht="79.5" thickBot="1" x14ac:dyDescent="0.3">
      <c r="A235" s="265"/>
      <c r="B235" s="592" t="s">
        <v>1283</v>
      </c>
      <c r="C235" s="287"/>
      <c r="D235" s="288"/>
      <c r="E235" s="288">
        <v>15</v>
      </c>
      <c r="F235" s="289"/>
      <c r="G235" s="268"/>
      <c r="H235" s="277">
        <f t="shared" si="105"/>
        <v>15</v>
      </c>
      <c r="I235" s="290"/>
      <c r="J235" s="269"/>
      <c r="K235" s="269"/>
      <c r="L235" s="277">
        <f t="shared" si="106"/>
        <v>0</v>
      </c>
      <c r="M235" s="278">
        <f t="shared" si="107"/>
        <v>15</v>
      </c>
      <c r="N235" s="273"/>
      <c r="O235" s="278">
        <f t="shared" si="108"/>
        <v>15</v>
      </c>
    </row>
    <row r="236" spans="1:16" ht="17.25" thickTop="1" thickBot="1" x14ac:dyDescent="0.3">
      <c r="A236" s="275"/>
      <c r="B236" s="101" t="s">
        <v>1035</v>
      </c>
      <c r="C236" s="102">
        <f>+C224+C228+C229+C232+C230+C233+C234+C235</f>
        <v>161757</v>
      </c>
      <c r="D236" s="102">
        <f t="shared" ref="D236:O236" si="109">+D224+D228+D229+D232+D230+D233+D234+D235</f>
        <v>34644</v>
      </c>
      <c r="E236" s="102">
        <f t="shared" si="109"/>
        <v>74350</v>
      </c>
      <c r="F236" s="102">
        <f t="shared" si="109"/>
        <v>0</v>
      </c>
      <c r="G236" s="102">
        <f t="shared" si="109"/>
        <v>0</v>
      </c>
      <c r="H236" s="102">
        <f t="shared" si="109"/>
        <v>270751</v>
      </c>
      <c r="I236" s="102">
        <f t="shared" si="109"/>
        <v>0</v>
      </c>
      <c r="J236" s="102">
        <f t="shared" si="109"/>
        <v>0</v>
      </c>
      <c r="K236" s="102">
        <f t="shared" si="109"/>
        <v>0</v>
      </c>
      <c r="L236" s="102">
        <f t="shared" si="109"/>
        <v>0</v>
      </c>
      <c r="M236" s="102">
        <f t="shared" si="109"/>
        <v>270751</v>
      </c>
      <c r="N236" s="102">
        <f t="shared" si="109"/>
        <v>0</v>
      </c>
      <c r="O236" s="102">
        <f t="shared" si="109"/>
        <v>270751</v>
      </c>
      <c r="P236" s="254">
        <f>O237+O238</f>
        <v>270751</v>
      </c>
    </row>
    <row r="237" spans="1:16" ht="17.25" thickTop="1" thickBot="1" x14ac:dyDescent="0.3">
      <c r="A237" s="275"/>
      <c r="B237" s="101" t="s">
        <v>1036</v>
      </c>
      <c r="C237" s="102">
        <f>+C225+C228+C229+C230</f>
        <v>157664</v>
      </c>
      <c r="D237" s="102">
        <f t="shared" ref="D237:O237" si="110">+D225+D228+D229+D230</f>
        <v>33294</v>
      </c>
      <c r="E237" s="102">
        <f t="shared" si="110"/>
        <v>74265</v>
      </c>
      <c r="F237" s="102">
        <f t="shared" si="110"/>
        <v>0</v>
      </c>
      <c r="G237" s="102">
        <f t="shared" si="110"/>
        <v>0</v>
      </c>
      <c r="H237" s="102">
        <f t="shared" si="110"/>
        <v>265223</v>
      </c>
      <c r="I237" s="102">
        <f t="shared" si="110"/>
        <v>0</v>
      </c>
      <c r="J237" s="102">
        <f t="shared" si="110"/>
        <v>0</v>
      </c>
      <c r="K237" s="102">
        <f t="shared" si="110"/>
        <v>0</v>
      </c>
      <c r="L237" s="102">
        <f t="shared" si="110"/>
        <v>0</v>
      </c>
      <c r="M237" s="102">
        <f t="shared" si="110"/>
        <v>265223</v>
      </c>
      <c r="N237" s="102">
        <f t="shared" si="110"/>
        <v>0</v>
      </c>
      <c r="O237" s="102">
        <f t="shared" si="110"/>
        <v>265223</v>
      </c>
    </row>
    <row r="238" spans="1:16" ht="17.25" thickTop="1" thickBot="1" x14ac:dyDescent="0.3">
      <c r="A238" s="275"/>
      <c r="B238" s="101" t="s">
        <v>1037</v>
      </c>
      <c r="C238" s="102">
        <f t="shared" ref="C238:O238" si="111">+C226+C232+C233+C234+C235</f>
        <v>4093</v>
      </c>
      <c r="D238" s="102">
        <f t="shared" si="111"/>
        <v>1350</v>
      </c>
      <c r="E238" s="102">
        <f t="shared" si="111"/>
        <v>85</v>
      </c>
      <c r="F238" s="102">
        <f t="shared" si="111"/>
        <v>0</v>
      </c>
      <c r="G238" s="102">
        <f t="shared" si="111"/>
        <v>0</v>
      </c>
      <c r="H238" s="102">
        <f t="shared" si="111"/>
        <v>5528</v>
      </c>
      <c r="I238" s="102">
        <f t="shared" si="111"/>
        <v>0</v>
      </c>
      <c r="J238" s="102">
        <f t="shared" si="111"/>
        <v>0</v>
      </c>
      <c r="K238" s="102">
        <f t="shared" si="111"/>
        <v>0</v>
      </c>
      <c r="L238" s="102">
        <f t="shared" si="111"/>
        <v>0</v>
      </c>
      <c r="M238" s="102">
        <f t="shared" si="111"/>
        <v>5528</v>
      </c>
      <c r="N238" s="102">
        <f t="shared" si="111"/>
        <v>0</v>
      </c>
      <c r="O238" s="102">
        <f t="shared" si="111"/>
        <v>5528</v>
      </c>
    </row>
    <row r="239" spans="1:16" ht="16.5" thickTop="1" x14ac:dyDescent="0.25">
      <c r="A239" s="264" t="s">
        <v>6</v>
      </c>
      <c r="B239" s="597" t="s">
        <v>1065</v>
      </c>
      <c r="C239" s="607"/>
      <c r="D239" s="608"/>
      <c r="E239" s="608"/>
      <c r="F239" s="614"/>
      <c r="G239" s="608"/>
      <c r="H239" s="610"/>
      <c r="I239" s="611"/>
      <c r="J239" s="609"/>
      <c r="K239" s="609"/>
      <c r="L239" s="610"/>
      <c r="M239" s="610"/>
      <c r="N239" s="610"/>
      <c r="O239" s="610"/>
    </row>
    <row r="240" spans="1:16" x14ac:dyDescent="0.25">
      <c r="A240" s="279"/>
      <c r="B240" s="597" t="s">
        <v>998</v>
      </c>
      <c r="C240" s="607">
        <v>126816</v>
      </c>
      <c r="D240" s="608">
        <v>28012</v>
      </c>
      <c r="E240" s="608">
        <v>60596</v>
      </c>
      <c r="F240" s="609"/>
      <c r="G240" s="608"/>
      <c r="H240" s="610">
        <f>SUM(C240:G240)</f>
        <v>215424</v>
      </c>
      <c r="I240" s="611">
        <v>995</v>
      </c>
      <c r="J240" s="609"/>
      <c r="K240" s="609"/>
      <c r="L240" s="610">
        <f>SUM(I240:K240)</f>
        <v>995</v>
      </c>
      <c r="M240" s="612">
        <f>SUM(H240+L240)</f>
        <v>216419</v>
      </c>
      <c r="N240" s="612"/>
      <c r="O240" s="612">
        <f>SUM(M240+N240)</f>
        <v>216419</v>
      </c>
    </row>
    <row r="241" spans="1:16" s="274" customFormat="1" x14ac:dyDescent="0.25">
      <c r="A241" s="293"/>
      <c r="B241" s="266" t="s">
        <v>1033</v>
      </c>
      <c r="C241" s="267">
        <v>124689</v>
      </c>
      <c r="D241" s="268">
        <v>27284</v>
      </c>
      <c r="E241" s="268">
        <v>60441</v>
      </c>
      <c r="F241" s="269"/>
      <c r="G241" s="268"/>
      <c r="H241" s="270">
        <f>SUM(C241:G241)</f>
        <v>212414</v>
      </c>
      <c r="I241" s="276">
        <v>995</v>
      </c>
      <c r="J241" s="269"/>
      <c r="K241" s="269"/>
      <c r="L241" s="270">
        <f>SUM(I241:K241)</f>
        <v>995</v>
      </c>
      <c r="M241" s="273">
        <f>SUM(H241+L241)</f>
        <v>213409</v>
      </c>
      <c r="N241" s="273"/>
      <c r="O241" s="273">
        <f>SUM(M241+N241)</f>
        <v>213409</v>
      </c>
    </row>
    <row r="242" spans="1:16" s="274" customFormat="1" x14ac:dyDescent="0.25">
      <c r="A242" s="293"/>
      <c r="B242" s="266" t="s">
        <v>1034</v>
      </c>
      <c r="C242" s="267">
        <v>2127</v>
      </c>
      <c r="D242" s="268">
        <v>728</v>
      </c>
      <c r="E242" s="268">
        <v>155</v>
      </c>
      <c r="F242" s="269"/>
      <c r="G242" s="268"/>
      <c r="H242" s="270">
        <f>SUM(C242:G242)</f>
        <v>3010</v>
      </c>
      <c r="I242" s="276"/>
      <c r="J242" s="269"/>
      <c r="K242" s="269"/>
      <c r="L242" s="270">
        <f>SUM(I242:K242)</f>
        <v>0</v>
      </c>
      <c r="M242" s="273">
        <f>SUM(H242+L242)</f>
        <v>3010</v>
      </c>
      <c r="N242" s="273"/>
      <c r="O242" s="273">
        <f>SUM(M242+N242)</f>
        <v>3010</v>
      </c>
    </row>
    <row r="243" spans="1:16" s="274" customFormat="1" x14ac:dyDescent="0.25">
      <c r="A243" s="293"/>
      <c r="B243" s="266" t="s">
        <v>160</v>
      </c>
      <c r="C243" s="267"/>
      <c r="D243" s="268"/>
      <c r="E243" s="268"/>
      <c r="F243" s="269"/>
      <c r="G243" s="268"/>
      <c r="H243" s="270"/>
      <c r="I243" s="276"/>
      <c r="J243" s="269"/>
      <c r="K243" s="269"/>
      <c r="L243" s="270"/>
      <c r="M243" s="273"/>
      <c r="N243" s="273"/>
      <c r="O243" s="273"/>
    </row>
    <row r="244" spans="1:16" s="274" customFormat="1" x14ac:dyDescent="0.25">
      <c r="A244" s="293"/>
      <c r="B244" s="592" t="s">
        <v>1229</v>
      </c>
      <c r="C244" s="287">
        <v>28</v>
      </c>
      <c r="D244" s="288">
        <v>5</v>
      </c>
      <c r="E244" s="288"/>
      <c r="F244" s="289"/>
      <c r="G244" s="268"/>
      <c r="H244" s="277">
        <f t="shared" ref="H244:H250" si="112">SUM(C244:G244)</f>
        <v>33</v>
      </c>
      <c r="I244" s="276"/>
      <c r="J244" s="269"/>
      <c r="K244" s="269"/>
      <c r="L244" s="277">
        <f t="shared" ref="L244:L250" si="113">SUM(I244:K244)</f>
        <v>0</v>
      </c>
      <c r="M244" s="278">
        <f t="shared" ref="M244:M250" si="114">SUM(H244+L244)</f>
        <v>33</v>
      </c>
      <c r="N244" s="273"/>
      <c r="O244" s="278">
        <f t="shared" ref="O244:O250" si="115">SUM(M244+N244)</f>
        <v>33</v>
      </c>
    </row>
    <row r="245" spans="1:16" s="274" customFormat="1" ht="47.25" x14ac:dyDescent="0.25">
      <c r="A245" s="293"/>
      <c r="B245" s="592" t="s">
        <v>1276</v>
      </c>
      <c r="C245" s="287">
        <v>47</v>
      </c>
      <c r="D245" s="288">
        <v>8</v>
      </c>
      <c r="E245" s="288"/>
      <c r="F245" s="289"/>
      <c r="G245" s="268"/>
      <c r="H245" s="277">
        <f t="shared" si="112"/>
        <v>55</v>
      </c>
      <c r="I245" s="276"/>
      <c r="J245" s="269"/>
      <c r="K245" s="269"/>
      <c r="L245" s="277">
        <f t="shared" si="113"/>
        <v>0</v>
      </c>
      <c r="M245" s="278">
        <f t="shared" si="114"/>
        <v>55</v>
      </c>
      <c r="N245" s="273"/>
      <c r="O245" s="278">
        <f t="shared" si="115"/>
        <v>55</v>
      </c>
    </row>
    <row r="246" spans="1:16" s="274" customFormat="1" x14ac:dyDescent="0.25">
      <c r="A246" s="293"/>
      <c r="B246" s="280" t="s">
        <v>161</v>
      </c>
      <c r="C246" s="287"/>
      <c r="D246" s="288"/>
      <c r="E246" s="288"/>
      <c r="F246" s="289"/>
      <c r="G246" s="268"/>
      <c r="H246" s="277"/>
      <c r="I246" s="276"/>
      <c r="J246" s="269"/>
      <c r="K246" s="269"/>
      <c r="L246" s="277"/>
      <c r="M246" s="277"/>
      <c r="N246" s="270"/>
      <c r="O246" s="277"/>
    </row>
    <row r="247" spans="1:16" s="274" customFormat="1" x14ac:dyDescent="0.25">
      <c r="A247" s="265"/>
      <c r="B247" s="594" t="s">
        <v>1231</v>
      </c>
      <c r="C247" s="304">
        <v>939</v>
      </c>
      <c r="D247" s="305">
        <v>305</v>
      </c>
      <c r="E247" s="305"/>
      <c r="F247" s="306"/>
      <c r="G247" s="305"/>
      <c r="H247" s="284">
        <f t="shared" si="112"/>
        <v>1244</v>
      </c>
      <c r="I247" s="627"/>
      <c r="J247" s="303"/>
      <c r="K247" s="303"/>
      <c r="L247" s="284">
        <f t="shared" si="113"/>
        <v>0</v>
      </c>
      <c r="M247" s="284">
        <f t="shared" si="114"/>
        <v>1244</v>
      </c>
      <c r="N247" s="283"/>
      <c r="O247" s="284">
        <f t="shared" si="115"/>
        <v>1244</v>
      </c>
    </row>
    <row r="248" spans="1:16" s="274" customFormat="1" ht="31.5" x14ac:dyDescent="0.25">
      <c r="A248" s="293"/>
      <c r="B248" s="592" t="s">
        <v>1277</v>
      </c>
      <c r="C248" s="287">
        <v>113</v>
      </c>
      <c r="D248" s="288">
        <v>20</v>
      </c>
      <c r="E248" s="288"/>
      <c r="F248" s="289"/>
      <c r="G248" s="288"/>
      <c r="H248" s="277">
        <f t="shared" si="112"/>
        <v>133</v>
      </c>
      <c r="I248" s="290"/>
      <c r="J248" s="269"/>
      <c r="K248" s="269"/>
      <c r="L248" s="277">
        <f t="shared" si="113"/>
        <v>0</v>
      </c>
      <c r="M248" s="278">
        <f t="shared" si="114"/>
        <v>133</v>
      </c>
      <c r="N248" s="273"/>
      <c r="O248" s="278">
        <f t="shared" si="115"/>
        <v>133</v>
      </c>
    </row>
    <row r="249" spans="1:16" s="274" customFormat="1" ht="63" x14ac:dyDescent="0.25">
      <c r="A249" s="293"/>
      <c r="B249" s="592" t="s">
        <v>1154</v>
      </c>
      <c r="C249" s="287"/>
      <c r="D249" s="288"/>
      <c r="E249" s="288">
        <v>25</v>
      </c>
      <c r="F249" s="289"/>
      <c r="G249" s="288"/>
      <c r="H249" s="277">
        <f t="shared" si="112"/>
        <v>25</v>
      </c>
      <c r="I249" s="290"/>
      <c r="J249" s="269"/>
      <c r="K249" s="269"/>
      <c r="L249" s="277">
        <f t="shared" si="113"/>
        <v>0</v>
      </c>
      <c r="M249" s="278">
        <f t="shared" si="114"/>
        <v>25</v>
      </c>
      <c r="N249" s="273"/>
      <c r="O249" s="278">
        <f t="shared" si="115"/>
        <v>25</v>
      </c>
    </row>
    <row r="250" spans="1:16" s="274" customFormat="1" ht="79.5" thickBot="1" x14ac:dyDescent="0.3">
      <c r="A250" s="293"/>
      <c r="B250" s="592" t="s">
        <v>1284</v>
      </c>
      <c r="C250" s="287"/>
      <c r="D250" s="288"/>
      <c r="E250" s="288">
        <v>25</v>
      </c>
      <c r="F250" s="289"/>
      <c r="G250" s="288"/>
      <c r="H250" s="277">
        <f t="shared" si="112"/>
        <v>25</v>
      </c>
      <c r="I250" s="290"/>
      <c r="J250" s="269"/>
      <c r="K250" s="269"/>
      <c r="L250" s="277">
        <f t="shared" si="113"/>
        <v>0</v>
      </c>
      <c r="M250" s="278">
        <f t="shared" si="114"/>
        <v>25</v>
      </c>
      <c r="N250" s="273"/>
      <c r="O250" s="278">
        <f t="shared" si="115"/>
        <v>25</v>
      </c>
    </row>
    <row r="251" spans="1:16" ht="17.25" thickTop="1" thickBot="1" x14ac:dyDescent="0.3">
      <c r="A251" s="275"/>
      <c r="B251" s="101" t="s">
        <v>1035</v>
      </c>
      <c r="C251" s="102">
        <f>+C240+C244+C245+C247+C248+C249+C250</f>
        <v>127943</v>
      </c>
      <c r="D251" s="102">
        <f t="shared" ref="D251:O251" si="116">+D240+D244+D245+D247+D248+D249+D250</f>
        <v>28350</v>
      </c>
      <c r="E251" s="102">
        <f t="shared" si="116"/>
        <v>60646</v>
      </c>
      <c r="F251" s="102">
        <f t="shared" si="116"/>
        <v>0</v>
      </c>
      <c r="G251" s="102">
        <f t="shared" si="116"/>
        <v>0</v>
      </c>
      <c r="H251" s="102">
        <f t="shared" si="116"/>
        <v>216939</v>
      </c>
      <c r="I251" s="102">
        <f t="shared" si="116"/>
        <v>995</v>
      </c>
      <c r="J251" s="102">
        <f t="shared" si="116"/>
        <v>0</v>
      </c>
      <c r="K251" s="102">
        <f t="shared" si="116"/>
        <v>0</v>
      </c>
      <c r="L251" s="102">
        <f t="shared" si="116"/>
        <v>995</v>
      </c>
      <c r="M251" s="102">
        <f t="shared" si="116"/>
        <v>217934</v>
      </c>
      <c r="N251" s="102">
        <f t="shared" si="116"/>
        <v>0</v>
      </c>
      <c r="O251" s="102">
        <f t="shared" si="116"/>
        <v>217934</v>
      </c>
      <c r="P251" s="254">
        <f>O252+O253</f>
        <v>217934</v>
      </c>
    </row>
    <row r="252" spans="1:16" ht="17.25" thickTop="1" thickBot="1" x14ac:dyDescent="0.3">
      <c r="A252" s="275"/>
      <c r="B252" s="101" t="s">
        <v>1036</v>
      </c>
      <c r="C252" s="102">
        <f>+C241+C244+C245</f>
        <v>124764</v>
      </c>
      <c r="D252" s="102">
        <f t="shared" ref="D252:O252" si="117">+D241+D244+D245</f>
        <v>27297</v>
      </c>
      <c r="E252" s="102">
        <f t="shared" si="117"/>
        <v>60441</v>
      </c>
      <c r="F252" s="102">
        <f t="shared" si="117"/>
        <v>0</v>
      </c>
      <c r="G252" s="102">
        <f t="shared" si="117"/>
        <v>0</v>
      </c>
      <c r="H252" s="102">
        <f t="shared" si="117"/>
        <v>212502</v>
      </c>
      <c r="I252" s="102">
        <f t="shared" si="117"/>
        <v>995</v>
      </c>
      <c r="J252" s="102">
        <f t="shared" si="117"/>
        <v>0</v>
      </c>
      <c r="K252" s="102">
        <f t="shared" si="117"/>
        <v>0</v>
      </c>
      <c r="L252" s="102">
        <f t="shared" si="117"/>
        <v>995</v>
      </c>
      <c r="M252" s="102">
        <f t="shared" si="117"/>
        <v>213497</v>
      </c>
      <c r="N252" s="102">
        <f t="shared" si="117"/>
        <v>0</v>
      </c>
      <c r="O252" s="102">
        <f t="shared" si="117"/>
        <v>213497</v>
      </c>
    </row>
    <row r="253" spans="1:16" ht="17.25" thickTop="1" thickBot="1" x14ac:dyDescent="0.3">
      <c r="A253" s="275"/>
      <c r="B253" s="101" t="s">
        <v>1037</v>
      </c>
      <c r="C253" s="102">
        <f t="shared" ref="C253:O253" si="118">+C242+C247+C248+C249+C250</f>
        <v>3179</v>
      </c>
      <c r="D253" s="102">
        <f t="shared" si="118"/>
        <v>1053</v>
      </c>
      <c r="E253" s="102">
        <f t="shared" si="118"/>
        <v>205</v>
      </c>
      <c r="F253" s="102">
        <f t="shared" si="118"/>
        <v>0</v>
      </c>
      <c r="G253" s="102">
        <f t="shared" si="118"/>
        <v>0</v>
      </c>
      <c r="H253" s="102">
        <f t="shared" si="118"/>
        <v>4437</v>
      </c>
      <c r="I253" s="102">
        <f t="shared" si="118"/>
        <v>0</v>
      </c>
      <c r="J253" s="102">
        <f t="shared" si="118"/>
        <v>0</v>
      </c>
      <c r="K253" s="102">
        <f t="shared" si="118"/>
        <v>0</v>
      </c>
      <c r="L253" s="102">
        <f t="shared" si="118"/>
        <v>0</v>
      </c>
      <c r="M253" s="102">
        <f t="shared" si="118"/>
        <v>4437</v>
      </c>
      <c r="N253" s="102">
        <f t="shared" si="118"/>
        <v>0</v>
      </c>
      <c r="O253" s="102">
        <f t="shared" si="118"/>
        <v>4437</v>
      </c>
    </row>
    <row r="254" spans="1:16" ht="16.5" thickTop="1" x14ac:dyDescent="0.25">
      <c r="A254" s="264" t="s">
        <v>7</v>
      </c>
      <c r="B254" s="597" t="s">
        <v>403</v>
      </c>
      <c r="C254" s="607"/>
      <c r="D254" s="608"/>
      <c r="E254" s="608"/>
      <c r="F254" s="614"/>
      <c r="G254" s="608"/>
      <c r="H254" s="610"/>
      <c r="I254" s="611"/>
      <c r="J254" s="609"/>
      <c r="K254" s="609"/>
      <c r="L254" s="610"/>
      <c r="M254" s="610"/>
      <c r="N254" s="610"/>
      <c r="O254" s="610"/>
    </row>
    <row r="255" spans="1:16" x14ac:dyDescent="0.25">
      <c r="A255" s="264"/>
      <c r="B255" s="592" t="s">
        <v>998</v>
      </c>
      <c r="C255" s="607">
        <v>57833</v>
      </c>
      <c r="D255" s="608">
        <v>11106</v>
      </c>
      <c r="E255" s="608">
        <v>19536</v>
      </c>
      <c r="F255" s="614"/>
      <c r="G255" s="608"/>
      <c r="H255" s="610">
        <f>SUM(C255:G255)</f>
        <v>88475</v>
      </c>
      <c r="I255" s="611">
        <v>226</v>
      </c>
      <c r="J255" s="609"/>
      <c r="K255" s="609"/>
      <c r="L255" s="610">
        <f>SUM(I255:K255)</f>
        <v>226</v>
      </c>
      <c r="M255" s="612">
        <f>SUM(H255+L255)</f>
        <v>88701</v>
      </c>
      <c r="N255" s="612"/>
      <c r="O255" s="612">
        <f>SUM(M255+N255)</f>
        <v>88701</v>
      </c>
    </row>
    <row r="256" spans="1:16" s="274" customFormat="1" x14ac:dyDescent="0.25">
      <c r="A256" s="265"/>
      <c r="B256" s="266" t="s">
        <v>1033</v>
      </c>
      <c r="C256" s="267">
        <v>56927</v>
      </c>
      <c r="D256" s="268">
        <v>10796</v>
      </c>
      <c r="E256" s="268">
        <v>19341</v>
      </c>
      <c r="F256" s="272"/>
      <c r="G256" s="268"/>
      <c r="H256" s="270">
        <f>SUM(C256:G256)</f>
        <v>87064</v>
      </c>
      <c r="I256" s="276">
        <v>226</v>
      </c>
      <c r="J256" s="269"/>
      <c r="K256" s="269"/>
      <c r="L256" s="270">
        <f>SUM(I256:K256)</f>
        <v>226</v>
      </c>
      <c r="M256" s="273">
        <f>SUM(H256+L256)</f>
        <v>87290</v>
      </c>
      <c r="N256" s="273"/>
      <c r="O256" s="273">
        <f>SUM(M256+N256)</f>
        <v>87290</v>
      </c>
    </row>
    <row r="257" spans="1:16" s="274" customFormat="1" x14ac:dyDescent="0.25">
      <c r="A257" s="293"/>
      <c r="B257" s="280" t="s">
        <v>1034</v>
      </c>
      <c r="C257" s="267">
        <v>906</v>
      </c>
      <c r="D257" s="268">
        <v>310</v>
      </c>
      <c r="E257" s="268">
        <v>195</v>
      </c>
      <c r="F257" s="269"/>
      <c r="G257" s="268"/>
      <c r="H257" s="270">
        <f>SUM(C257:G257)</f>
        <v>1411</v>
      </c>
      <c r="I257" s="276"/>
      <c r="J257" s="269"/>
      <c r="K257" s="269"/>
      <c r="L257" s="270">
        <f>SUM(I257:K257)</f>
        <v>0</v>
      </c>
      <c r="M257" s="270">
        <f>SUM(H257+L257)</f>
        <v>1411</v>
      </c>
      <c r="N257" s="270"/>
      <c r="O257" s="270">
        <f>SUM(M257+N257)</f>
        <v>1411</v>
      </c>
    </row>
    <row r="258" spans="1:16" s="274" customFormat="1" x14ac:dyDescent="0.25">
      <c r="A258" s="293"/>
      <c r="B258" s="286" t="s">
        <v>160</v>
      </c>
      <c r="C258" s="267"/>
      <c r="D258" s="268"/>
      <c r="E258" s="268"/>
      <c r="F258" s="269"/>
      <c r="G258" s="268"/>
      <c r="H258" s="270"/>
      <c r="I258" s="276"/>
      <c r="J258" s="269"/>
      <c r="K258" s="269"/>
      <c r="L258" s="270"/>
      <c r="M258" s="270"/>
      <c r="N258" s="270"/>
      <c r="O258" s="270"/>
    </row>
    <row r="259" spans="1:16" s="274" customFormat="1" ht="47.25" x14ac:dyDescent="0.25">
      <c r="A259" s="293"/>
      <c r="B259" s="597" t="s">
        <v>1276</v>
      </c>
      <c r="C259" s="287">
        <v>30</v>
      </c>
      <c r="D259" s="288">
        <v>5</v>
      </c>
      <c r="E259" s="288"/>
      <c r="F259" s="289"/>
      <c r="G259" s="288"/>
      <c r="H259" s="277">
        <f t="shared" ref="H259:H265" si="119">SUM(C259:G259)</f>
        <v>35</v>
      </c>
      <c r="I259" s="290"/>
      <c r="J259" s="289"/>
      <c r="K259" s="289"/>
      <c r="L259" s="277">
        <f t="shared" ref="L259:L265" si="120">SUM(I259:K259)</f>
        <v>0</v>
      </c>
      <c r="M259" s="277">
        <f t="shared" ref="M259:M265" si="121">SUM(H259+L259)</f>
        <v>35</v>
      </c>
      <c r="N259" s="277"/>
      <c r="O259" s="277">
        <f t="shared" ref="O259:O265" si="122">SUM(M259+N259)</f>
        <v>35</v>
      </c>
    </row>
    <row r="260" spans="1:16" s="274" customFormat="1" ht="31.5" x14ac:dyDescent="0.25">
      <c r="A260" s="265"/>
      <c r="B260" s="592" t="s">
        <v>1051</v>
      </c>
      <c r="C260" s="287"/>
      <c r="D260" s="288"/>
      <c r="E260" s="288">
        <v>-92</v>
      </c>
      <c r="F260" s="292"/>
      <c r="G260" s="288"/>
      <c r="H260" s="277">
        <f t="shared" si="119"/>
        <v>-92</v>
      </c>
      <c r="I260" s="290">
        <v>92</v>
      </c>
      <c r="J260" s="289"/>
      <c r="K260" s="289"/>
      <c r="L260" s="277">
        <f t="shared" si="120"/>
        <v>92</v>
      </c>
      <c r="M260" s="278">
        <f t="shared" si="121"/>
        <v>0</v>
      </c>
      <c r="N260" s="278"/>
      <c r="O260" s="278">
        <f t="shared" si="122"/>
        <v>0</v>
      </c>
    </row>
    <row r="261" spans="1:16" s="274" customFormat="1" ht="31.5" x14ac:dyDescent="0.25">
      <c r="A261" s="265"/>
      <c r="B261" s="592" t="s">
        <v>1244</v>
      </c>
      <c r="C261" s="287"/>
      <c r="D261" s="288"/>
      <c r="E261" s="288">
        <v>150</v>
      </c>
      <c r="F261" s="292"/>
      <c r="G261" s="288"/>
      <c r="H261" s="277">
        <f t="shared" si="119"/>
        <v>150</v>
      </c>
      <c r="I261" s="290"/>
      <c r="J261" s="289"/>
      <c r="K261" s="289"/>
      <c r="L261" s="277">
        <f t="shared" si="120"/>
        <v>0</v>
      </c>
      <c r="M261" s="278">
        <f t="shared" si="121"/>
        <v>150</v>
      </c>
      <c r="N261" s="278"/>
      <c r="O261" s="278">
        <f t="shared" si="122"/>
        <v>150</v>
      </c>
    </row>
    <row r="262" spans="1:16" s="274" customFormat="1" x14ac:dyDescent="0.25">
      <c r="A262" s="265"/>
      <c r="B262" s="266" t="s">
        <v>161</v>
      </c>
      <c r="C262" s="287"/>
      <c r="D262" s="288"/>
      <c r="E262" s="288"/>
      <c r="F262" s="292"/>
      <c r="G262" s="288"/>
      <c r="H262" s="277"/>
      <c r="I262" s="290"/>
      <c r="J262" s="289"/>
      <c r="K262" s="289"/>
      <c r="L262" s="277"/>
      <c r="M262" s="278"/>
      <c r="N262" s="278"/>
      <c r="O262" s="278"/>
    </row>
    <row r="263" spans="1:16" s="274" customFormat="1" x14ac:dyDescent="0.25">
      <c r="A263" s="265"/>
      <c r="B263" s="594" t="s">
        <v>1231</v>
      </c>
      <c r="C263" s="287">
        <v>366</v>
      </c>
      <c r="D263" s="288">
        <v>119</v>
      </c>
      <c r="E263" s="288"/>
      <c r="F263" s="292"/>
      <c r="G263" s="288"/>
      <c r="H263" s="277">
        <f t="shared" si="119"/>
        <v>485</v>
      </c>
      <c r="I263" s="290"/>
      <c r="J263" s="289"/>
      <c r="K263" s="289"/>
      <c r="L263" s="277">
        <f t="shared" si="120"/>
        <v>0</v>
      </c>
      <c r="M263" s="278">
        <f t="shared" si="121"/>
        <v>485</v>
      </c>
      <c r="N263" s="278"/>
      <c r="O263" s="278">
        <f t="shared" si="122"/>
        <v>485</v>
      </c>
    </row>
    <row r="264" spans="1:16" s="274" customFormat="1" ht="31.5" x14ac:dyDescent="0.25">
      <c r="A264" s="265"/>
      <c r="B264" s="592" t="s">
        <v>1277</v>
      </c>
      <c r="C264" s="287">
        <v>68</v>
      </c>
      <c r="D264" s="288">
        <v>12</v>
      </c>
      <c r="E264" s="288"/>
      <c r="F264" s="292"/>
      <c r="G264" s="288"/>
      <c r="H264" s="277">
        <f t="shared" si="119"/>
        <v>80</v>
      </c>
      <c r="I264" s="290"/>
      <c r="J264" s="289"/>
      <c r="K264" s="289"/>
      <c r="L264" s="277">
        <f t="shared" si="120"/>
        <v>0</v>
      </c>
      <c r="M264" s="278">
        <f t="shared" si="121"/>
        <v>80</v>
      </c>
      <c r="N264" s="278"/>
      <c r="O264" s="278">
        <f t="shared" si="122"/>
        <v>80</v>
      </c>
    </row>
    <row r="265" spans="1:16" s="274" customFormat="1" ht="63.75" thickBot="1" x14ac:dyDescent="0.3">
      <c r="A265" s="265"/>
      <c r="B265" s="592" t="s">
        <v>1154</v>
      </c>
      <c r="C265" s="287"/>
      <c r="D265" s="288"/>
      <c r="E265" s="288">
        <v>15</v>
      </c>
      <c r="F265" s="292"/>
      <c r="G265" s="288"/>
      <c r="H265" s="277">
        <f t="shared" si="119"/>
        <v>15</v>
      </c>
      <c r="I265" s="290"/>
      <c r="J265" s="289"/>
      <c r="K265" s="289"/>
      <c r="L265" s="277">
        <f t="shared" si="120"/>
        <v>0</v>
      </c>
      <c r="M265" s="278">
        <f t="shared" si="121"/>
        <v>15</v>
      </c>
      <c r="N265" s="278"/>
      <c r="O265" s="278">
        <f t="shared" si="122"/>
        <v>15</v>
      </c>
    </row>
    <row r="266" spans="1:16" ht="17.25" thickTop="1" thickBot="1" x14ac:dyDescent="0.3">
      <c r="A266" s="275"/>
      <c r="B266" s="101" t="s">
        <v>1035</v>
      </c>
      <c r="C266" s="102">
        <f>+C255+C259+C263+C260+C264+C261+C265</f>
        <v>58297</v>
      </c>
      <c r="D266" s="102">
        <f t="shared" ref="D266:O266" si="123">+D255+D259+D263+D260+D264+D261+D265</f>
        <v>11242</v>
      </c>
      <c r="E266" s="102">
        <f t="shared" si="123"/>
        <v>19609</v>
      </c>
      <c r="F266" s="102">
        <f t="shared" si="123"/>
        <v>0</v>
      </c>
      <c r="G266" s="102">
        <f t="shared" si="123"/>
        <v>0</v>
      </c>
      <c r="H266" s="102">
        <f t="shared" si="123"/>
        <v>89148</v>
      </c>
      <c r="I266" s="102">
        <f t="shared" si="123"/>
        <v>318</v>
      </c>
      <c r="J266" s="102">
        <f t="shared" si="123"/>
        <v>0</v>
      </c>
      <c r="K266" s="102">
        <f t="shared" si="123"/>
        <v>0</v>
      </c>
      <c r="L266" s="102">
        <f t="shared" si="123"/>
        <v>318</v>
      </c>
      <c r="M266" s="102">
        <f t="shared" si="123"/>
        <v>89466</v>
      </c>
      <c r="N266" s="102">
        <f t="shared" si="123"/>
        <v>0</v>
      </c>
      <c r="O266" s="102">
        <f t="shared" si="123"/>
        <v>89466</v>
      </c>
      <c r="P266" s="254">
        <f>O267+O268</f>
        <v>89466</v>
      </c>
    </row>
    <row r="267" spans="1:16" ht="17.25" thickTop="1" thickBot="1" x14ac:dyDescent="0.3">
      <c r="A267" s="275"/>
      <c r="B267" s="101" t="s">
        <v>1036</v>
      </c>
      <c r="C267" s="102">
        <f>+C256+C259+C260+C261</f>
        <v>56957</v>
      </c>
      <c r="D267" s="102">
        <f t="shared" ref="D267:O267" si="124">+D256+D259+D260+D261</f>
        <v>10801</v>
      </c>
      <c r="E267" s="102">
        <f t="shared" si="124"/>
        <v>19399</v>
      </c>
      <c r="F267" s="102">
        <f t="shared" si="124"/>
        <v>0</v>
      </c>
      <c r="G267" s="102">
        <f t="shared" si="124"/>
        <v>0</v>
      </c>
      <c r="H267" s="102">
        <f t="shared" si="124"/>
        <v>87157</v>
      </c>
      <c r="I267" s="102">
        <f t="shared" si="124"/>
        <v>318</v>
      </c>
      <c r="J267" s="102">
        <f t="shared" si="124"/>
        <v>0</v>
      </c>
      <c r="K267" s="102">
        <f t="shared" si="124"/>
        <v>0</v>
      </c>
      <c r="L267" s="102">
        <f t="shared" si="124"/>
        <v>318</v>
      </c>
      <c r="M267" s="102">
        <f t="shared" si="124"/>
        <v>87475</v>
      </c>
      <c r="N267" s="102">
        <f t="shared" si="124"/>
        <v>0</v>
      </c>
      <c r="O267" s="102">
        <f t="shared" si="124"/>
        <v>87475</v>
      </c>
    </row>
    <row r="268" spans="1:16" ht="17.25" thickTop="1" thickBot="1" x14ac:dyDescent="0.3">
      <c r="A268" s="275"/>
      <c r="B268" s="101" t="s">
        <v>1037</v>
      </c>
      <c r="C268" s="102">
        <f t="shared" ref="C268:O268" si="125">+C257+C263+C264+C265</f>
        <v>1340</v>
      </c>
      <c r="D268" s="102">
        <f t="shared" si="125"/>
        <v>441</v>
      </c>
      <c r="E268" s="102">
        <f t="shared" si="125"/>
        <v>210</v>
      </c>
      <c r="F268" s="102">
        <f t="shared" si="125"/>
        <v>0</v>
      </c>
      <c r="G268" s="102">
        <f t="shared" si="125"/>
        <v>0</v>
      </c>
      <c r="H268" s="102">
        <f t="shared" si="125"/>
        <v>1991</v>
      </c>
      <c r="I268" s="102">
        <f t="shared" si="125"/>
        <v>0</v>
      </c>
      <c r="J268" s="102">
        <f t="shared" si="125"/>
        <v>0</v>
      </c>
      <c r="K268" s="102">
        <f t="shared" si="125"/>
        <v>0</v>
      </c>
      <c r="L268" s="102">
        <f t="shared" si="125"/>
        <v>0</v>
      </c>
      <c r="M268" s="102">
        <f t="shared" si="125"/>
        <v>1991</v>
      </c>
      <c r="N268" s="102">
        <f t="shared" si="125"/>
        <v>0</v>
      </c>
      <c r="O268" s="102">
        <f t="shared" si="125"/>
        <v>1991</v>
      </c>
    </row>
    <row r="269" spans="1:16" ht="16.5" thickTop="1" x14ac:dyDescent="0.25">
      <c r="A269" s="264" t="s">
        <v>8</v>
      </c>
      <c r="B269" s="597" t="s">
        <v>1066</v>
      </c>
      <c r="C269" s="607"/>
      <c r="D269" s="608"/>
      <c r="E269" s="608"/>
      <c r="F269" s="614"/>
      <c r="G269" s="608"/>
      <c r="H269" s="610"/>
      <c r="I269" s="611"/>
      <c r="J269" s="609"/>
      <c r="K269" s="609"/>
      <c r="L269" s="610"/>
      <c r="M269" s="610"/>
      <c r="N269" s="610"/>
      <c r="O269" s="610"/>
    </row>
    <row r="270" spans="1:16" x14ac:dyDescent="0.25">
      <c r="A270" s="279"/>
      <c r="B270" s="597" t="s">
        <v>998</v>
      </c>
      <c r="C270" s="607">
        <v>197755</v>
      </c>
      <c r="D270" s="608">
        <v>42459</v>
      </c>
      <c r="E270" s="608">
        <v>79019</v>
      </c>
      <c r="F270" s="609"/>
      <c r="G270" s="608"/>
      <c r="H270" s="610">
        <f>SUM(C270:G270)</f>
        <v>319233</v>
      </c>
      <c r="I270" s="611">
        <v>105</v>
      </c>
      <c r="J270" s="609"/>
      <c r="K270" s="609"/>
      <c r="L270" s="610">
        <f>SUM(I270:K270)</f>
        <v>105</v>
      </c>
      <c r="M270" s="612">
        <f>SUM(H270+L270)</f>
        <v>319338</v>
      </c>
      <c r="N270" s="612"/>
      <c r="O270" s="612">
        <f>SUM(M270+N270)</f>
        <v>319338</v>
      </c>
    </row>
    <row r="271" spans="1:16" s="274" customFormat="1" x14ac:dyDescent="0.25">
      <c r="A271" s="293"/>
      <c r="B271" s="266" t="s">
        <v>1033</v>
      </c>
      <c r="C271" s="267">
        <v>194283</v>
      </c>
      <c r="D271" s="268">
        <v>41271</v>
      </c>
      <c r="E271" s="268">
        <v>78964</v>
      </c>
      <c r="F271" s="269"/>
      <c r="G271" s="268"/>
      <c r="H271" s="270">
        <f>SUM(C271:G271)</f>
        <v>314518</v>
      </c>
      <c r="I271" s="276">
        <v>105</v>
      </c>
      <c r="J271" s="269"/>
      <c r="K271" s="269"/>
      <c r="L271" s="270">
        <f>SUM(I271:K271)</f>
        <v>105</v>
      </c>
      <c r="M271" s="273">
        <f>SUM(H271+L271)</f>
        <v>314623</v>
      </c>
      <c r="N271" s="273"/>
      <c r="O271" s="273">
        <f>SUM(M271+N271)</f>
        <v>314623</v>
      </c>
    </row>
    <row r="272" spans="1:16" s="274" customFormat="1" x14ac:dyDescent="0.25">
      <c r="A272" s="293"/>
      <c r="B272" s="266" t="s">
        <v>1034</v>
      </c>
      <c r="C272" s="267">
        <v>3472</v>
      </c>
      <c r="D272" s="268">
        <v>1188</v>
      </c>
      <c r="E272" s="268">
        <v>55</v>
      </c>
      <c r="F272" s="269"/>
      <c r="G272" s="268"/>
      <c r="H272" s="270">
        <f>SUM(C272:G272)</f>
        <v>4715</v>
      </c>
      <c r="I272" s="276"/>
      <c r="J272" s="269"/>
      <c r="K272" s="269"/>
      <c r="L272" s="270">
        <f>SUM(I272:K272)</f>
        <v>0</v>
      </c>
      <c r="M272" s="273">
        <f>SUM(H272+L272)</f>
        <v>4715</v>
      </c>
      <c r="N272" s="273"/>
      <c r="O272" s="273">
        <f>SUM(M272+N272)</f>
        <v>4715</v>
      </c>
    </row>
    <row r="273" spans="1:16" s="274" customFormat="1" x14ac:dyDescent="0.25">
      <c r="A273" s="293"/>
      <c r="B273" s="266" t="s">
        <v>160</v>
      </c>
      <c r="C273" s="267"/>
      <c r="D273" s="268"/>
      <c r="E273" s="268"/>
      <c r="F273" s="269"/>
      <c r="G273" s="268"/>
      <c r="H273" s="270"/>
      <c r="I273" s="276"/>
      <c r="J273" s="269"/>
      <c r="K273" s="269"/>
      <c r="L273" s="270"/>
      <c r="M273" s="273"/>
      <c r="N273" s="273"/>
      <c r="O273" s="273"/>
    </row>
    <row r="274" spans="1:16" s="274" customFormat="1" ht="47.25" x14ac:dyDescent="0.25">
      <c r="A274" s="293"/>
      <c r="B274" s="592" t="s">
        <v>1276</v>
      </c>
      <c r="C274" s="287">
        <v>102</v>
      </c>
      <c r="D274" s="288">
        <v>18</v>
      </c>
      <c r="E274" s="288"/>
      <c r="F274" s="289"/>
      <c r="G274" s="288"/>
      <c r="H274" s="277">
        <f t="shared" ref="H274:H281" si="126">SUM(C274:G274)</f>
        <v>120</v>
      </c>
      <c r="I274" s="290"/>
      <c r="J274" s="289"/>
      <c r="K274" s="289"/>
      <c r="L274" s="277">
        <f t="shared" ref="L274:L281" si="127">SUM(I274:K274)</f>
        <v>0</v>
      </c>
      <c r="M274" s="278">
        <f t="shared" ref="M274:M281" si="128">SUM(H274+L274)</f>
        <v>120</v>
      </c>
      <c r="N274" s="273"/>
      <c r="O274" s="278">
        <f t="shared" ref="O274:O281" si="129">SUM(M274+N274)</f>
        <v>120</v>
      </c>
    </row>
    <row r="275" spans="1:16" s="274" customFormat="1" ht="31.5" x14ac:dyDescent="0.25">
      <c r="A275" s="293"/>
      <c r="B275" s="592" t="s">
        <v>1051</v>
      </c>
      <c r="C275" s="287"/>
      <c r="D275" s="288"/>
      <c r="E275" s="288">
        <v>-718</v>
      </c>
      <c r="F275" s="289"/>
      <c r="G275" s="288"/>
      <c r="H275" s="277">
        <f t="shared" si="126"/>
        <v>-718</v>
      </c>
      <c r="I275" s="290">
        <v>718</v>
      </c>
      <c r="J275" s="289"/>
      <c r="K275" s="289"/>
      <c r="L275" s="277">
        <f t="shared" si="127"/>
        <v>718</v>
      </c>
      <c r="M275" s="278">
        <f t="shared" si="128"/>
        <v>0</v>
      </c>
      <c r="N275" s="273"/>
      <c r="O275" s="278">
        <f t="shared" si="129"/>
        <v>0</v>
      </c>
    </row>
    <row r="276" spans="1:16" s="274" customFormat="1" x14ac:dyDescent="0.25">
      <c r="A276" s="293"/>
      <c r="B276" s="280" t="s">
        <v>161</v>
      </c>
      <c r="C276" s="287"/>
      <c r="D276" s="288"/>
      <c r="E276" s="288"/>
      <c r="F276" s="289"/>
      <c r="G276" s="288"/>
      <c r="H276" s="277"/>
      <c r="I276" s="290"/>
      <c r="J276" s="289"/>
      <c r="K276" s="289"/>
      <c r="L276" s="277"/>
      <c r="M276" s="277"/>
      <c r="N276" s="270"/>
      <c r="O276" s="277"/>
    </row>
    <row r="277" spans="1:16" s="274" customFormat="1" x14ac:dyDescent="0.25">
      <c r="A277" s="265"/>
      <c r="B277" s="594" t="s">
        <v>1231</v>
      </c>
      <c r="C277" s="287">
        <v>1534</v>
      </c>
      <c r="D277" s="288">
        <v>499</v>
      </c>
      <c r="E277" s="288"/>
      <c r="F277" s="292"/>
      <c r="G277" s="288"/>
      <c r="H277" s="277">
        <f t="shared" si="126"/>
        <v>2033</v>
      </c>
      <c r="I277" s="290"/>
      <c r="J277" s="289"/>
      <c r="K277" s="289"/>
      <c r="L277" s="277">
        <f t="shared" si="127"/>
        <v>0</v>
      </c>
      <c r="M277" s="278">
        <f t="shared" si="128"/>
        <v>2033</v>
      </c>
      <c r="N277" s="278"/>
      <c r="O277" s="278">
        <f t="shared" si="129"/>
        <v>2033</v>
      </c>
    </row>
    <row r="278" spans="1:16" s="274" customFormat="1" ht="31.5" x14ac:dyDescent="0.25">
      <c r="A278" s="265"/>
      <c r="B278" s="592" t="s">
        <v>1277</v>
      </c>
      <c r="C278" s="287">
        <v>180</v>
      </c>
      <c r="D278" s="288">
        <v>31</v>
      </c>
      <c r="E278" s="288"/>
      <c r="F278" s="292"/>
      <c r="G278" s="288"/>
      <c r="H278" s="277">
        <f t="shared" si="126"/>
        <v>211</v>
      </c>
      <c r="I278" s="290"/>
      <c r="J278" s="289"/>
      <c r="K278" s="289"/>
      <c r="L278" s="277">
        <f t="shared" si="127"/>
        <v>0</v>
      </c>
      <c r="M278" s="278">
        <f t="shared" si="128"/>
        <v>211</v>
      </c>
      <c r="N278" s="278"/>
      <c r="O278" s="278">
        <f t="shared" si="129"/>
        <v>211</v>
      </c>
    </row>
    <row r="279" spans="1:16" s="274" customFormat="1" ht="63" x14ac:dyDescent="0.25">
      <c r="A279" s="265"/>
      <c r="B279" s="592" t="s">
        <v>1154</v>
      </c>
      <c r="C279" s="287"/>
      <c r="D279" s="288"/>
      <c r="E279" s="288">
        <v>15</v>
      </c>
      <c r="F279" s="292"/>
      <c r="G279" s="288"/>
      <c r="H279" s="277">
        <f t="shared" si="126"/>
        <v>15</v>
      </c>
      <c r="I279" s="290"/>
      <c r="J279" s="289"/>
      <c r="K279" s="289"/>
      <c r="L279" s="277">
        <f t="shared" si="127"/>
        <v>0</v>
      </c>
      <c r="M279" s="278">
        <f t="shared" si="128"/>
        <v>15</v>
      </c>
      <c r="N279" s="278"/>
      <c r="O279" s="278">
        <f t="shared" si="129"/>
        <v>15</v>
      </c>
    </row>
    <row r="280" spans="1:16" s="274" customFormat="1" ht="78.75" x14ac:dyDescent="0.25">
      <c r="A280" s="265"/>
      <c r="B280" s="592" t="s">
        <v>1285</v>
      </c>
      <c r="C280" s="287"/>
      <c r="D280" s="288"/>
      <c r="E280" s="288">
        <v>15</v>
      </c>
      <c r="F280" s="292"/>
      <c r="G280" s="288"/>
      <c r="H280" s="277">
        <f t="shared" si="126"/>
        <v>15</v>
      </c>
      <c r="I280" s="290"/>
      <c r="J280" s="289"/>
      <c r="K280" s="289"/>
      <c r="L280" s="277">
        <f t="shared" si="127"/>
        <v>0</v>
      </c>
      <c r="M280" s="278">
        <f t="shared" si="128"/>
        <v>15</v>
      </c>
      <c r="N280" s="278"/>
      <c r="O280" s="278">
        <f t="shared" si="129"/>
        <v>15</v>
      </c>
    </row>
    <row r="281" spans="1:16" s="274" customFormat="1" ht="79.5" thickBot="1" x14ac:dyDescent="0.3">
      <c r="A281" s="265"/>
      <c r="B281" s="592" t="s">
        <v>1286</v>
      </c>
      <c r="C281" s="287"/>
      <c r="D281" s="288"/>
      <c r="E281" s="288">
        <v>15</v>
      </c>
      <c r="F281" s="292"/>
      <c r="G281" s="288"/>
      <c r="H281" s="277">
        <f t="shared" si="126"/>
        <v>15</v>
      </c>
      <c r="I281" s="290"/>
      <c r="J281" s="289"/>
      <c r="K281" s="289"/>
      <c r="L281" s="277">
        <f t="shared" si="127"/>
        <v>0</v>
      </c>
      <c r="M281" s="278">
        <f t="shared" si="128"/>
        <v>15</v>
      </c>
      <c r="N281" s="278"/>
      <c r="O281" s="278">
        <f t="shared" si="129"/>
        <v>15</v>
      </c>
    </row>
    <row r="282" spans="1:16" ht="17.25" thickTop="1" thickBot="1" x14ac:dyDescent="0.3">
      <c r="A282" s="275"/>
      <c r="B282" s="101" t="s">
        <v>1035</v>
      </c>
      <c r="C282" s="102">
        <f>+C270+C274+C277+C275+C278+C279+C280+C281</f>
        <v>199571</v>
      </c>
      <c r="D282" s="102">
        <f t="shared" ref="D282:O282" si="130">+D270+D274+D277+D275+D278+D279+D280+D281</f>
        <v>43007</v>
      </c>
      <c r="E282" s="102">
        <f t="shared" si="130"/>
        <v>78346</v>
      </c>
      <c r="F282" s="102">
        <f t="shared" si="130"/>
        <v>0</v>
      </c>
      <c r="G282" s="102">
        <f t="shared" si="130"/>
        <v>0</v>
      </c>
      <c r="H282" s="102">
        <f t="shared" si="130"/>
        <v>320924</v>
      </c>
      <c r="I282" s="102">
        <f t="shared" si="130"/>
        <v>823</v>
      </c>
      <c r="J282" s="102">
        <f t="shared" si="130"/>
        <v>0</v>
      </c>
      <c r="K282" s="102">
        <f t="shared" si="130"/>
        <v>0</v>
      </c>
      <c r="L282" s="102">
        <f t="shared" si="130"/>
        <v>823</v>
      </c>
      <c r="M282" s="102">
        <f t="shared" si="130"/>
        <v>321747</v>
      </c>
      <c r="N282" s="102">
        <f t="shared" si="130"/>
        <v>0</v>
      </c>
      <c r="O282" s="102">
        <f t="shared" si="130"/>
        <v>321747</v>
      </c>
      <c r="P282" s="254">
        <f>O283+O284</f>
        <v>321747</v>
      </c>
    </row>
    <row r="283" spans="1:16" ht="17.25" thickTop="1" thickBot="1" x14ac:dyDescent="0.3">
      <c r="A283" s="275"/>
      <c r="B283" s="101" t="s">
        <v>1036</v>
      </c>
      <c r="C283" s="102">
        <f>+C271+C274+C275</f>
        <v>194385</v>
      </c>
      <c r="D283" s="102">
        <f t="shared" ref="D283:O283" si="131">+D271+D274+D275</f>
        <v>41289</v>
      </c>
      <c r="E283" s="102">
        <f t="shared" si="131"/>
        <v>78246</v>
      </c>
      <c r="F283" s="102">
        <f t="shared" si="131"/>
        <v>0</v>
      </c>
      <c r="G283" s="102">
        <f t="shared" si="131"/>
        <v>0</v>
      </c>
      <c r="H283" s="102">
        <f t="shared" si="131"/>
        <v>313920</v>
      </c>
      <c r="I283" s="102">
        <f t="shared" si="131"/>
        <v>823</v>
      </c>
      <c r="J283" s="102">
        <f t="shared" si="131"/>
        <v>0</v>
      </c>
      <c r="K283" s="102">
        <f t="shared" si="131"/>
        <v>0</v>
      </c>
      <c r="L283" s="102">
        <f t="shared" si="131"/>
        <v>823</v>
      </c>
      <c r="M283" s="102">
        <f t="shared" si="131"/>
        <v>314743</v>
      </c>
      <c r="N283" s="102">
        <f t="shared" si="131"/>
        <v>0</v>
      </c>
      <c r="O283" s="102">
        <f t="shared" si="131"/>
        <v>314743</v>
      </c>
    </row>
    <row r="284" spans="1:16" ht="17.25" thickTop="1" thickBot="1" x14ac:dyDescent="0.3">
      <c r="A284" s="275"/>
      <c r="B284" s="101" t="s">
        <v>1037</v>
      </c>
      <c r="C284" s="102">
        <f t="shared" ref="C284:O284" si="132">+C272+C277+C278+C279+C280+C281</f>
        <v>5186</v>
      </c>
      <c r="D284" s="102">
        <f t="shared" si="132"/>
        <v>1718</v>
      </c>
      <c r="E284" s="102">
        <f t="shared" si="132"/>
        <v>100</v>
      </c>
      <c r="F284" s="102">
        <f t="shared" si="132"/>
        <v>0</v>
      </c>
      <c r="G284" s="102">
        <f t="shared" si="132"/>
        <v>0</v>
      </c>
      <c r="H284" s="102">
        <f t="shared" si="132"/>
        <v>7004</v>
      </c>
      <c r="I284" s="102">
        <f t="shared" si="132"/>
        <v>0</v>
      </c>
      <c r="J284" s="102">
        <f t="shared" si="132"/>
        <v>0</v>
      </c>
      <c r="K284" s="102">
        <f t="shared" si="132"/>
        <v>0</v>
      </c>
      <c r="L284" s="102">
        <f t="shared" si="132"/>
        <v>0</v>
      </c>
      <c r="M284" s="102">
        <f t="shared" si="132"/>
        <v>7004</v>
      </c>
      <c r="N284" s="102">
        <f t="shared" si="132"/>
        <v>0</v>
      </c>
      <c r="O284" s="102">
        <f t="shared" si="132"/>
        <v>7004</v>
      </c>
    </row>
    <row r="285" spans="1:16" ht="16.5" thickTop="1" x14ac:dyDescent="0.25">
      <c r="A285" s="264" t="s">
        <v>9</v>
      </c>
      <c r="B285" s="597" t="s">
        <v>404</v>
      </c>
      <c r="C285" s="607"/>
      <c r="D285" s="608"/>
      <c r="E285" s="608"/>
      <c r="F285" s="614"/>
      <c r="G285" s="608"/>
      <c r="H285" s="610"/>
      <c r="I285" s="611"/>
      <c r="J285" s="609"/>
      <c r="K285" s="609"/>
      <c r="L285" s="610"/>
      <c r="M285" s="610"/>
      <c r="N285" s="610"/>
      <c r="O285" s="610"/>
    </row>
    <row r="286" spans="1:16" x14ac:dyDescent="0.25">
      <c r="A286" s="264"/>
      <c r="B286" s="592" t="s">
        <v>998</v>
      </c>
      <c r="C286" s="607">
        <v>125215</v>
      </c>
      <c r="D286" s="608">
        <v>27101</v>
      </c>
      <c r="E286" s="608">
        <v>76875</v>
      </c>
      <c r="F286" s="614"/>
      <c r="G286" s="608"/>
      <c r="H286" s="610">
        <f>SUM(C286:G286)</f>
        <v>229191</v>
      </c>
      <c r="I286" s="611">
        <v>73</v>
      </c>
      <c r="J286" s="609"/>
      <c r="K286" s="609"/>
      <c r="L286" s="610">
        <f>SUM(I286:K286)</f>
        <v>73</v>
      </c>
      <c r="M286" s="612">
        <f>SUM(H286+L286)</f>
        <v>229264</v>
      </c>
      <c r="N286" s="612"/>
      <c r="O286" s="612">
        <f>SUM(M286+N286)</f>
        <v>229264</v>
      </c>
    </row>
    <row r="287" spans="1:16" s="274" customFormat="1" x14ac:dyDescent="0.25">
      <c r="A287" s="265"/>
      <c r="B287" s="266" t="s">
        <v>1033</v>
      </c>
      <c r="C287" s="267">
        <v>123097</v>
      </c>
      <c r="D287" s="268">
        <v>26377</v>
      </c>
      <c r="E287" s="268">
        <v>76770</v>
      </c>
      <c r="F287" s="272"/>
      <c r="G287" s="268"/>
      <c r="H287" s="270">
        <f>SUM(C287:G287)</f>
        <v>226244</v>
      </c>
      <c r="I287" s="276">
        <v>73</v>
      </c>
      <c r="J287" s="269"/>
      <c r="K287" s="269"/>
      <c r="L287" s="270">
        <f>SUM(I287:K287)</f>
        <v>73</v>
      </c>
      <c r="M287" s="273">
        <f>SUM(H287+L287)</f>
        <v>226317</v>
      </c>
      <c r="N287" s="273"/>
      <c r="O287" s="273">
        <f>SUM(M287+N287)</f>
        <v>226317</v>
      </c>
    </row>
    <row r="288" spans="1:16" s="274" customFormat="1" x14ac:dyDescent="0.25">
      <c r="A288" s="265"/>
      <c r="B288" s="266" t="s">
        <v>1034</v>
      </c>
      <c r="C288" s="267">
        <v>2118</v>
      </c>
      <c r="D288" s="268">
        <v>724</v>
      </c>
      <c r="E288" s="268">
        <v>105</v>
      </c>
      <c r="F288" s="272"/>
      <c r="G288" s="268"/>
      <c r="H288" s="270">
        <f>SUM(C288:G288)</f>
        <v>2947</v>
      </c>
      <c r="I288" s="276"/>
      <c r="J288" s="269"/>
      <c r="K288" s="269"/>
      <c r="L288" s="270">
        <f>SUM(I288:K288)</f>
        <v>0</v>
      </c>
      <c r="M288" s="273">
        <f>SUM(H288+L288)</f>
        <v>2947</v>
      </c>
      <c r="N288" s="273"/>
      <c r="O288" s="273">
        <f>SUM(M288+N288)</f>
        <v>2947</v>
      </c>
    </row>
    <row r="289" spans="1:16" s="274" customFormat="1" x14ac:dyDescent="0.25">
      <c r="A289" s="265"/>
      <c r="B289" s="266" t="s">
        <v>160</v>
      </c>
      <c r="C289" s="267"/>
      <c r="D289" s="268"/>
      <c r="E289" s="268"/>
      <c r="F289" s="272"/>
      <c r="G289" s="268"/>
      <c r="H289" s="270"/>
      <c r="I289" s="276"/>
      <c r="J289" s="269"/>
      <c r="K289" s="269"/>
      <c r="L289" s="270"/>
      <c r="M289" s="273"/>
      <c r="N289" s="273"/>
      <c r="O289" s="273"/>
    </row>
    <row r="290" spans="1:16" s="274" customFormat="1" x14ac:dyDescent="0.25">
      <c r="A290" s="265"/>
      <c r="B290" s="594" t="s">
        <v>1229</v>
      </c>
      <c r="C290" s="287">
        <v>30</v>
      </c>
      <c r="D290" s="288">
        <v>5</v>
      </c>
      <c r="E290" s="288"/>
      <c r="F290" s="289"/>
      <c r="G290" s="268"/>
      <c r="H290" s="277">
        <f t="shared" ref="H290:H296" si="133">SUM(C290:G290)</f>
        <v>35</v>
      </c>
      <c r="I290" s="276"/>
      <c r="J290" s="269"/>
      <c r="K290" s="269"/>
      <c r="L290" s="277">
        <f t="shared" ref="L290:L296" si="134">SUM(I290:K290)</f>
        <v>0</v>
      </c>
      <c r="M290" s="277">
        <f t="shared" ref="M290:M296" si="135">SUM(H290+L290)</f>
        <v>35</v>
      </c>
      <c r="N290" s="270"/>
      <c r="O290" s="277">
        <f t="shared" ref="O290:O296" si="136">SUM(M290+N290)</f>
        <v>35</v>
      </c>
    </row>
    <row r="291" spans="1:16" s="274" customFormat="1" ht="47.25" x14ac:dyDescent="0.25">
      <c r="A291" s="293"/>
      <c r="B291" s="594" t="s">
        <v>1276</v>
      </c>
      <c r="C291" s="287">
        <v>967</v>
      </c>
      <c r="D291" s="288">
        <v>169</v>
      </c>
      <c r="E291" s="288"/>
      <c r="F291" s="289"/>
      <c r="G291" s="268"/>
      <c r="H291" s="277">
        <f t="shared" si="133"/>
        <v>1136</v>
      </c>
      <c r="I291" s="276"/>
      <c r="J291" s="269"/>
      <c r="K291" s="269"/>
      <c r="L291" s="277">
        <f t="shared" si="134"/>
        <v>0</v>
      </c>
      <c r="M291" s="277">
        <f t="shared" si="135"/>
        <v>1136</v>
      </c>
      <c r="N291" s="270"/>
      <c r="O291" s="277">
        <f t="shared" si="136"/>
        <v>1136</v>
      </c>
    </row>
    <row r="292" spans="1:16" s="274" customFormat="1" x14ac:dyDescent="0.25">
      <c r="A292" s="265"/>
      <c r="B292" s="266" t="s">
        <v>161</v>
      </c>
      <c r="C292" s="287"/>
      <c r="D292" s="288"/>
      <c r="E292" s="288"/>
      <c r="F292" s="292"/>
      <c r="G292" s="268"/>
      <c r="H292" s="277"/>
      <c r="I292" s="276"/>
      <c r="J292" s="269"/>
      <c r="K292" s="269"/>
      <c r="L292" s="277"/>
      <c r="M292" s="278"/>
      <c r="N292" s="273"/>
      <c r="O292" s="278"/>
    </row>
    <row r="293" spans="1:16" s="274" customFormat="1" x14ac:dyDescent="0.25">
      <c r="A293" s="265"/>
      <c r="B293" s="594" t="s">
        <v>1231</v>
      </c>
      <c r="C293" s="287">
        <v>871</v>
      </c>
      <c r="D293" s="288">
        <v>283</v>
      </c>
      <c r="E293" s="288"/>
      <c r="F293" s="292"/>
      <c r="G293" s="268"/>
      <c r="H293" s="277">
        <f t="shared" si="133"/>
        <v>1154</v>
      </c>
      <c r="I293" s="276"/>
      <c r="J293" s="269"/>
      <c r="K293" s="269"/>
      <c r="L293" s="277">
        <f t="shared" si="134"/>
        <v>0</v>
      </c>
      <c r="M293" s="278">
        <f t="shared" si="135"/>
        <v>1154</v>
      </c>
      <c r="N293" s="273"/>
      <c r="O293" s="278">
        <f t="shared" si="136"/>
        <v>1154</v>
      </c>
    </row>
    <row r="294" spans="1:16" s="274" customFormat="1" ht="31.5" x14ac:dyDescent="0.25">
      <c r="A294" s="265"/>
      <c r="B294" s="592" t="s">
        <v>1277</v>
      </c>
      <c r="C294" s="287">
        <v>113</v>
      </c>
      <c r="D294" s="288">
        <v>20</v>
      </c>
      <c r="E294" s="288"/>
      <c r="F294" s="292"/>
      <c r="G294" s="268"/>
      <c r="H294" s="277">
        <f t="shared" si="133"/>
        <v>133</v>
      </c>
      <c r="I294" s="276"/>
      <c r="J294" s="269"/>
      <c r="K294" s="269"/>
      <c r="L294" s="277">
        <f t="shared" si="134"/>
        <v>0</v>
      </c>
      <c r="M294" s="278">
        <f t="shared" si="135"/>
        <v>133</v>
      </c>
      <c r="N294" s="273"/>
      <c r="O294" s="278">
        <f t="shared" si="136"/>
        <v>133</v>
      </c>
    </row>
    <row r="295" spans="1:16" s="274" customFormat="1" ht="63" x14ac:dyDescent="0.25">
      <c r="A295" s="265"/>
      <c r="B295" s="592" t="s">
        <v>1154</v>
      </c>
      <c r="C295" s="287"/>
      <c r="D295" s="288"/>
      <c r="E295" s="288">
        <v>15</v>
      </c>
      <c r="F295" s="292"/>
      <c r="G295" s="268"/>
      <c r="H295" s="277">
        <f t="shared" si="133"/>
        <v>15</v>
      </c>
      <c r="I295" s="276"/>
      <c r="J295" s="269"/>
      <c r="K295" s="269"/>
      <c r="L295" s="277">
        <f t="shared" si="134"/>
        <v>0</v>
      </c>
      <c r="M295" s="278">
        <f t="shared" si="135"/>
        <v>15</v>
      </c>
      <c r="N295" s="273"/>
      <c r="O295" s="278">
        <f t="shared" si="136"/>
        <v>15</v>
      </c>
    </row>
    <row r="296" spans="1:16" s="274" customFormat="1" ht="79.5" thickBot="1" x14ac:dyDescent="0.3">
      <c r="A296" s="265"/>
      <c r="B296" s="592" t="s">
        <v>1287</v>
      </c>
      <c r="C296" s="287"/>
      <c r="D296" s="288"/>
      <c r="E296" s="288">
        <v>15</v>
      </c>
      <c r="F296" s="292"/>
      <c r="G296" s="268"/>
      <c r="H296" s="277">
        <f t="shared" si="133"/>
        <v>15</v>
      </c>
      <c r="I296" s="276"/>
      <c r="J296" s="269"/>
      <c r="K296" s="269"/>
      <c r="L296" s="277">
        <f t="shared" si="134"/>
        <v>0</v>
      </c>
      <c r="M296" s="278">
        <f t="shared" si="135"/>
        <v>15</v>
      </c>
      <c r="N296" s="273"/>
      <c r="O296" s="278">
        <f t="shared" si="136"/>
        <v>15</v>
      </c>
    </row>
    <row r="297" spans="1:16" ht="17.25" thickTop="1" thickBot="1" x14ac:dyDescent="0.3">
      <c r="A297" s="275"/>
      <c r="B297" s="101" t="s">
        <v>1035</v>
      </c>
      <c r="C297" s="102">
        <f>+C286+C290+C291+C293+C294+C295+C296</f>
        <v>127196</v>
      </c>
      <c r="D297" s="102">
        <f t="shared" ref="D297:O297" si="137">+D286+D290+D291+D293+D294+D295+D296</f>
        <v>27578</v>
      </c>
      <c r="E297" s="102">
        <f t="shared" si="137"/>
        <v>76905</v>
      </c>
      <c r="F297" s="102">
        <f t="shared" si="137"/>
        <v>0</v>
      </c>
      <c r="G297" s="102">
        <f t="shared" si="137"/>
        <v>0</v>
      </c>
      <c r="H297" s="102">
        <f t="shared" si="137"/>
        <v>231679</v>
      </c>
      <c r="I297" s="102">
        <f t="shared" si="137"/>
        <v>73</v>
      </c>
      <c r="J297" s="102">
        <f t="shared" si="137"/>
        <v>0</v>
      </c>
      <c r="K297" s="102">
        <f t="shared" si="137"/>
        <v>0</v>
      </c>
      <c r="L297" s="102">
        <f t="shared" si="137"/>
        <v>73</v>
      </c>
      <c r="M297" s="102">
        <f t="shared" si="137"/>
        <v>231752</v>
      </c>
      <c r="N297" s="102">
        <f t="shared" si="137"/>
        <v>0</v>
      </c>
      <c r="O297" s="102">
        <f t="shared" si="137"/>
        <v>231752</v>
      </c>
      <c r="P297" s="254">
        <f>O298+O299</f>
        <v>231752</v>
      </c>
    </row>
    <row r="298" spans="1:16" ht="17.25" thickTop="1" thickBot="1" x14ac:dyDescent="0.3">
      <c r="A298" s="275"/>
      <c r="B298" s="101" t="s">
        <v>1036</v>
      </c>
      <c r="C298" s="102">
        <f>+C287+C290+C291</f>
        <v>124094</v>
      </c>
      <c r="D298" s="102">
        <f t="shared" ref="D298:O298" si="138">+D287+D290+D291</f>
        <v>26551</v>
      </c>
      <c r="E298" s="102">
        <f t="shared" si="138"/>
        <v>76770</v>
      </c>
      <c r="F298" s="102">
        <f t="shared" si="138"/>
        <v>0</v>
      </c>
      <c r="G298" s="102">
        <f t="shared" si="138"/>
        <v>0</v>
      </c>
      <c r="H298" s="102">
        <f t="shared" si="138"/>
        <v>227415</v>
      </c>
      <c r="I298" s="102">
        <f t="shared" si="138"/>
        <v>73</v>
      </c>
      <c r="J298" s="102">
        <f t="shared" si="138"/>
        <v>0</v>
      </c>
      <c r="K298" s="102">
        <f t="shared" si="138"/>
        <v>0</v>
      </c>
      <c r="L298" s="102">
        <f t="shared" si="138"/>
        <v>73</v>
      </c>
      <c r="M298" s="102">
        <f t="shared" si="138"/>
        <v>227488</v>
      </c>
      <c r="N298" s="102">
        <f t="shared" si="138"/>
        <v>0</v>
      </c>
      <c r="O298" s="102">
        <f t="shared" si="138"/>
        <v>227488</v>
      </c>
    </row>
    <row r="299" spans="1:16" ht="17.25" thickTop="1" thickBot="1" x14ac:dyDescent="0.3">
      <c r="A299" s="275"/>
      <c r="B299" s="101" t="s">
        <v>1037</v>
      </c>
      <c r="C299" s="102">
        <f t="shared" ref="C299:O299" si="139">+C288+C293+C294+C295+C296</f>
        <v>3102</v>
      </c>
      <c r="D299" s="102">
        <f t="shared" si="139"/>
        <v>1027</v>
      </c>
      <c r="E299" s="102">
        <f t="shared" si="139"/>
        <v>135</v>
      </c>
      <c r="F299" s="102">
        <f t="shared" si="139"/>
        <v>0</v>
      </c>
      <c r="G299" s="102">
        <f t="shared" si="139"/>
        <v>0</v>
      </c>
      <c r="H299" s="102">
        <f t="shared" si="139"/>
        <v>4264</v>
      </c>
      <c r="I299" s="102">
        <f t="shared" si="139"/>
        <v>0</v>
      </c>
      <c r="J299" s="102">
        <f t="shared" si="139"/>
        <v>0</v>
      </c>
      <c r="K299" s="102">
        <f t="shared" si="139"/>
        <v>0</v>
      </c>
      <c r="L299" s="102">
        <f t="shared" si="139"/>
        <v>0</v>
      </c>
      <c r="M299" s="102">
        <f t="shared" si="139"/>
        <v>4264</v>
      </c>
      <c r="N299" s="102">
        <f t="shared" si="139"/>
        <v>0</v>
      </c>
      <c r="O299" s="102">
        <f t="shared" si="139"/>
        <v>4264</v>
      </c>
    </row>
    <row r="300" spans="1:16" ht="16.5" thickTop="1" x14ac:dyDescent="0.25">
      <c r="A300" s="294" t="s">
        <v>10</v>
      </c>
      <c r="B300" s="621" t="s">
        <v>32</v>
      </c>
      <c r="C300" s="622"/>
      <c r="D300" s="623"/>
      <c r="E300" s="623"/>
      <c r="F300" s="624"/>
      <c r="G300" s="623"/>
      <c r="H300" s="625"/>
      <c r="I300" s="626"/>
      <c r="J300" s="624"/>
      <c r="K300" s="624"/>
      <c r="L300" s="625"/>
      <c r="M300" s="625"/>
      <c r="N300" s="625"/>
      <c r="O300" s="625"/>
    </row>
    <row r="301" spans="1:16" x14ac:dyDescent="0.25">
      <c r="A301" s="279"/>
      <c r="B301" s="597" t="s">
        <v>998</v>
      </c>
      <c r="C301" s="607">
        <v>159929</v>
      </c>
      <c r="D301" s="608">
        <v>34433</v>
      </c>
      <c r="E301" s="608">
        <v>64904</v>
      </c>
      <c r="F301" s="609"/>
      <c r="G301" s="608"/>
      <c r="H301" s="610">
        <f>SUM(C301:G301)</f>
        <v>259266</v>
      </c>
      <c r="I301" s="611">
        <v>465</v>
      </c>
      <c r="J301" s="609"/>
      <c r="K301" s="609"/>
      <c r="L301" s="610">
        <f>SUM(I301:K301)</f>
        <v>465</v>
      </c>
      <c r="M301" s="612">
        <f>SUM(H301+L301)</f>
        <v>259731</v>
      </c>
      <c r="N301" s="612"/>
      <c r="O301" s="612">
        <f>SUM(M301+N301)</f>
        <v>259731</v>
      </c>
    </row>
    <row r="302" spans="1:16" s="274" customFormat="1" x14ac:dyDescent="0.25">
      <c r="A302" s="265"/>
      <c r="B302" s="266" t="s">
        <v>1033</v>
      </c>
      <c r="C302" s="267">
        <v>157230</v>
      </c>
      <c r="D302" s="268">
        <v>33510</v>
      </c>
      <c r="E302" s="268">
        <v>64849</v>
      </c>
      <c r="F302" s="269"/>
      <c r="G302" s="268"/>
      <c r="H302" s="270">
        <f>SUM(C302:G302)</f>
        <v>255589</v>
      </c>
      <c r="I302" s="276">
        <v>465</v>
      </c>
      <c r="J302" s="269"/>
      <c r="K302" s="269"/>
      <c r="L302" s="270">
        <f>SUM(I302:K302)</f>
        <v>465</v>
      </c>
      <c r="M302" s="273">
        <f>SUM(H302+L302)</f>
        <v>256054</v>
      </c>
      <c r="N302" s="273"/>
      <c r="O302" s="273">
        <f>SUM(M302+N302)</f>
        <v>256054</v>
      </c>
    </row>
    <row r="303" spans="1:16" s="274" customFormat="1" x14ac:dyDescent="0.25">
      <c r="A303" s="265"/>
      <c r="B303" s="266" t="s">
        <v>1034</v>
      </c>
      <c r="C303" s="267">
        <v>2699</v>
      </c>
      <c r="D303" s="268">
        <v>923</v>
      </c>
      <c r="E303" s="268">
        <v>55</v>
      </c>
      <c r="F303" s="269"/>
      <c r="G303" s="268"/>
      <c r="H303" s="270">
        <f>SUM(C303:G303)</f>
        <v>3677</v>
      </c>
      <c r="I303" s="276"/>
      <c r="J303" s="269"/>
      <c r="K303" s="269"/>
      <c r="L303" s="270">
        <f>SUM(I303:K303)</f>
        <v>0</v>
      </c>
      <c r="M303" s="273">
        <f>SUM(H303+L303)</f>
        <v>3677</v>
      </c>
      <c r="N303" s="273"/>
      <c r="O303" s="273">
        <f>SUM(M303+N303)</f>
        <v>3677</v>
      </c>
    </row>
    <row r="304" spans="1:16" s="274" customFormat="1" x14ac:dyDescent="0.25">
      <c r="A304" s="265"/>
      <c r="B304" s="266" t="s">
        <v>160</v>
      </c>
      <c r="C304" s="267"/>
      <c r="D304" s="268"/>
      <c r="E304" s="268"/>
      <c r="F304" s="269"/>
      <c r="G304" s="268"/>
      <c r="H304" s="270"/>
      <c r="I304" s="276"/>
      <c r="J304" s="269"/>
      <c r="K304" s="269"/>
      <c r="L304" s="270"/>
      <c r="M304" s="273"/>
      <c r="N304" s="273"/>
      <c r="O304" s="273"/>
    </row>
    <row r="305" spans="1:16" s="274" customFormat="1" x14ac:dyDescent="0.25">
      <c r="A305" s="293"/>
      <c r="B305" s="592" t="s">
        <v>1229</v>
      </c>
      <c r="C305" s="287">
        <v>41</v>
      </c>
      <c r="D305" s="288">
        <v>7</v>
      </c>
      <c r="E305" s="288"/>
      <c r="F305" s="289"/>
      <c r="G305" s="268"/>
      <c r="H305" s="277">
        <f t="shared" ref="H305:H311" si="140">SUM(C305:G305)</f>
        <v>48</v>
      </c>
      <c r="I305" s="276"/>
      <c r="J305" s="269"/>
      <c r="K305" s="269"/>
      <c r="L305" s="277">
        <f t="shared" ref="L305:L311" si="141">SUM(I305:K305)</f>
        <v>0</v>
      </c>
      <c r="M305" s="278">
        <f t="shared" ref="M305:M311" si="142">SUM(H305+L305)</f>
        <v>48</v>
      </c>
      <c r="N305" s="273"/>
      <c r="O305" s="278">
        <f t="shared" ref="O305:O311" si="143">SUM(M305+N305)</f>
        <v>48</v>
      </c>
    </row>
    <row r="306" spans="1:16" s="274" customFormat="1" ht="31.5" x14ac:dyDescent="0.25">
      <c r="A306" s="293"/>
      <c r="B306" s="592" t="s">
        <v>1051</v>
      </c>
      <c r="C306" s="287"/>
      <c r="D306" s="288"/>
      <c r="E306" s="288">
        <v>-1215</v>
      </c>
      <c r="F306" s="289"/>
      <c r="G306" s="268"/>
      <c r="H306" s="277">
        <f t="shared" si="140"/>
        <v>-1215</v>
      </c>
      <c r="I306" s="290">
        <v>1215</v>
      </c>
      <c r="J306" s="269"/>
      <c r="K306" s="269"/>
      <c r="L306" s="277">
        <f t="shared" si="141"/>
        <v>1215</v>
      </c>
      <c r="M306" s="277">
        <f t="shared" si="142"/>
        <v>0</v>
      </c>
      <c r="N306" s="270"/>
      <c r="O306" s="277">
        <f t="shared" si="143"/>
        <v>0</v>
      </c>
    </row>
    <row r="307" spans="1:16" s="274" customFormat="1" x14ac:dyDescent="0.25">
      <c r="A307" s="265"/>
      <c r="B307" s="266" t="s">
        <v>161</v>
      </c>
      <c r="C307" s="287"/>
      <c r="D307" s="288"/>
      <c r="E307" s="288"/>
      <c r="F307" s="289"/>
      <c r="G307" s="268"/>
      <c r="H307" s="277"/>
      <c r="I307" s="276"/>
      <c r="J307" s="269"/>
      <c r="K307" s="269"/>
      <c r="L307" s="277"/>
      <c r="M307" s="278"/>
      <c r="N307" s="273"/>
      <c r="O307" s="278"/>
    </row>
    <row r="308" spans="1:16" s="274" customFormat="1" x14ac:dyDescent="0.25">
      <c r="A308" s="265"/>
      <c r="B308" s="592" t="s">
        <v>1231</v>
      </c>
      <c r="C308" s="287">
        <v>1147</v>
      </c>
      <c r="D308" s="288">
        <v>373</v>
      </c>
      <c r="E308" s="288"/>
      <c r="F308" s="289"/>
      <c r="G308" s="268"/>
      <c r="H308" s="277">
        <f t="shared" si="140"/>
        <v>1520</v>
      </c>
      <c r="I308" s="276"/>
      <c r="J308" s="269"/>
      <c r="K308" s="269"/>
      <c r="L308" s="277">
        <f t="shared" si="141"/>
        <v>0</v>
      </c>
      <c r="M308" s="278">
        <f t="shared" si="142"/>
        <v>1520</v>
      </c>
      <c r="N308" s="273"/>
      <c r="O308" s="278">
        <f t="shared" si="143"/>
        <v>1520</v>
      </c>
    </row>
    <row r="309" spans="1:16" s="274" customFormat="1" ht="31.5" x14ac:dyDescent="0.25">
      <c r="A309" s="265"/>
      <c r="B309" s="592" t="s">
        <v>1277</v>
      </c>
      <c r="C309" s="287">
        <v>180</v>
      </c>
      <c r="D309" s="288">
        <v>31</v>
      </c>
      <c r="E309" s="288"/>
      <c r="F309" s="289"/>
      <c r="G309" s="268"/>
      <c r="H309" s="277">
        <f t="shared" si="140"/>
        <v>211</v>
      </c>
      <c r="I309" s="276"/>
      <c r="J309" s="269"/>
      <c r="K309" s="269"/>
      <c r="L309" s="277">
        <f t="shared" si="141"/>
        <v>0</v>
      </c>
      <c r="M309" s="278">
        <f t="shared" si="142"/>
        <v>211</v>
      </c>
      <c r="N309" s="273"/>
      <c r="O309" s="278">
        <f t="shared" si="143"/>
        <v>211</v>
      </c>
    </row>
    <row r="310" spans="1:16" s="274" customFormat="1" ht="63" x14ac:dyDescent="0.25">
      <c r="A310" s="265"/>
      <c r="B310" s="592" t="s">
        <v>1154</v>
      </c>
      <c r="C310" s="287"/>
      <c r="D310" s="288"/>
      <c r="E310" s="288">
        <v>15</v>
      </c>
      <c r="F310" s="289"/>
      <c r="G310" s="268"/>
      <c r="H310" s="277">
        <f t="shared" si="140"/>
        <v>15</v>
      </c>
      <c r="I310" s="276"/>
      <c r="J310" s="269"/>
      <c r="K310" s="269"/>
      <c r="L310" s="277">
        <f t="shared" si="141"/>
        <v>0</v>
      </c>
      <c r="M310" s="278">
        <f t="shared" si="142"/>
        <v>15</v>
      </c>
      <c r="N310" s="273"/>
      <c r="O310" s="278">
        <f t="shared" si="143"/>
        <v>15</v>
      </c>
    </row>
    <row r="311" spans="1:16" s="274" customFormat="1" ht="79.5" thickBot="1" x14ac:dyDescent="0.3">
      <c r="A311" s="265"/>
      <c r="B311" s="592" t="s">
        <v>1288</v>
      </c>
      <c r="C311" s="287"/>
      <c r="D311" s="288"/>
      <c r="E311" s="288">
        <v>15</v>
      </c>
      <c r="F311" s="289"/>
      <c r="G311" s="268"/>
      <c r="H311" s="277">
        <f t="shared" si="140"/>
        <v>15</v>
      </c>
      <c r="I311" s="276"/>
      <c r="J311" s="269"/>
      <c r="K311" s="269"/>
      <c r="L311" s="277">
        <f t="shared" si="141"/>
        <v>0</v>
      </c>
      <c r="M311" s="278">
        <f t="shared" si="142"/>
        <v>15</v>
      </c>
      <c r="N311" s="273"/>
      <c r="O311" s="278">
        <f t="shared" si="143"/>
        <v>15</v>
      </c>
    </row>
    <row r="312" spans="1:16" ht="17.25" thickTop="1" thickBot="1" x14ac:dyDescent="0.3">
      <c r="A312" s="275"/>
      <c r="B312" s="101" t="s">
        <v>1035</v>
      </c>
      <c r="C312" s="102">
        <f>+C301+C305+C306+C308+C309+C310+C311</f>
        <v>161297</v>
      </c>
      <c r="D312" s="102">
        <f t="shared" ref="D312:O312" si="144">+D301+D305+D306+D308+D309+D310+D311</f>
        <v>34844</v>
      </c>
      <c r="E312" s="102">
        <f t="shared" si="144"/>
        <v>63719</v>
      </c>
      <c r="F312" s="102">
        <f t="shared" si="144"/>
        <v>0</v>
      </c>
      <c r="G312" s="102">
        <f t="shared" si="144"/>
        <v>0</v>
      </c>
      <c r="H312" s="102">
        <f t="shared" si="144"/>
        <v>259860</v>
      </c>
      <c r="I312" s="102">
        <f t="shared" si="144"/>
        <v>1680</v>
      </c>
      <c r="J312" s="102">
        <f t="shared" si="144"/>
        <v>0</v>
      </c>
      <c r="K312" s="102">
        <f t="shared" si="144"/>
        <v>0</v>
      </c>
      <c r="L312" s="102">
        <f t="shared" si="144"/>
        <v>1680</v>
      </c>
      <c r="M312" s="102">
        <f t="shared" si="144"/>
        <v>261540</v>
      </c>
      <c r="N312" s="102">
        <f t="shared" si="144"/>
        <v>0</v>
      </c>
      <c r="O312" s="102">
        <f t="shared" si="144"/>
        <v>261540</v>
      </c>
      <c r="P312" s="254">
        <f>O313+O314</f>
        <v>261540</v>
      </c>
    </row>
    <row r="313" spans="1:16" ht="17.25" thickTop="1" thickBot="1" x14ac:dyDescent="0.3">
      <c r="A313" s="275"/>
      <c r="B313" s="101" t="s">
        <v>1036</v>
      </c>
      <c r="C313" s="102">
        <f>+C302+C305+C306</f>
        <v>157271</v>
      </c>
      <c r="D313" s="102">
        <f t="shared" ref="D313:O313" si="145">+D302+D305+D306</f>
        <v>33517</v>
      </c>
      <c r="E313" s="102">
        <f t="shared" si="145"/>
        <v>63634</v>
      </c>
      <c r="F313" s="102">
        <f t="shared" si="145"/>
        <v>0</v>
      </c>
      <c r="G313" s="102">
        <f t="shared" si="145"/>
        <v>0</v>
      </c>
      <c r="H313" s="102">
        <f t="shared" si="145"/>
        <v>254422</v>
      </c>
      <c r="I313" s="102">
        <f t="shared" si="145"/>
        <v>1680</v>
      </c>
      <c r="J313" s="102">
        <f t="shared" si="145"/>
        <v>0</v>
      </c>
      <c r="K313" s="102">
        <f t="shared" si="145"/>
        <v>0</v>
      </c>
      <c r="L313" s="102">
        <f t="shared" si="145"/>
        <v>1680</v>
      </c>
      <c r="M313" s="102">
        <f t="shared" si="145"/>
        <v>256102</v>
      </c>
      <c r="N313" s="102">
        <f t="shared" si="145"/>
        <v>0</v>
      </c>
      <c r="O313" s="102">
        <f t="shared" si="145"/>
        <v>256102</v>
      </c>
    </row>
    <row r="314" spans="1:16" ht="17.25" thickTop="1" thickBot="1" x14ac:dyDescent="0.3">
      <c r="A314" s="275"/>
      <c r="B314" s="101" t="s">
        <v>1037</v>
      </c>
      <c r="C314" s="102">
        <f t="shared" ref="C314:O314" si="146">+C303+C308+C309+C310+C311</f>
        <v>4026</v>
      </c>
      <c r="D314" s="102">
        <f t="shared" si="146"/>
        <v>1327</v>
      </c>
      <c r="E314" s="102">
        <f t="shared" si="146"/>
        <v>85</v>
      </c>
      <c r="F314" s="102">
        <f t="shared" si="146"/>
        <v>0</v>
      </c>
      <c r="G314" s="102">
        <f t="shared" si="146"/>
        <v>0</v>
      </c>
      <c r="H314" s="102">
        <f t="shared" si="146"/>
        <v>5438</v>
      </c>
      <c r="I314" s="102">
        <f t="shared" si="146"/>
        <v>0</v>
      </c>
      <c r="J314" s="102">
        <f t="shared" si="146"/>
        <v>0</v>
      </c>
      <c r="K314" s="102">
        <f t="shared" si="146"/>
        <v>0</v>
      </c>
      <c r="L314" s="102">
        <f t="shared" si="146"/>
        <v>0</v>
      </c>
      <c r="M314" s="102">
        <f t="shared" si="146"/>
        <v>5438</v>
      </c>
      <c r="N314" s="102">
        <f t="shared" si="146"/>
        <v>0</v>
      </c>
      <c r="O314" s="102">
        <f t="shared" si="146"/>
        <v>5438</v>
      </c>
    </row>
    <row r="315" spans="1:16" ht="17.25" thickTop="1" thickBot="1" x14ac:dyDescent="0.3">
      <c r="A315" s="275"/>
      <c r="B315" s="101" t="s">
        <v>405</v>
      </c>
      <c r="C315" s="102">
        <f t="shared" ref="C315:O315" si="147">SUM(C147+C161+C175+C191+C207+C220+C236+C251+C266+C282+C297+C312)</f>
        <v>1837756</v>
      </c>
      <c r="D315" s="102">
        <f t="shared" si="147"/>
        <v>394763</v>
      </c>
      <c r="E315" s="102">
        <f t="shared" si="147"/>
        <v>774786</v>
      </c>
      <c r="F315" s="102">
        <f t="shared" si="147"/>
        <v>0</v>
      </c>
      <c r="G315" s="102">
        <f t="shared" si="147"/>
        <v>0</v>
      </c>
      <c r="H315" s="102">
        <f t="shared" si="147"/>
        <v>3007305</v>
      </c>
      <c r="I315" s="102">
        <f t="shared" si="147"/>
        <v>7968</v>
      </c>
      <c r="J315" s="102">
        <f t="shared" si="147"/>
        <v>0</v>
      </c>
      <c r="K315" s="102">
        <f t="shared" si="147"/>
        <v>0</v>
      </c>
      <c r="L315" s="102">
        <f t="shared" si="147"/>
        <v>7968</v>
      </c>
      <c r="M315" s="102">
        <f t="shared" si="147"/>
        <v>3015273</v>
      </c>
      <c r="N315" s="102">
        <f t="shared" si="147"/>
        <v>0</v>
      </c>
      <c r="O315" s="102">
        <f t="shared" si="147"/>
        <v>3015273</v>
      </c>
    </row>
    <row r="316" spans="1:16" ht="17.25" thickTop="1" thickBot="1" x14ac:dyDescent="0.3">
      <c r="A316" s="275"/>
      <c r="B316" s="101" t="s">
        <v>406</v>
      </c>
      <c r="C316" s="102">
        <f t="shared" ref="C316:O316" si="148">SUM(C36+C133+C315)</f>
        <v>2968876</v>
      </c>
      <c r="D316" s="102">
        <f t="shared" si="148"/>
        <v>627147</v>
      </c>
      <c r="E316" s="102">
        <f t="shared" si="148"/>
        <v>1115421</v>
      </c>
      <c r="F316" s="102">
        <f t="shared" si="148"/>
        <v>0</v>
      </c>
      <c r="G316" s="102">
        <f t="shared" si="148"/>
        <v>0</v>
      </c>
      <c r="H316" s="102">
        <f t="shared" si="148"/>
        <v>4711444</v>
      </c>
      <c r="I316" s="102">
        <f t="shared" si="148"/>
        <v>27369</v>
      </c>
      <c r="J316" s="102">
        <f t="shared" si="148"/>
        <v>0</v>
      </c>
      <c r="K316" s="102">
        <f t="shared" si="148"/>
        <v>0</v>
      </c>
      <c r="L316" s="102">
        <f t="shared" si="148"/>
        <v>27369</v>
      </c>
      <c r="M316" s="102">
        <f t="shared" si="148"/>
        <v>4738813</v>
      </c>
      <c r="N316" s="102">
        <f t="shared" si="148"/>
        <v>0</v>
      </c>
      <c r="O316" s="102">
        <f t="shared" si="148"/>
        <v>4738813</v>
      </c>
    </row>
    <row r="317" spans="1:16" ht="16.5" thickTop="1" x14ac:dyDescent="0.25">
      <c r="A317" s="264" t="s">
        <v>11</v>
      </c>
      <c r="B317" s="597" t="s">
        <v>33</v>
      </c>
      <c r="C317" s="607"/>
      <c r="D317" s="608"/>
      <c r="E317" s="608"/>
      <c r="F317" s="614"/>
      <c r="G317" s="608"/>
      <c r="H317" s="610"/>
      <c r="I317" s="611"/>
      <c r="J317" s="609"/>
      <c r="K317" s="609"/>
      <c r="L317" s="610"/>
      <c r="M317" s="610"/>
      <c r="N317" s="610"/>
      <c r="O317" s="610"/>
    </row>
    <row r="318" spans="1:16" x14ac:dyDescent="0.25">
      <c r="A318" s="264"/>
      <c r="B318" s="592" t="s">
        <v>998</v>
      </c>
      <c r="C318" s="607">
        <v>736533</v>
      </c>
      <c r="D318" s="608">
        <v>153029</v>
      </c>
      <c r="E318" s="608">
        <v>484906</v>
      </c>
      <c r="F318" s="614">
        <v>22</v>
      </c>
      <c r="G318" s="608"/>
      <c r="H318" s="610">
        <f>SUM(C318:G318)</f>
        <v>1374490</v>
      </c>
      <c r="I318" s="611">
        <v>8603</v>
      </c>
      <c r="J318" s="609"/>
      <c r="K318" s="609"/>
      <c r="L318" s="610">
        <f>SUM(I318:K318)</f>
        <v>8603</v>
      </c>
      <c r="M318" s="612">
        <f>SUM(H318+L318)</f>
        <v>1383093</v>
      </c>
      <c r="N318" s="612"/>
      <c r="O318" s="612">
        <f>SUM(M318+N318)</f>
        <v>1383093</v>
      </c>
    </row>
    <row r="319" spans="1:16" s="274" customFormat="1" x14ac:dyDescent="0.25">
      <c r="A319" s="265"/>
      <c r="B319" s="266" t="s">
        <v>1033</v>
      </c>
      <c r="C319" s="267">
        <v>723419</v>
      </c>
      <c r="D319" s="268">
        <v>148541</v>
      </c>
      <c r="E319" s="268">
        <v>483996</v>
      </c>
      <c r="F319" s="272">
        <v>22</v>
      </c>
      <c r="G319" s="268"/>
      <c r="H319" s="270">
        <f>SUM(C319:G319)</f>
        <v>1355978</v>
      </c>
      <c r="I319" s="276">
        <v>8603</v>
      </c>
      <c r="J319" s="269"/>
      <c r="K319" s="269"/>
      <c r="L319" s="270">
        <f>SUM(I319:K319)</f>
        <v>8603</v>
      </c>
      <c r="M319" s="273">
        <f>SUM(H319+L319)</f>
        <v>1364581</v>
      </c>
      <c r="N319" s="273"/>
      <c r="O319" s="273">
        <f>SUM(M319+N319)</f>
        <v>1364581</v>
      </c>
    </row>
    <row r="320" spans="1:16" s="274" customFormat="1" x14ac:dyDescent="0.25">
      <c r="A320" s="265"/>
      <c r="B320" s="266" t="s">
        <v>1034</v>
      </c>
      <c r="C320" s="267">
        <v>13114</v>
      </c>
      <c r="D320" s="268">
        <v>4488</v>
      </c>
      <c r="E320" s="268">
        <v>910</v>
      </c>
      <c r="F320" s="272"/>
      <c r="G320" s="268"/>
      <c r="H320" s="270">
        <f>SUM(C320:G320)</f>
        <v>18512</v>
      </c>
      <c r="I320" s="276"/>
      <c r="J320" s="269"/>
      <c r="K320" s="269"/>
      <c r="L320" s="270">
        <f>SUM(I320:K320)</f>
        <v>0</v>
      </c>
      <c r="M320" s="273">
        <f>SUM(H320+L320)</f>
        <v>18512</v>
      </c>
      <c r="N320" s="273"/>
      <c r="O320" s="273">
        <f>SUM(M320+N320)</f>
        <v>18512</v>
      </c>
    </row>
    <row r="321" spans="1:16" s="274" customFormat="1" x14ac:dyDescent="0.25">
      <c r="A321" s="293"/>
      <c r="B321" s="280" t="s">
        <v>160</v>
      </c>
      <c r="C321" s="267"/>
      <c r="D321" s="268"/>
      <c r="E321" s="268"/>
      <c r="F321" s="269"/>
      <c r="G321" s="268"/>
      <c r="H321" s="270"/>
      <c r="I321" s="276"/>
      <c r="J321" s="269"/>
      <c r="K321" s="269"/>
      <c r="L321" s="270"/>
      <c r="M321" s="270"/>
      <c r="N321" s="270"/>
      <c r="O321" s="270"/>
    </row>
    <row r="322" spans="1:16" s="274" customFormat="1" x14ac:dyDescent="0.25">
      <c r="A322" s="293"/>
      <c r="B322" s="592" t="s">
        <v>1229</v>
      </c>
      <c r="C322" s="287">
        <v>309</v>
      </c>
      <c r="D322" s="288">
        <v>54</v>
      </c>
      <c r="E322" s="288"/>
      <c r="F322" s="289"/>
      <c r="G322" s="268"/>
      <c r="H322" s="277">
        <f t="shared" ref="H322:H330" si="149">SUM(C322:G322)</f>
        <v>363</v>
      </c>
      <c r="I322" s="276"/>
      <c r="J322" s="269"/>
      <c r="K322" s="269"/>
      <c r="L322" s="277">
        <f t="shared" ref="L322:L330" si="150">SUM(I322:K322)</f>
        <v>0</v>
      </c>
      <c r="M322" s="277">
        <f t="shared" ref="M322:M330" si="151">SUM(H322+L322)</f>
        <v>363</v>
      </c>
      <c r="N322" s="270"/>
      <c r="O322" s="277">
        <f t="shared" ref="O322:O330" si="152">SUM(M322+N322)</f>
        <v>363</v>
      </c>
    </row>
    <row r="323" spans="1:16" s="274" customFormat="1" ht="31.5" x14ac:dyDescent="0.25">
      <c r="A323" s="265"/>
      <c r="B323" s="592" t="s">
        <v>1278</v>
      </c>
      <c r="C323" s="287">
        <v>13894</v>
      </c>
      <c r="D323" s="288">
        <v>2431</v>
      </c>
      <c r="E323" s="288"/>
      <c r="F323" s="292"/>
      <c r="G323" s="268"/>
      <c r="H323" s="277">
        <f t="shared" si="149"/>
        <v>16325</v>
      </c>
      <c r="I323" s="276"/>
      <c r="J323" s="269"/>
      <c r="K323" s="269"/>
      <c r="L323" s="277">
        <f t="shared" si="150"/>
        <v>0</v>
      </c>
      <c r="M323" s="278">
        <f t="shared" si="151"/>
        <v>16325</v>
      </c>
      <c r="N323" s="273"/>
      <c r="O323" s="278">
        <f t="shared" si="152"/>
        <v>16325</v>
      </c>
    </row>
    <row r="324" spans="1:16" s="274" customFormat="1" ht="31.5" x14ac:dyDescent="0.25">
      <c r="A324" s="293"/>
      <c r="B324" s="597" t="s">
        <v>1289</v>
      </c>
      <c r="C324" s="287">
        <v>1452</v>
      </c>
      <c r="D324" s="288">
        <v>254</v>
      </c>
      <c r="E324" s="288"/>
      <c r="F324" s="289"/>
      <c r="G324" s="268"/>
      <c r="H324" s="277">
        <f t="shared" si="149"/>
        <v>1706</v>
      </c>
      <c r="I324" s="276"/>
      <c r="J324" s="269"/>
      <c r="K324" s="269"/>
      <c r="L324" s="277">
        <f t="shared" si="150"/>
        <v>0</v>
      </c>
      <c r="M324" s="277">
        <f t="shared" si="151"/>
        <v>1706</v>
      </c>
      <c r="N324" s="270"/>
      <c r="O324" s="277">
        <f t="shared" si="152"/>
        <v>1706</v>
      </c>
    </row>
    <row r="325" spans="1:16" s="274" customFormat="1" ht="47.25" x14ac:dyDescent="0.25">
      <c r="A325" s="293"/>
      <c r="B325" s="597" t="s">
        <v>1276</v>
      </c>
      <c r="C325" s="287">
        <v>2535</v>
      </c>
      <c r="D325" s="288">
        <v>444</v>
      </c>
      <c r="E325" s="288"/>
      <c r="F325" s="289"/>
      <c r="G325" s="268"/>
      <c r="H325" s="277">
        <f t="shared" si="149"/>
        <v>2979</v>
      </c>
      <c r="I325" s="290"/>
      <c r="J325" s="269"/>
      <c r="K325" s="269"/>
      <c r="L325" s="277">
        <f t="shared" si="150"/>
        <v>0</v>
      </c>
      <c r="M325" s="277">
        <f t="shared" si="151"/>
        <v>2979</v>
      </c>
      <c r="N325" s="270"/>
      <c r="O325" s="277">
        <f t="shared" si="152"/>
        <v>2979</v>
      </c>
    </row>
    <row r="326" spans="1:16" s="274" customFormat="1" ht="31.5" x14ac:dyDescent="0.25">
      <c r="A326" s="265"/>
      <c r="B326" s="592" t="s">
        <v>1051</v>
      </c>
      <c r="C326" s="287"/>
      <c r="D326" s="288"/>
      <c r="E326" s="288">
        <v>-8605</v>
      </c>
      <c r="F326" s="292">
        <v>12</v>
      </c>
      <c r="G326" s="268"/>
      <c r="H326" s="277">
        <f t="shared" si="149"/>
        <v>-8593</v>
      </c>
      <c r="I326" s="290">
        <v>8593</v>
      </c>
      <c r="J326" s="269"/>
      <c r="K326" s="269"/>
      <c r="L326" s="277">
        <f t="shared" si="150"/>
        <v>8593</v>
      </c>
      <c r="M326" s="278">
        <f t="shared" si="151"/>
        <v>0</v>
      </c>
      <c r="N326" s="273"/>
      <c r="O326" s="278">
        <f t="shared" si="152"/>
        <v>0</v>
      </c>
    </row>
    <row r="327" spans="1:16" s="274" customFormat="1" x14ac:dyDescent="0.25">
      <c r="A327" s="265"/>
      <c r="B327" s="266" t="s">
        <v>161</v>
      </c>
      <c r="C327" s="287"/>
      <c r="D327" s="288"/>
      <c r="E327" s="288"/>
      <c r="F327" s="292"/>
      <c r="G327" s="268"/>
      <c r="H327" s="277"/>
      <c r="I327" s="276"/>
      <c r="J327" s="269"/>
      <c r="K327" s="269"/>
      <c r="L327" s="277"/>
      <c r="M327" s="278"/>
      <c r="N327" s="273"/>
      <c r="O327" s="278"/>
    </row>
    <row r="328" spans="1:16" s="274" customFormat="1" x14ac:dyDescent="0.25">
      <c r="A328" s="265"/>
      <c r="B328" s="592" t="s">
        <v>1231</v>
      </c>
      <c r="C328" s="287">
        <v>5570</v>
      </c>
      <c r="D328" s="288">
        <v>1810</v>
      </c>
      <c r="E328" s="288"/>
      <c r="F328" s="289"/>
      <c r="G328" s="268"/>
      <c r="H328" s="277">
        <f t="shared" si="149"/>
        <v>7380</v>
      </c>
      <c r="I328" s="276"/>
      <c r="J328" s="269"/>
      <c r="K328" s="269"/>
      <c r="L328" s="277">
        <f t="shared" si="150"/>
        <v>0</v>
      </c>
      <c r="M328" s="278">
        <f t="shared" si="151"/>
        <v>7380</v>
      </c>
      <c r="N328" s="273"/>
      <c r="O328" s="278">
        <f t="shared" si="152"/>
        <v>7380</v>
      </c>
    </row>
    <row r="329" spans="1:16" s="274" customFormat="1" ht="31.5" x14ac:dyDescent="0.25">
      <c r="A329" s="265"/>
      <c r="B329" s="592" t="s">
        <v>1277</v>
      </c>
      <c r="C329" s="287">
        <v>869</v>
      </c>
      <c r="D329" s="288">
        <v>152</v>
      </c>
      <c r="E329" s="288"/>
      <c r="F329" s="289"/>
      <c r="G329" s="268"/>
      <c r="H329" s="277">
        <f t="shared" si="149"/>
        <v>1021</v>
      </c>
      <c r="I329" s="276"/>
      <c r="J329" s="269"/>
      <c r="K329" s="269"/>
      <c r="L329" s="277">
        <f t="shared" si="150"/>
        <v>0</v>
      </c>
      <c r="M329" s="278">
        <f t="shared" si="151"/>
        <v>1021</v>
      </c>
      <c r="N329" s="273"/>
      <c r="O329" s="278">
        <f t="shared" si="152"/>
        <v>1021</v>
      </c>
    </row>
    <row r="330" spans="1:16" s="274" customFormat="1" ht="79.5" thickBot="1" x14ac:dyDescent="0.3">
      <c r="A330" s="265"/>
      <c r="B330" s="592" t="s">
        <v>1279</v>
      </c>
      <c r="C330" s="287"/>
      <c r="D330" s="288"/>
      <c r="E330" s="288">
        <v>400</v>
      </c>
      <c r="F330" s="289"/>
      <c r="G330" s="268"/>
      <c r="H330" s="277">
        <f t="shared" si="149"/>
        <v>400</v>
      </c>
      <c r="I330" s="276"/>
      <c r="J330" s="269"/>
      <c r="K330" s="269"/>
      <c r="L330" s="277">
        <f t="shared" si="150"/>
        <v>0</v>
      </c>
      <c r="M330" s="278">
        <f t="shared" si="151"/>
        <v>400</v>
      </c>
      <c r="N330" s="273"/>
      <c r="O330" s="278">
        <f t="shared" si="152"/>
        <v>400</v>
      </c>
    </row>
    <row r="331" spans="1:16" ht="17.25" thickTop="1" thickBot="1" x14ac:dyDescent="0.3">
      <c r="A331" s="275"/>
      <c r="B331" s="101" t="s">
        <v>1035</v>
      </c>
      <c r="C331" s="102">
        <f>+C318+C322+C323+C328+C324+C325+C326+C329+C330</f>
        <v>761162</v>
      </c>
      <c r="D331" s="102">
        <f t="shared" ref="D331:O331" si="153">+D318+D322+D323+D328+D324+D325+D326+D329+D330</f>
        <v>158174</v>
      </c>
      <c r="E331" s="102">
        <f t="shared" si="153"/>
        <v>476701</v>
      </c>
      <c r="F331" s="102">
        <f t="shared" si="153"/>
        <v>34</v>
      </c>
      <c r="G331" s="102">
        <f t="shared" si="153"/>
        <v>0</v>
      </c>
      <c r="H331" s="102">
        <f t="shared" si="153"/>
        <v>1396071</v>
      </c>
      <c r="I331" s="102">
        <f t="shared" si="153"/>
        <v>17196</v>
      </c>
      <c r="J331" s="102">
        <f t="shared" si="153"/>
        <v>0</v>
      </c>
      <c r="K331" s="102">
        <f t="shared" si="153"/>
        <v>0</v>
      </c>
      <c r="L331" s="102">
        <f t="shared" si="153"/>
        <v>17196</v>
      </c>
      <c r="M331" s="102">
        <f t="shared" si="153"/>
        <v>1413267</v>
      </c>
      <c r="N331" s="102">
        <f t="shared" si="153"/>
        <v>0</v>
      </c>
      <c r="O331" s="102">
        <f t="shared" si="153"/>
        <v>1413267</v>
      </c>
      <c r="P331" s="254">
        <f>O332+O333</f>
        <v>1413267</v>
      </c>
    </row>
    <row r="332" spans="1:16" ht="17.25" thickTop="1" thickBot="1" x14ac:dyDescent="0.3">
      <c r="A332" s="275"/>
      <c r="B332" s="101" t="s">
        <v>1036</v>
      </c>
      <c r="C332" s="102">
        <f>+C319+C322+C323+C324+C325+C326</f>
        <v>741609</v>
      </c>
      <c r="D332" s="102">
        <f t="shared" ref="D332:O332" si="154">+D319+D322+D323+D324+D325+D326</f>
        <v>151724</v>
      </c>
      <c r="E332" s="102">
        <f t="shared" si="154"/>
        <v>475391</v>
      </c>
      <c r="F332" s="102">
        <f t="shared" si="154"/>
        <v>34</v>
      </c>
      <c r="G332" s="102">
        <f t="shared" si="154"/>
        <v>0</v>
      </c>
      <c r="H332" s="102">
        <f t="shared" si="154"/>
        <v>1368758</v>
      </c>
      <c r="I332" s="102">
        <f t="shared" si="154"/>
        <v>17196</v>
      </c>
      <c r="J332" s="102">
        <f t="shared" si="154"/>
        <v>0</v>
      </c>
      <c r="K332" s="102">
        <f t="shared" si="154"/>
        <v>0</v>
      </c>
      <c r="L332" s="102">
        <f t="shared" si="154"/>
        <v>17196</v>
      </c>
      <c r="M332" s="102">
        <f t="shared" si="154"/>
        <v>1385954</v>
      </c>
      <c r="N332" s="102">
        <f t="shared" si="154"/>
        <v>0</v>
      </c>
      <c r="O332" s="102">
        <f t="shared" si="154"/>
        <v>1385954</v>
      </c>
    </row>
    <row r="333" spans="1:16" ht="17.25" thickTop="1" thickBot="1" x14ac:dyDescent="0.3">
      <c r="A333" s="275"/>
      <c r="B333" s="101" t="s">
        <v>1037</v>
      </c>
      <c r="C333" s="102">
        <f t="shared" ref="C333:O333" si="155">+C320+C328+C329+C330</f>
        <v>19553</v>
      </c>
      <c r="D333" s="102">
        <f t="shared" si="155"/>
        <v>6450</v>
      </c>
      <c r="E333" s="102">
        <f t="shared" si="155"/>
        <v>1310</v>
      </c>
      <c r="F333" s="102">
        <f t="shared" si="155"/>
        <v>0</v>
      </c>
      <c r="G333" s="102">
        <f t="shared" si="155"/>
        <v>0</v>
      </c>
      <c r="H333" s="102">
        <f t="shared" si="155"/>
        <v>27313</v>
      </c>
      <c r="I333" s="102">
        <f t="shared" si="155"/>
        <v>0</v>
      </c>
      <c r="J333" s="102">
        <f t="shared" si="155"/>
        <v>0</v>
      </c>
      <c r="K333" s="102">
        <f t="shared" si="155"/>
        <v>0</v>
      </c>
      <c r="L333" s="102">
        <f t="shared" si="155"/>
        <v>0</v>
      </c>
      <c r="M333" s="102">
        <f t="shared" si="155"/>
        <v>27313</v>
      </c>
      <c r="N333" s="102">
        <f t="shared" si="155"/>
        <v>0</v>
      </c>
      <c r="O333" s="102">
        <f t="shared" si="155"/>
        <v>27313</v>
      </c>
    </row>
    <row r="334" spans="1:16" ht="32.25" thickTop="1" x14ac:dyDescent="0.25">
      <c r="A334" s="264" t="s">
        <v>12</v>
      </c>
      <c r="B334" s="597" t="s">
        <v>561</v>
      </c>
      <c r="C334" s="607"/>
      <c r="D334" s="608"/>
      <c r="E334" s="608"/>
      <c r="F334" s="614"/>
      <c r="G334" s="608"/>
      <c r="H334" s="610"/>
      <c r="I334" s="611"/>
      <c r="J334" s="609"/>
      <c r="K334" s="609"/>
      <c r="L334" s="610"/>
      <c r="M334" s="610"/>
      <c r="N334" s="610"/>
      <c r="O334" s="610"/>
    </row>
    <row r="335" spans="1:16" x14ac:dyDescent="0.25">
      <c r="A335" s="264"/>
      <c r="B335" s="592" t="s">
        <v>998</v>
      </c>
      <c r="C335" s="607">
        <v>233167</v>
      </c>
      <c r="D335" s="608">
        <v>48836</v>
      </c>
      <c r="E335" s="608">
        <v>210767</v>
      </c>
      <c r="F335" s="614"/>
      <c r="G335" s="608"/>
      <c r="H335" s="610">
        <f>SUM(C335:G335)</f>
        <v>492770</v>
      </c>
      <c r="I335" s="611">
        <v>5041</v>
      </c>
      <c r="J335" s="609"/>
      <c r="K335" s="609"/>
      <c r="L335" s="610">
        <f>SUM(I335:K335)</f>
        <v>5041</v>
      </c>
      <c r="M335" s="612">
        <f>SUM(H335+L335)</f>
        <v>497811</v>
      </c>
      <c r="N335" s="612"/>
      <c r="O335" s="612">
        <f>SUM(M335+N335)</f>
        <v>497811</v>
      </c>
    </row>
    <row r="336" spans="1:16" s="274" customFormat="1" x14ac:dyDescent="0.25">
      <c r="A336" s="265"/>
      <c r="B336" s="266" t="s">
        <v>1033</v>
      </c>
      <c r="C336" s="267">
        <v>229190</v>
      </c>
      <c r="D336" s="268">
        <v>47475</v>
      </c>
      <c r="E336" s="268">
        <v>207748</v>
      </c>
      <c r="F336" s="272"/>
      <c r="G336" s="268"/>
      <c r="H336" s="270">
        <f>SUM(C336:G336)</f>
        <v>484413</v>
      </c>
      <c r="I336" s="276">
        <v>5041</v>
      </c>
      <c r="J336" s="269"/>
      <c r="K336" s="269"/>
      <c r="L336" s="270">
        <f>SUM(I336:K336)</f>
        <v>5041</v>
      </c>
      <c r="M336" s="273">
        <f>SUM(H336+L336)</f>
        <v>489454</v>
      </c>
      <c r="N336" s="273"/>
      <c r="O336" s="273">
        <f>SUM(M336+N336)</f>
        <v>489454</v>
      </c>
    </row>
    <row r="337" spans="1:16" s="274" customFormat="1" x14ac:dyDescent="0.25">
      <c r="A337" s="265"/>
      <c r="B337" s="266" t="s">
        <v>1034</v>
      </c>
      <c r="C337" s="267">
        <v>3977</v>
      </c>
      <c r="D337" s="268">
        <v>1361</v>
      </c>
      <c r="E337" s="268">
        <v>3019</v>
      </c>
      <c r="F337" s="272"/>
      <c r="G337" s="268"/>
      <c r="H337" s="270">
        <f>SUM(C337:G337)</f>
        <v>8357</v>
      </c>
      <c r="I337" s="276"/>
      <c r="J337" s="269"/>
      <c r="K337" s="269"/>
      <c r="L337" s="270">
        <f>SUM(I337:K337)</f>
        <v>0</v>
      </c>
      <c r="M337" s="273">
        <f>SUM(H337+L337)</f>
        <v>8357</v>
      </c>
      <c r="N337" s="273"/>
      <c r="O337" s="273">
        <f>SUM(M337+N337)</f>
        <v>8357</v>
      </c>
    </row>
    <row r="338" spans="1:16" s="274" customFormat="1" x14ac:dyDescent="0.25">
      <c r="A338" s="265"/>
      <c r="B338" s="266" t="s">
        <v>160</v>
      </c>
      <c r="C338" s="267"/>
      <c r="D338" s="268"/>
      <c r="E338" s="268"/>
      <c r="F338" s="272"/>
      <c r="G338" s="268"/>
      <c r="H338" s="270"/>
      <c r="I338" s="276"/>
      <c r="J338" s="269"/>
      <c r="K338" s="269"/>
      <c r="L338" s="270"/>
      <c r="M338" s="273"/>
      <c r="N338" s="273"/>
      <c r="O338" s="273"/>
    </row>
    <row r="339" spans="1:16" s="274" customFormat="1" x14ac:dyDescent="0.25">
      <c r="A339" s="293"/>
      <c r="B339" s="592" t="s">
        <v>1229</v>
      </c>
      <c r="C339" s="287">
        <v>254</v>
      </c>
      <c r="D339" s="288">
        <v>44</v>
      </c>
      <c r="E339" s="288"/>
      <c r="F339" s="289"/>
      <c r="G339" s="268"/>
      <c r="H339" s="277">
        <f t="shared" ref="H339:H346" si="156">SUM(C339:G339)</f>
        <v>298</v>
      </c>
      <c r="I339" s="276"/>
      <c r="J339" s="269"/>
      <c r="K339" s="269"/>
      <c r="L339" s="277">
        <f t="shared" ref="L339:L346" si="157">SUM(I339:K339)</f>
        <v>0</v>
      </c>
      <c r="M339" s="277">
        <f t="shared" ref="M339:M346" si="158">SUM(H339+L339)</f>
        <v>298</v>
      </c>
      <c r="N339" s="270"/>
      <c r="O339" s="277">
        <f t="shared" ref="O339:O346" si="159">SUM(M339+N339)</f>
        <v>298</v>
      </c>
    </row>
    <row r="340" spans="1:16" s="274" customFormat="1" ht="31.5" x14ac:dyDescent="0.25">
      <c r="A340" s="265"/>
      <c r="B340" s="592" t="s">
        <v>1278</v>
      </c>
      <c r="C340" s="304">
        <v>12253</v>
      </c>
      <c r="D340" s="305">
        <v>2144</v>
      </c>
      <c r="E340" s="305"/>
      <c r="F340" s="306"/>
      <c r="G340" s="282"/>
      <c r="H340" s="284">
        <f t="shared" si="156"/>
        <v>14397</v>
      </c>
      <c r="I340" s="628"/>
      <c r="J340" s="303"/>
      <c r="K340" s="303"/>
      <c r="L340" s="284">
        <f t="shared" si="157"/>
        <v>0</v>
      </c>
      <c r="M340" s="284">
        <f t="shared" si="158"/>
        <v>14397</v>
      </c>
      <c r="N340" s="283"/>
      <c r="O340" s="284">
        <f t="shared" si="159"/>
        <v>14397</v>
      </c>
    </row>
    <row r="341" spans="1:16" s="274" customFormat="1" x14ac:dyDescent="0.25">
      <c r="A341" s="265"/>
      <c r="B341" s="592" t="s">
        <v>1236</v>
      </c>
      <c r="C341" s="287">
        <v>203</v>
      </c>
      <c r="D341" s="288">
        <v>36</v>
      </c>
      <c r="E341" s="288"/>
      <c r="F341" s="292"/>
      <c r="G341" s="268"/>
      <c r="H341" s="277">
        <f t="shared" si="156"/>
        <v>239</v>
      </c>
      <c r="I341" s="290"/>
      <c r="J341" s="269"/>
      <c r="K341" s="269"/>
      <c r="L341" s="277">
        <f t="shared" si="157"/>
        <v>0</v>
      </c>
      <c r="M341" s="278">
        <f t="shared" si="158"/>
        <v>239</v>
      </c>
      <c r="N341" s="273"/>
      <c r="O341" s="278">
        <f t="shared" si="159"/>
        <v>239</v>
      </c>
    </row>
    <row r="342" spans="1:16" s="274" customFormat="1" ht="47.25" x14ac:dyDescent="0.25">
      <c r="A342" s="265"/>
      <c r="B342" s="592" t="s">
        <v>1276</v>
      </c>
      <c r="C342" s="287">
        <v>1017</v>
      </c>
      <c r="D342" s="288">
        <v>178</v>
      </c>
      <c r="E342" s="288"/>
      <c r="F342" s="292"/>
      <c r="G342" s="268"/>
      <c r="H342" s="277">
        <f t="shared" si="156"/>
        <v>1195</v>
      </c>
      <c r="I342" s="290"/>
      <c r="J342" s="269"/>
      <c r="K342" s="269"/>
      <c r="L342" s="277">
        <f t="shared" si="157"/>
        <v>0</v>
      </c>
      <c r="M342" s="278">
        <f t="shared" si="158"/>
        <v>1195</v>
      </c>
      <c r="N342" s="273"/>
      <c r="O342" s="278">
        <f t="shared" si="159"/>
        <v>1195</v>
      </c>
    </row>
    <row r="343" spans="1:16" s="274" customFormat="1" ht="31.5" x14ac:dyDescent="0.25">
      <c r="A343" s="265"/>
      <c r="B343" s="592" t="s">
        <v>1051</v>
      </c>
      <c r="C343" s="287"/>
      <c r="D343" s="288"/>
      <c r="E343" s="288">
        <v>-5938</v>
      </c>
      <c r="F343" s="292"/>
      <c r="G343" s="268"/>
      <c r="H343" s="277">
        <f t="shared" si="156"/>
        <v>-5938</v>
      </c>
      <c r="I343" s="290">
        <v>5938</v>
      </c>
      <c r="J343" s="269"/>
      <c r="K343" s="269"/>
      <c r="L343" s="277">
        <f t="shared" si="157"/>
        <v>5938</v>
      </c>
      <c r="M343" s="278">
        <f t="shared" si="158"/>
        <v>0</v>
      </c>
      <c r="N343" s="273"/>
      <c r="O343" s="278">
        <f t="shared" si="159"/>
        <v>0</v>
      </c>
    </row>
    <row r="344" spans="1:16" s="274" customFormat="1" x14ac:dyDescent="0.25">
      <c r="A344" s="265"/>
      <c r="B344" s="266" t="s">
        <v>161</v>
      </c>
      <c r="C344" s="287"/>
      <c r="D344" s="288"/>
      <c r="E344" s="288"/>
      <c r="F344" s="292"/>
      <c r="G344" s="268"/>
      <c r="H344" s="277"/>
      <c r="I344" s="276"/>
      <c r="J344" s="269"/>
      <c r="K344" s="269"/>
      <c r="L344" s="277"/>
      <c r="M344" s="278"/>
      <c r="N344" s="273"/>
      <c r="O344" s="278"/>
    </row>
    <row r="345" spans="1:16" s="274" customFormat="1" x14ac:dyDescent="0.25">
      <c r="A345" s="265"/>
      <c r="B345" s="592" t="s">
        <v>1231</v>
      </c>
      <c r="C345" s="287">
        <v>1768</v>
      </c>
      <c r="D345" s="288">
        <v>575</v>
      </c>
      <c r="E345" s="288"/>
      <c r="F345" s="289"/>
      <c r="G345" s="268"/>
      <c r="H345" s="277">
        <f t="shared" si="156"/>
        <v>2343</v>
      </c>
      <c r="I345" s="276"/>
      <c r="J345" s="269"/>
      <c r="K345" s="269"/>
      <c r="L345" s="277">
        <f t="shared" si="157"/>
        <v>0</v>
      </c>
      <c r="M345" s="278">
        <f t="shared" si="158"/>
        <v>2343</v>
      </c>
      <c r="N345" s="273"/>
      <c r="O345" s="278">
        <f t="shared" si="159"/>
        <v>2343</v>
      </c>
    </row>
    <row r="346" spans="1:16" s="274" customFormat="1" ht="32.25" thickBot="1" x14ac:dyDescent="0.3">
      <c r="A346" s="265"/>
      <c r="B346" s="592" t="s">
        <v>1277</v>
      </c>
      <c r="C346" s="287">
        <v>293</v>
      </c>
      <c r="D346" s="288">
        <v>51</v>
      </c>
      <c r="E346" s="288"/>
      <c r="F346" s="289"/>
      <c r="G346" s="268"/>
      <c r="H346" s="277">
        <f t="shared" si="156"/>
        <v>344</v>
      </c>
      <c r="I346" s="276"/>
      <c r="J346" s="269"/>
      <c r="K346" s="269"/>
      <c r="L346" s="277">
        <f t="shared" si="157"/>
        <v>0</v>
      </c>
      <c r="M346" s="278">
        <f t="shared" si="158"/>
        <v>344</v>
      </c>
      <c r="N346" s="273"/>
      <c r="O346" s="278">
        <f t="shared" si="159"/>
        <v>344</v>
      </c>
    </row>
    <row r="347" spans="1:16" ht="17.25" thickTop="1" thickBot="1" x14ac:dyDescent="0.3">
      <c r="A347" s="275"/>
      <c r="B347" s="101" t="s">
        <v>1035</v>
      </c>
      <c r="C347" s="102">
        <f>+C335+C339+C340+C345+C341+C342+C346+C343</f>
        <v>248955</v>
      </c>
      <c r="D347" s="102">
        <f t="shared" ref="D347:O347" si="160">+D335+D339+D340+D345+D341+D342+D346+D343</f>
        <v>51864</v>
      </c>
      <c r="E347" s="102">
        <f t="shared" si="160"/>
        <v>204829</v>
      </c>
      <c r="F347" s="102">
        <f t="shared" si="160"/>
        <v>0</v>
      </c>
      <c r="G347" s="102">
        <f t="shared" si="160"/>
        <v>0</v>
      </c>
      <c r="H347" s="102">
        <f t="shared" si="160"/>
        <v>505648</v>
      </c>
      <c r="I347" s="102">
        <f t="shared" si="160"/>
        <v>10979</v>
      </c>
      <c r="J347" s="102">
        <f t="shared" si="160"/>
        <v>0</v>
      </c>
      <c r="K347" s="102">
        <f t="shared" si="160"/>
        <v>0</v>
      </c>
      <c r="L347" s="102">
        <f t="shared" si="160"/>
        <v>10979</v>
      </c>
      <c r="M347" s="102">
        <f t="shared" si="160"/>
        <v>516627</v>
      </c>
      <c r="N347" s="102">
        <f t="shared" si="160"/>
        <v>0</v>
      </c>
      <c r="O347" s="102">
        <f t="shared" si="160"/>
        <v>516627</v>
      </c>
      <c r="P347" s="254">
        <f>O348+O349</f>
        <v>516627</v>
      </c>
    </row>
    <row r="348" spans="1:16" ht="17.25" thickTop="1" thickBot="1" x14ac:dyDescent="0.3">
      <c r="A348" s="275"/>
      <c r="B348" s="101" t="s">
        <v>1036</v>
      </c>
      <c r="C348" s="102">
        <f>+C336+C339+C340+C341+C342+C343</f>
        <v>242917</v>
      </c>
      <c r="D348" s="102">
        <f t="shared" ref="D348:O348" si="161">+D336+D339+D340+D341+D342+D343</f>
        <v>49877</v>
      </c>
      <c r="E348" s="102">
        <f t="shared" si="161"/>
        <v>201810</v>
      </c>
      <c r="F348" s="102">
        <f t="shared" si="161"/>
        <v>0</v>
      </c>
      <c r="G348" s="102">
        <f t="shared" si="161"/>
        <v>0</v>
      </c>
      <c r="H348" s="102">
        <f t="shared" si="161"/>
        <v>494604</v>
      </c>
      <c r="I348" s="102">
        <f t="shared" si="161"/>
        <v>10979</v>
      </c>
      <c r="J348" s="102">
        <f t="shared" si="161"/>
        <v>0</v>
      </c>
      <c r="K348" s="102">
        <f t="shared" si="161"/>
        <v>0</v>
      </c>
      <c r="L348" s="102">
        <f t="shared" si="161"/>
        <v>10979</v>
      </c>
      <c r="M348" s="102">
        <f t="shared" si="161"/>
        <v>505583</v>
      </c>
      <c r="N348" s="102">
        <f t="shared" si="161"/>
        <v>0</v>
      </c>
      <c r="O348" s="102">
        <f t="shared" si="161"/>
        <v>505583</v>
      </c>
    </row>
    <row r="349" spans="1:16" ht="17.25" thickTop="1" thickBot="1" x14ac:dyDescent="0.3">
      <c r="A349" s="275"/>
      <c r="B349" s="101" t="s">
        <v>1037</v>
      </c>
      <c r="C349" s="102">
        <f>+C337+C345+C346</f>
        <v>6038</v>
      </c>
      <c r="D349" s="102">
        <f t="shared" ref="D349:O349" si="162">+D337+D345+D346</f>
        <v>1987</v>
      </c>
      <c r="E349" s="102">
        <f t="shared" si="162"/>
        <v>3019</v>
      </c>
      <c r="F349" s="102">
        <f t="shared" si="162"/>
        <v>0</v>
      </c>
      <c r="G349" s="102">
        <f t="shared" si="162"/>
        <v>0</v>
      </c>
      <c r="H349" s="102">
        <f t="shared" si="162"/>
        <v>11044</v>
      </c>
      <c r="I349" s="102">
        <f t="shared" si="162"/>
        <v>0</v>
      </c>
      <c r="J349" s="102">
        <f t="shared" si="162"/>
        <v>0</v>
      </c>
      <c r="K349" s="102">
        <f t="shared" si="162"/>
        <v>0</v>
      </c>
      <c r="L349" s="102">
        <f t="shared" si="162"/>
        <v>0</v>
      </c>
      <c r="M349" s="102">
        <f t="shared" si="162"/>
        <v>11044</v>
      </c>
      <c r="N349" s="102">
        <f t="shared" si="162"/>
        <v>0</v>
      </c>
      <c r="O349" s="102">
        <f t="shared" si="162"/>
        <v>11044</v>
      </c>
    </row>
    <row r="350" spans="1:16" ht="16.5" thickTop="1" x14ac:dyDescent="0.25">
      <c r="A350" s="264" t="s">
        <v>13</v>
      </c>
      <c r="B350" s="597" t="s">
        <v>407</v>
      </c>
      <c r="C350" s="607"/>
      <c r="D350" s="608"/>
      <c r="E350" s="608"/>
      <c r="F350" s="614"/>
      <c r="G350" s="608"/>
      <c r="H350" s="610"/>
      <c r="I350" s="611"/>
      <c r="J350" s="609"/>
      <c r="K350" s="609"/>
      <c r="L350" s="610"/>
      <c r="M350" s="610"/>
      <c r="N350" s="610"/>
      <c r="O350" s="610"/>
    </row>
    <row r="351" spans="1:16" x14ac:dyDescent="0.25">
      <c r="A351" s="264"/>
      <c r="B351" s="592" t="s">
        <v>998</v>
      </c>
      <c r="C351" s="607">
        <v>230415</v>
      </c>
      <c r="D351" s="608">
        <v>47749</v>
      </c>
      <c r="E351" s="608">
        <v>176439</v>
      </c>
      <c r="F351" s="614">
        <v>16082</v>
      </c>
      <c r="G351" s="608"/>
      <c r="H351" s="610">
        <f>SUM(C351:G351)</f>
        <v>470685</v>
      </c>
      <c r="I351" s="611">
        <v>2441</v>
      </c>
      <c r="J351" s="609"/>
      <c r="K351" s="609"/>
      <c r="L351" s="610">
        <f>SUM(I351:K351)</f>
        <v>2441</v>
      </c>
      <c r="M351" s="612">
        <f>SUM(H351+L351)</f>
        <v>473126</v>
      </c>
      <c r="N351" s="612"/>
      <c r="O351" s="612">
        <f>SUM(M351+N351)</f>
        <v>473126</v>
      </c>
    </row>
    <row r="352" spans="1:16" s="274" customFormat="1" x14ac:dyDescent="0.25">
      <c r="A352" s="265"/>
      <c r="B352" s="266" t="s">
        <v>1033</v>
      </c>
      <c r="C352" s="267">
        <v>227604</v>
      </c>
      <c r="D352" s="268">
        <v>46788</v>
      </c>
      <c r="E352" s="268">
        <v>175499</v>
      </c>
      <c r="F352" s="272">
        <v>16082</v>
      </c>
      <c r="G352" s="268"/>
      <c r="H352" s="270">
        <f>SUM(C352:G352)</f>
        <v>465973</v>
      </c>
      <c r="I352" s="276">
        <v>2441</v>
      </c>
      <c r="J352" s="269"/>
      <c r="K352" s="269"/>
      <c r="L352" s="270">
        <f>SUM(I352:K352)</f>
        <v>2441</v>
      </c>
      <c r="M352" s="273">
        <f>SUM(H352+L352)</f>
        <v>468414</v>
      </c>
      <c r="N352" s="273"/>
      <c r="O352" s="273">
        <f>SUM(M352+N352)</f>
        <v>468414</v>
      </c>
    </row>
    <row r="353" spans="1:16" s="274" customFormat="1" x14ac:dyDescent="0.25">
      <c r="A353" s="265"/>
      <c r="B353" s="266" t="s">
        <v>1034</v>
      </c>
      <c r="C353" s="267">
        <v>2811</v>
      </c>
      <c r="D353" s="268">
        <v>961</v>
      </c>
      <c r="E353" s="268">
        <v>940</v>
      </c>
      <c r="F353" s="272"/>
      <c r="G353" s="268"/>
      <c r="H353" s="270">
        <f>SUM(C353:G353)</f>
        <v>4712</v>
      </c>
      <c r="I353" s="276"/>
      <c r="J353" s="269"/>
      <c r="K353" s="269"/>
      <c r="L353" s="270">
        <f>SUM(I353:K353)</f>
        <v>0</v>
      </c>
      <c r="M353" s="273">
        <f>SUM(H353+L353)</f>
        <v>4712</v>
      </c>
      <c r="N353" s="273"/>
      <c r="O353" s="273">
        <f>SUM(M353+N353)</f>
        <v>4712</v>
      </c>
    </row>
    <row r="354" spans="1:16" s="274" customFormat="1" x14ac:dyDescent="0.25">
      <c r="A354" s="265"/>
      <c r="B354" s="266" t="s">
        <v>160</v>
      </c>
      <c r="C354" s="267"/>
      <c r="D354" s="268"/>
      <c r="E354" s="268"/>
      <c r="F354" s="272"/>
      <c r="G354" s="268"/>
      <c r="H354" s="270"/>
      <c r="I354" s="276"/>
      <c r="J354" s="269"/>
      <c r="K354" s="269"/>
      <c r="L354" s="270"/>
      <c r="M354" s="273"/>
      <c r="N354" s="273"/>
      <c r="O354" s="273"/>
    </row>
    <row r="355" spans="1:16" s="274" customFormat="1" x14ac:dyDescent="0.25">
      <c r="A355" s="265"/>
      <c r="B355" s="592" t="s">
        <v>1229</v>
      </c>
      <c r="C355" s="287">
        <v>117</v>
      </c>
      <c r="D355" s="288">
        <v>20</v>
      </c>
      <c r="E355" s="288"/>
      <c r="F355" s="292"/>
      <c r="G355" s="268"/>
      <c r="H355" s="277">
        <f t="shared" ref="H355:H359" si="163">SUM(C355:G355)</f>
        <v>137</v>
      </c>
      <c r="I355" s="276"/>
      <c r="J355" s="269"/>
      <c r="K355" s="269"/>
      <c r="L355" s="277">
        <f t="shared" ref="L355:L359" si="164">SUM(I355:K355)</f>
        <v>0</v>
      </c>
      <c r="M355" s="278">
        <f t="shared" ref="M355:M359" si="165">SUM(H355+L355)</f>
        <v>137</v>
      </c>
      <c r="N355" s="273"/>
      <c r="O355" s="278">
        <f t="shared" ref="O355:O359" si="166">SUM(M355+N355)</f>
        <v>137</v>
      </c>
    </row>
    <row r="356" spans="1:16" s="274" customFormat="1" ht="31.5" x14ac:dyDescent="0.25">
      <c r="A356" s="293"/>
      <c r="B356" s="592" t="s">
        <v>1278</v>
      </c>
      <c r="C356" s="287">
        <v>6252</v>
      </c>
      <c r="D356" s="288">
        <v>1094</v>
      </c>
      <c r="E356" s="288"/>
      <c r="F356" s="289"/>
      <c r="G356" s="268"/>
      <c r="H356" s="277">
        <f t="shared" si="163"/>
        <v>7346</v>
      </c>
      <c r="I356" s="276"/>
      <c r="J356" s="269"/>
      <c r="K356" s="269"/>
      <c r="L356" s="277">
        <f t="shared" si="164"/>
        <v>0</v>
      </c>
      <c r="M356" s="277">
        <f t="shared" si="165"/>
        <v>7346</v>
      </c>
      <c r="N356" s="270"/>
      <c r="O356" s="277">
        <f t="shared" si="166"/>
        <v>7346</v>
      </c>
    </row>
    <row r="357" spans="1:16" s="274" customFormat="1" x14ac:dyDescent="0.25">
      <c r="A357" s="265"/>
      <c r="B357" s="266" t="s">
        <v>161</v>
      </c>
      <c r="C357" s="287"/>
      <c r="D357" s="288"/>
      <c r="E357" s="288"/>
      <c r="F357" s="292"/>
      <c r="G357" s="268"/>
      <c r="H357" s="277"/>
      <c r="I357" s="276"/>
      <c r="J357" s="269"/>
      <c r="K357" s="269"/>
      <c r="L357" s="277"/>
      <c r="M357" s="278"/>
      <c r="N357" s="273"/>
      <c r="O357" s="278"/>
    </row>
    <row r="358" spans="1:16" s="274" customFormat="1" x14ac:dyDescent="0.25">
      <c r="A358" s="265"/>
      <c r="B358" s="594" t="s">
        <v>1231</v>
      </c>
      <c r="C358" s="287">
        <v>1332</v>
      </c>
      <c r="D358" s="288">
        <v>434</v>
      </c>
      <c r="E358" s="288"/>
      <c r="F358" s="292"/>
      <c r="G358" s="268"/>
      <c r="H358" s="277">
        <f t="shared" si="163"/>
        <v>1766</v>
      </c>
      <c r="I358" s="276"/>
      <c r="J358" s="269"/>
      <c r="K358" s="269"/>
      <c r="L358" s="277">
        <f t="shared" si="164"/>
        <v>0</v>
      </c>
      <c r="M358" s="278">
        <f t="shared" si="165"/>
        <v>1766</v>
      </c>
      <c r="N358" s="273"/>
      <c r="O358" s="278">
        <f t="shared" si="166"/>
        <v>1766</v>
      </c>
    </row>
    <row r="359" spans="1:16" s="274" customFormat="1" ht="32.25" thickBot="1" x14ac:dyDescent="0.3">
      <c r="A359" s="265"/>
      <c r="B359" s="592" t="s">
        <v>1277</v>
      </c>
      <c r="C359" s="287">
        <v>113</v>
      </c>
      <c r="D359" s="288">
        <v>20</v>
      </c>
      <c r="E359" s="288"/>
      <c r="F359" s="292"/>
      <c r="G359" s="268"/>
      <c r="H359" s="277">
        <f t="shared" si="163"/>
        <v>133</v>
      </c>
      <c r="I359" s="276"/>
      <c r="J359" s="269"/>
      <c r="K359" s="269"/>
      <c r="L359" s="277">
        <f t="shared" si="164"/>
        <v>0</v>
      </c>
      <c r="M359" s="278">
        <f t="shared" si="165"/>
        <v>133</v>
      </c>
      <c r="N359" s="273"/>
      <c r="O359" s="278">
        <f t="shared" si="166"/>
        <v>133</v>
      </c>
    </row>
    <row r="360" spans="1:16" ht="17.25" thickTop="1" thickBot="1" x14ac:dyDescent="0.3">
      <c r="A360" s="275"/>
      <c r="B360" s="101" t="s">
        <v>1035</v>
      </c>
      <c r="C360" s="102">
        <f>+C351+C355+C356+C358+C359</f>
        <v>238229</v>
      </c>
      <c r="D360" s="102">
        <f t="shared" ref="D360:O360" si="167">+D351+D355+D356+D358+D359</f>
        <v>49317</v>
      </c>
      <c r="E360" s="102">
        <f t="shared" si="167"/>
        <v>176439</v>
      </c>
      <c r="F360" s="102">
        <f t="shared" si="167"/>
        <v>16082</v>
      </c>
      <c r="G360" s="102">
        <f t="shared" si="167"/>
        <v>0</v>
      </c>
      <c r="H360" s="102">
        <f t="shared" si="167"/>
        <v>480067</v>
      </c>
      <c r="I360" s="102">
        <f t="shared" si="167"/>
        <v>2441</v>
      </c>
      <c r="J360" s="102">
        <f t="shared" si="167"/>
        <v>0</v>
      </c>
      <c r="K360" s="102">
        <f t="shared" si="167"/>
        <v>0</v>
      </c>
      <c r="L360" s="102">
        <f t="shared" si="167"/>
        <v>2441</v>
      </c>
      <c r="M360" s="102">
        <f t="shared" si="167"/>
        <v>482508</v>
      </c>
      <c r="N360" s="102">
        <f t="shared" si="167"/>
        <v>0</v>
      </c>
      <c r="O360" s="102">
        <f t="shared" si="167"/>
        <v>482508</v>
      </c>
      <c r="P360" s="254">
        <f>O361+O362</f>
        <v>482508</v>
      </c>
    </row>
    <row r="361" spans="1:16" ht="17.25" thickTop="1" thickBot="1" x14ac:dyDescent="0.3">
      <c r="A361" s="275"/>
      <c r="B361" s="101" t="s">
        <v>1036</v>
      </c>
      <c r="C361" s="102">
        <f>+C352+C355+C356</f>
        <v>233973</v>
      </c>
      <c r="D361" s="102">
        <f t="shared" ref="D361:O361" si="168">+D352+D355+D356</f>
        <v>47902</v>
      </c>
      <c r="E361" s="102">
        <f t="shared" si="168"/>
        <v>175499</v>
      </c>
      <c r="F361" s="102">
        <f t="shared" si="168"/>
        <v>16082</v>
      </c>
      <c r="G361" s="102">
        <f t="shared" si="168"/>
        <v>0</v>
      </c>
      <c r="H361" s="102">
        <f t="shared" si="168"/>
        <v>473456</v>
      </c>
      <c r="I361" s="102">
        <f t="shared" si="168"/>
        <v>2441</v>
      </c>
      <c r="J361" s="102">
        <f t="shared" si="168"/>
        <v>0</v>
      </c>
      <c r="K361" s="102">
        <f t="shared" si="168"/>
        <v>0</v>
      </c>
      <c r="L361" s="102">
        <f t="shared" si="168"/>
        <v>2441</v>
      </c>
      <c r="M361" s="102">
        <f t="shared" si="168"/>
        <v>475897</v>
      </c>
      <c r="N361" s="102">
        <f t="shared" si="168"/>
        <v>0</v>
      </c>
      <c r="O361" s="102">
        <f t="shared" si="168"/>
        <v>475897</v>
      </c>
    </row>
    <row r="362" spans="1:16" ht="17.25" thickTop="1" thickBot="1" x14ac:dyDescent="0.3">
      <c r="A362" s="275"/>
      <c r="B362" s="101" t="s">
        <v>1037</v>
      </c>
      <c r="C362" s="102">
        <f>+C353+C358+C359</f>
        <v>4256</v>
      </c>
      <c r="D362" s="102">
        <f t="shared" ref="D362:O362" si="169">+D353+D358+D359</f>
        <v>1415</v>
      </c>
      <c r="E362" s="102">
        <f t="shared" si="169"/>
        <v>940</v>
      </c>
      <c r="F362" s="102">
        <f t="shared" si="169"/>
        <v>0</v>
      </c>
      <c r="G362" s="102">
        <f t="shared" si="169"/>
        <v>0</v>
      </c>
      <c r="H362" s="102">
        <f t="shared" si="169"/>
        <v>6611</v>
      </c>
      <c r="I362" s="102">
        <f t="shared" si="169"/>
        <v>0</v>
      </c>
      <c r="J362" s="102">
        <f t="shared" si="169"/>
        <v>0</v>
      </c>
      <c r="K362" s="102">
        <f t="shared" si="169"/>
        <v>0</v>
      </c>
      <c r="L362" s="102">
        <f t="shared" si="169"/>
        <v>0</v>
      </c>
      <c r="M362" s="102">
        <f t="shared" si="169"/>
        <v>6611</v>
      </c>
      <c r="N362" s="102">
        <f t="shared" si="169"/>
        <v>0</v>
      </c>
      <c r="O362" s="102">
        <f t="shared" si="169"/>
        <v>6611</v>
      </c>
    </row>
    <row r="363" spans="1:16" ht="17.25" thickTop="1" thickBot="1" x14ac:dyDescent="0.3">
      <c r="A363" s="275"/>
      <c r="B363" s="101" t="s">
        <v>408</v>
      </c>
      <c r="C363" s="102">
        <f t="shared" ref="C363:O363" si="170">SUM(C331+C347+C360)</f>
        <v>1248346</v>
      </c>
      <c r="D363" s="102">
        <f t="shared" si="170"/>
        <v>259355</v>
      </c>
      <c r="E363" s="102">
        <f t="shared" si="170"/>
        <v>857969</v>
      </c>
      <c r="F363" s="102">
        <f t="shared" si="170"/>
        <v>16116</v>
      </c>
      <c r="G363" s="102">
        <f t="shared" si="170"/>
        <v>0</v>
      </c>
      <c r="H363" s="102">
        <f t="shared" si="170"/>
        <v>2381786</v>
      </c>
      <c r="I363" s="102">
        <f t="shared" si="170"/>
        <v>30616</v>
      </c>
      <c r="J363" s="102">
        <f t="shared" si="170"/>
        <v>0</v>
      </c>
      <c r="K363" s="102">
        <f t="shared" si="170"/>
        <v>0</v>
      </c>
      <c r="L363" s="102">
        <f t="shared" si="170"/>
        <v>30616</v>
      </c>
      <c r="M363" s="102">
        <f t="shared" si="170"/>
        <v>2412402</v>
      </c>
      <c r="N363" s="102">
        <f t="shared" si="170"/>
        <v>0</v>
      </c>
      <c r="O363" s="102">
        <f t="shared" si="170"/>
        <v>2412402</v>
      </c>
    </row>
    <row r="364" spans="1:16" ht="16.5" thickTop="1" x14ac:dyDescent="0.25">
      <c r="A364" s="294" t="s">
        <v>14</v>
      </c>
      <c r="B364" s="296" t="s">
        <v>409</v>
      </c>
      <c r="C364" s="297"/>
      <c r="D364" s="298"/>
      <c r="E364" s="298"/>
      <c r="F364" s="299"/>
      <c r="G364" s="298"/>
      <c r="H364" s="300"/>
      <c r="I364" s="301"/>
      <c r="J364" s="298"/>
      <c r="K364" s="299"/>
      <c r="L364" s="300"/>
      <c r="M364" s="300"/>
      <c r="N364" s="300"/>
      <c r="O364" s="300"/>
    </row>
    <row r="365" spans="1:16" x14ac:dyDescent="0.25">
      <c r="A365" s="264"/>
      <c r="B365" s="629" t="s">
        <v>998</v>
      </c>
      <c r="C365" s="616">
        <v>246772</v>
      </c>
      <c r="D365" s="617">
        <v>50756</v>
      </c>
      <c r="E365" s="617">
        <v>1232096</v>
      </c>
      <c r="F365" s="617"/>
      <c r="G365" s="617"/>
      <c r="H365" s="610">
        <f>SUM(C365:G365)</f>
        <v>1529624</v>
      </c>
      <c r="I365" s="611">
        <v>2191</v>
      </c>
      <c r="J365" s="609"/>
      <c r="K365" s="609"/>
      <c r="L365" s="610">
        <f>SUM(I365:K365)</f>
        <v>2191</v>
      </c>
      <c r="M365" s="612">
        <f>SUM(H365+L365)</f>
        <v>1531815</v>
      </c>
      <c r="N365" s="612"/>
      <c r="O365" s="612">
        <f>SUM(M365+N365)</f>
        <v>1531815</v>
      </c>
    </row>
    <row r="366" spans="1:16" s="274" customFormat="1" x14ac:dyDescent="0.25">
      <c r="A366" s="265"/>
      <c r="B366" s="266" t="s">
        <v>1033</v>
      </c>
      <c r="C366" s="281">
        <v>242921</v>
      </c>
      <c r="D366" s="282">
        <v>49439</v>
      </c>
      <c r="E366" s="282">
        <v>1231986</v>
      </c>
      <c r="F366" s="282"/>
      <c r="G366" s="282"/>
      <c r="H366" s="270">
        <f>SUM(C366:G366)</f>
        <v>1524346</v>
      </c>
      <c r="I366" s="276">
        <v>2191</v>
      </c>
      <c r="J366" s="269"/>
      <c r="K366" s="269"/>
      <c r="L366" s="270">
        <f>SUM(I366:K366)</f>
        <v>2191</v>
      </c>
      <c r="M366" s="273">
        <f>SUM(H366+L366)</f>
        <v>1526537</v>
      </c>
      <c r="N366" s="273"/>
      <c r="O366" s="273">
        <f>SUM(M366+N366)</f>
        <v>1526537</v>
      </c>
    </row>
    <row r="367" spans="1:16" s="274" customFormat="1" x14ac:dyDescent="0.25">
      <c r="A367" s="265"/>
      <c r="B367" s="266" t="s">
        <v>1034</v>
      </c>
      <c r="C367" s="281">
        <v>3851</v>
      </c>
      <c r="D367" s="282">
        <v>1317</v>
      </c>
      <c r="E367" s="282">
        <v>110</v>
      </c>
      <c r="F367" s="302"/>
      <c r="G367" s="282"/>
      <c r="H367" s="270">
        <f>SUM(C367:G367)</f>
        <v>5278</v>
      </c>
      <c r="I367" s="276"/>
      <c r="J367" s="269"/>
      <c r="K367" s="269"/>
      <c r="L367" s="270">
        <f>SUM(I367:K367)</f>
        <v>0</v>
      </c>
      <c r="M367" s="273">
        <f>SUM(H367+L367)</f>
        <v>5278</v>
      </c>
      <c r="N367" s="273"/>
      <c r="O367" s="273">
        <f>SUM(M367+N367)</f>
        <v>5278</v>
      </c>
    </row>
    <row r="368" spans="1:16" x14ac:dyDescent="0.25">
      <c r="A368" s="264"/>
      <c r="B368" s="266" t="s">
        <v>160</v>
      </c>
      <c r="C368" s="607"/>
      <c r="D368" s="608"/>
      <c r="E368" s="608"/>
      <c r="F368" s="609"/>
      <c r="G368" s="608"/>
      <c r="H368" s="610"/>
      <c r="I368" s="611"/>
      <c r="J368" s="609"/>
      <c r="K368" s="609"/>
      <c r="L368" s="610"/>
      <c r="M368" s="612"/>
      <c r="N368" s="612"/>
      <c r="O368" s="612"/>
    </row>
    <row r="369" spans="1:16" x14ac:dyDescent="0.25">
      <c r="A369" s="264"/>
      <c r="B369" s="592" t="s">
        <v>1229</v>
      </c>
      <c r="C369" s="631">
        <v>148</v>
      </c>
      <c r="D369" s="632">
        <v>26</v>
      </c>
      <c r="E369" s="608"/>
      <c r="F369" s="614"/>
      <c r="G369" s="632"/>
      <c r="H369" s="610">
        <f t="shared" ref="H369:H374" si="171">SUM(C369:G369)</f>
        <v>174</v>
      </c>
      <c r="I369" s="611"/>
      <c r="J369" s="609"/>
      <c r="K369" s="609"/>
      <c r="L369" s="610">
        <f t="shared" ref="L369:L374" si="172">SUM(I369:K369)</f>
        <v>0</v>
      </c>
      <c r="M369" s="612">
        <f t="shared" ref="M369:M374" si="173">SUM(H369+L369)</f>
        <v>174</v>
      </c>
      <c r="N369" s="612"/>
      <c r="O369" s="612">
        <f t="shared" ref="O369:O374" si="174">SUM(M369+N369)</f>
        <v>174</v>
      </c>
    </row>
    <row r="370" spans="1:16" ht="31.5" x14ac:dyDescent="0.25">
      <c r="A370" s="264"/>
      <c r="B370" s="592" t="s">
        <v>1250</v>
      </c>
      <c r="C370" s="631">
        <v>1900</v>
      </c>
      <c r="D370" s="632">
        <v>299</v>
      </c>
      <c r="E370" s="608"/>
      <c r="F370" s="614"/>
      <c r="G370" s="632"/>
      <c r="H370" s="610">
        <f t="shared" si="171"/>
        <v>2199</v>
      </c>
      <c r="I370" s="611"/>
      <c r="J370" s="609"/>
      <c r="K370" s="609"/>
      <c r="L370" s="610">
        <f t="shared" si="172"/>
        <v>0</v>
      </c>
      <c r="M370" s="612">
        <f t="shared" si="173"/>
        <v>2199</v>
      </c>
      <c r="N370" s="612"/>
      <c r="O370" s="612">
        <f t="shared" si="174"/>
        <v>2199</v>
      </c>
    </row>
    <row r="371" spans="1:16" ht="31.5" x14ac:dyDescent="0.25">
      <c r="A371" s="264"/>
      <c r="B371" s="592" t="s">
        <v>1051</v>
      </c>
      <c r="C371" s="631"/>
      <c r="D371" s="632"/>
      <c r="E371" s="608">
        <v>-473</v>
      </c>
      <c r="F371" s="614"/>
      <c r="G371" s="632"/>
      <c r="H371" s="610">
        <f t="shared" si="171"/>
        <v>-473</v>
      </c>
      <c r="I371" s="611">
        <v>473</v>
      </c>
      <c r="J371" s="609"/>
      <c r="K371" s="609"/>
      <c r="L371" s="610">
        <f t="shared" si="172"/>
        <v>473</v>
      </c>
      <c r="M371" s="612">
        <f t="shared" si="173"/>
        <v>0</v>
      </c>
      <c r="N371" s="612"/>
      <c r="O371" s="612">
        <f t="shared" si="174"/>
        <v>0</v>
      </c>
    </row>
    <row r="372" spans="1:16" x14ac:dyDescent="0.25">
      <c r="A372" s="264"/>
      <c r="B372" s="228" t="s">
        <v>161</v>
      </c>
      <c r="C372" s="631"/>
      <c r="D372" s="632"/>
      <c r="E372" s="608"/>
      <c r="F372" s="614"/>
      <c r="G372" s="632"/>
      <c r="H372" s="610"/>
      <c r="I372" s="611"/>
      <c r="J372" s="609"/>
      <c r="K372" s="609"/>
      <c r="L372" s="610"/>
      <c r="M372" s="612"/>
      <c r="N372" s="612"/>
      <c r="O372" s="612"/>
    </row>
    <row r="373" spans="1:16" x14ac:dyDescent="0.25">
      <c r="A373" s="264"/>
      <c r="B373" s="592" t="s">
        <v>1231</v>
      </c>
      <c r="C373" s="631">
        <v>1701</v>
      </c>
      <c r="D373" s="632">
        <v>552</v>
      </c>
      <c r="E373" s="608"/>
      <c r="F373" s="614"/>
      <c r="G373" s="632"/>
      <c r="H373" s="610">
        <f t="shared" si="171"/>
        <v>2253</v>
      </c>
      <c r="I373" s="611"/>
      <c r="J373" s="609"/>
      <c r="K373" s="609"/>
      <c r="L373" s="610">
        <f t="shared" si="172"/>
        <v>0</v>
      </c>
      <c r="M373" s="612">
        <f t="shared" si="173"/>
        <v>2253</v>
      </c>
      <c r="N373" s="612"/>
      <c r="O373" s="612">
        <f t="shared" si="174"/>
        <v>2253</v>
      </c>
    </row>
    <row r="374" spans="1:16" ht="32.25" thickBot="1" x14ac:dyDescent="0.3">
      <c r="A374" s="264"/>
      <c r="B374" s="592" t="s">
        <v>1277</v>
      </c>
      <c r="C374" s="631">
        <v>45</v>
      </c>
      <c r="D374" s="632">
        <v>8</v>
      </c>
      <c r="E374" s="608"/>
      <c r="F374" s="614"/>
      <c r="G374" s="632"/>
      <c r="H374" s="610">
        <f t="shared" si="171"/>
        <v>53</v>
      </c>
      <c r="I374" s="611"/>
      <c r="J374" s="609"/>
      <c r="K374" s="609"/>
      <c r="L374" s="610">
        <f t="shared" si="172"/>
        <v>0</v>
      </c>
      <c r="M374" s="612">
        <f t="shared" si="173"/>
        <v>53</v>
      </c>
      <c r="N374" s="612"/>
      <c r="O374" s="612">
        <f t="shared" si="174"/>
        <v>53</v>
      </c>
    </row>
    <row r="375" spans="1:16" ht="17.25" thickTop="1" thickBot="1" x14ac:dyDescent="0.3">
      <c r="A375" s="275"/>
      <c r="B375" s="101" t="s">
        <v>1035</v>
      </c>
      <c r="C375" s="102">
        <f>+C365+C369+C370+C371+C373+C374</f>
        <v>250566</v>
      </c>
      <c r="D375" s="102">
        <f t="shared" ref="D375:O375" si="175">+D365+D369+D370+D371+D373+D374</f>
        <v>51641</v>
      </c>
      <c r="E375" s="102">
        <f t="shared" si="175"/>
        <v>1231623</v>
      </c>
      <c r="F375" s="102">
        <f t="shared" si="175"/>
        <v>0</v>
      </c>
      <c r="G375" s="102">
        <f t="shared" si="175"/>
        <v>0</v>
      </c>
      <c r="H375" s="102">
        <f t="shared" si="175"/>
        <v>1533830</v>
      </c>
      <c r="I375" s="102">
        <f t="shared" si="175"/>
        <v>2664</v>
      </c>
      <c r="J375" s="102">
        <f t="shared" si="175"/>
        <v>0</v>
      </c>
      <c r="K375" s="102">
        <f t="shared" si="175"/>
        <v>0</v>
      </c>
      <c r="L375" s="102">
        <f t="shared" si="175"/>
        <v>2664</v>
      </c>
      <c r="M375" s="102">
        <f t="shared" si="175"/>
        <v>1536494</v>
      </c>
      <c r="N375" s="102">
        <f t="shared" si="175"/>
        <v>0</v>
      </c>
      <c r="O375" s="102">
        <f t="shared" si="175"/>
        <v>1536494</v>
      </c>
      <c r="P375" s="254">
        <f>O376+O377</f>
        <v>1536494</v>
      </c>
    </row>
    <row r="376" spans="1:16" ht="17.25" thickTop="1" thickBot="1" x14ac:dyDescent="0.3">
      <c r="A376" s="275"/>
      <c r="B376" s="101" t="s">
        <v>1036</v>
      </c>
      <c r="C376" s="102">
        <f>++C366+C369+C370+C371</f>
        <v>244969</v>
      </c>
      <c r="D376" s="102">
        <f t="shared" ref="D376:O376" si="176">++D366+D369+D370+D371</f>
        <v>49764</v>
      </c>
      <c r="E376" s="102">
        <f t="shared" si="176"/>
        <v>1231513</v>
      </c>
      <c r="F376" s="102">
        <f t="shared" si="176"/>
        <v>0</v>
      </c>
      <c r="G376" s="102">
        <f t="shared" si="176"/>
        <v>0</v>
      </c>
      <c r="H376" s="102">
        <f t="shared" si="176"/>
        <v>1526246</v>
      </c>
      <c r="I376" s="102">
        <f t="shared" si="176"/>
        <v>2664</v>
      </c>
      <c r="J376" s="102">
        <f t="shared" si="176"/>
        <v>0</v>
      </c>
      <c r="K376" s="102">
        <f t="shared" si="176"/>
        <v>0</v>
      </c>
      <c r="L376" s="102">
        <f t="shared" si="176"/>
        <v>2664</v>
      </c>
      <c r="M376" s="102">
        <f t="shared" si="176"/>
        <v>1528910</v>
      </c>
      <c r="N376" s="102">
        <f t="shared" si="176"/>
        <v>0</v>
      </c>
      <c r="O376" s="102">
        <f t="shared" si="176"/>
        <v>1528910</v>
      </c>
    </row>
    <row r="377" spans="1:16" ht="17.25" thickTop="1" thickBot="1" x14ac:dyDescent="0.3">
      <c r="A377" s="275"/>
      <c r="B377" s="101" t="s">
        <v>1037</v>
      </c>
      <c r="C377" s="102">
        <f t="shared" ref="C377:O377" si="177">+C367+C373+C374</f>
        <v>5597</v>
      </c>
      <c r="D377" s="102">
        <f t="shared" si="177"/>
        <v>1877</v>
      </c>
      <c r="E377" s="102">
        <f t="shared" si="177"/>
        <v>110</v>
      </c>
      <c r="F377" s="102">
        <f t="shared" si="177"/>
        <v>0</v>
      </c>
      <c r="G377" s="102">
        <f t="shared" si="177"/>
        <v>0</v>
      </c>
      <c r="H377" s="102">
        <f t="shared" si="177"/>
        <v>7584</v>
      </c>
      <c r="I377" s="102">
        <f t="shared" si="177"/>
        <v>0</v>
      </c>
      <c r="J377" s="102">
        <f t="shared" si="177"/>
        <v>0</v>
      </c>
      <c r="K377" s="102">
        <f t="shared" si="177"/>
        <v>0</v>
      </c>
      <c r="L377" s="102">
        <f t="shared" si="177"/>
        <v>0</v>
      </c>
      <c r="M377" s="102">
        <f t="shared" si="177"/>
        <v>7584</v>
      </c>
      <c r="N377" s="102">
        <f t="shared" si="177"/>
        <v>0</v>
      </c>
      <c r="O377" s="102">
        <f t="shared" si="177"/>
        <v>7584</v>
      </c>
    </row>
    <row r="378" spans="1:16" ht="16.5" thickTop="1" x14ac:dyDescent="0.25">
      <c r="A378" s="294" t="s">
        <v>15</v>
      </c>
      <c r="B378" s="621" t="s">
        <v>410</v>
      </c>
      <c r="C378" s="622"/>
      <c r="D378" s="623"/>
      <c r="E378" s="623"/>
      <c r="F378" s="624"/>
      <c r="G378" s="623"/>
      <c r="H378" s="625"/>
      <c r="I378" s="626"/>
      <c r="J378" s="624"/>
      <c r="K378" s="624"/>
      <c r="L378" s="625"/>
      <c r="M378" s="625"/>
      <c r="N378" s="625"/>
      <c r="O378" s="625"/>
    </row>
    <row r="379" spans="1:16" x14ac:dyDescent="0.25">
      <c r="A379" s="264"/>
      <c r="B379" s="592" t="s">
        <v>998</v>
      </c>
      <c r="C379" s="616">
        <v>44612</v>
      </c>
      <c r="D379" s="617">
        <v>8734</v>
      </c>
      <c r="E379" s="608">
        <v>39776</v>
      </c>
      <c r="F379" s="619"/>
      <c r="G379" s="617"/>
      <c r="H379" s="610">
        <f>SUM(C379:G379)</f>
        <v>93122</v>
      </c>
      <c r="I379" s="611">
        <v>312</v>
      </c>
      <c r="J379" s="609"/>
      <c r="K379" s="609"/>
      <c r="L379" s="610">
        <f>SUM(I379:K379)</f>
        <v>312</v>
      </c>
      <c r="M379" s="612">
        <f>SUM(H379+L379)</f>
        <v>93434</v>
      </c>
      <c r="N379" s="612"/>
      <c r="O379" s="612">
        <f>SUM(M379+N379)</f>
        <v>93434</v>
      </c>
    </row>
    <row r="380" spans="1:16" s="274" customFormat="1" x14ac:dyDescent="0.25">
      <c r="A380" s="265"/>
      <c r="B380" s="266" t="s">
        <v>1046</v>
      </c>
      <c r="C380" s="281">
        <v>44612</v>
      </c>
      <c r="D380" s="282">
        <v>8734</v>
      </c>
      <c r="E380" s="268">
        <v>39776</v>
      </c>
      <c r="F380" s="303"/>
      <c r="G380" s="282"/>
      <c r="H380" s="270">
        <f>SUM(C380:G380)</f>
        <v>93122</v>
      </c>
      <c r="I380" s="276">
        <v>312</v>
      </c>
      <c r="J380" s="269"/>
      <c r="K380" s="269"/>
      <c r="L380" s="270">
        <f>SUM(I380:K380)</f>
        <v>312</v>
      </c>
      <c r="M380" s="273">
        <f>SUM(H380+L380)</f>
        <v>93434</v>
      </c>
      <c r="N380" s="273"/>
      <c r="O380" s="273">
        <f>SUM(M380+N380)</f>
        <v>93434</v>
      </c>
    </row>
    <row r="381" spans="1:16" s="274" customFormat="1" x14ac:dyDescent="0.25">
      <c r="A381" s="265"/>
      <c r="B381" s="266" t="s">
        <v>161</v>
      </c>
      <c r="C381" s="281"/>
      <c r="D381" s="282"/>
      <c r="E381" s="268"/>
      <c r="F381" s="303"/>
      <c r="G381" s="282"/>
      <c r="H381" s="270"/>
      <c r="I381" s="276"/>
      <c r="J381" s="269"/>
      <c r="K381" s="269"/>
      <c r="L381" s="270"/>
      <c r="M381" s="273"/>
      <c r="N381" s="273"/>
      <c r="O381" s="273"/>
    </row>
    <row r="382" spans="1:16" s="274" customFormat="1" ht="31.5" x14ac:dyDescent="0.25">
      <c r="A382" s="265"/>
      <c r="B382" s="592" t="s">
        <v>1290</v>
      </c>
      <c r="C382" s="304">
        <v>819</v>
      </c>
      <c r="D382" s="305">
        <v>143</v>
      </c>
      <c r="E382" s="288"/>
      <c r="F382" s="306"/>
      <c r="G382" s="305"/>
      <c r="H382" s="277">
        <f t="shared" ref="H382:H384" si="178">SUM(C382:G382)</f>
        <v>962</v>
      </c>
      <c r="I382" s="290"/>
      <c r="J382" s="289"/>
      <c r="K382" s="289"/>
      <c r="L382" s="277">
        <f t="shared" ref="L382:L384" si="179">SUM(I382:K382)</f>
        <v>0</v>
      </c>
      <c r="M382" s="278">
        <f t="shared" ref="M382:M384" si="180">SUM(H382+L382)</f>
        <v>962</v>
      </c>
      <c r="N382" s="278"/>
      <c r="O382" s="278">
        <f t="shared" ref="O382:O384" si="181">SUM(M382+N382)</f>
        <v>962</v>
      </c>
    </row>
    <row r="383" spans="1:16" s="274" customFormat="1" x14ac:dyDescent="0.25">
      <c r="A383" s="265"/>
      <c r="B383" s="594" t="s">
        <v>1231</v>
      </c>
      <c r="C383" s="304">
        <v>306</v>
      </c>
      <c r="D383" s="305">
        <v>99</v>
      </c>
      <c r="E383" s="288"/>
      <c r="F383" s="306"/>
      <c r="G383" s="305"/>
      <c r="H383" s="277">
        <f t="shared" si="178"/>
        <v>405</v>
      </c>
      <c r="I383" s="290"/>
      <c r="J383" s="289"/>
      <c r="K383" s="289"/>
      <c r="L383" s="277">
        <f t="shared" si="179"/>
        <v>0</v>
      </c>
      <c r="M383" s="278">
        <f t="shared" si="180"/>
        <v>405</v>
      </c>
      <c r="N383" s="278"/>
      <c r="O383" s="278">
        <f t="shared" si="181"/>
        <v>405</v>
      </c>
    </row>
    <row r="384" spans="1:16" s="274" customFormat="1" ht="32.25" thickBot="1" x14ac:dyDescent="0.3">
      <c r="A384" s="265"/>
      <c r="B384" s="592" t="s">
        <v>1051</v>
      </c>
      <c r="C384" s="304"/>
      <c r="D384" s="305"/>
      <c r="E384" s="288">
        <v>-1429</v>
      </c>
      <c r="F384" s="306"/>
      <c r="G384" s="305"/>
      <c r="H384" s="277">
        <f t="shared" si="178"/>
        <v>-1429</v>
      </c>
      <c r="I384" s="290">
        <v>1429</v>
      </c>
      <c r="J384" s="289"/>
      <c r="K384" s="289"/>
      <c r="L384" s="277">
        <f t="shared" si="179"/>
        <v>1429</v>
      </c>
      <c r="M384" s="278">
        <f t="shared" si="180"/>
        <v>0</v>
      </c>
      <c r="N384" s="278"/>
      <c r="O384" s="278">
        <f t="shared" si="181"/>
        <v>0</v>
      </c>
    </row>
    <row r="385" spans="1:16" ht="17.25" thickTop="1" thickBot="1" x14ac:dyDescent="0.3">
      <c r="A385" s="275"/>
      <c r="B385" s="307" t="s">
        <v>1035</v>
      </c>
      <c r="C385" s="103">
        <f>+C379+C382+C383+C384</f>
        <v>45737</v>
      </c>
      <c r="D385" s="103">
        <f t="shared" ref="D385:O385" si="182">+D379+D382+D383+D384</f>
        <v>8976</v>
      </c>
      <c r="E385" s="103">
        <f t="shared" si="182"/>
        <v>38347</v>
      </c>
      <c r="F385" s="103">
        <f t="shared" si="182"/>
        <v>0</v>
      </c>
      <c r="G385" s="103">
        <f t="shared" si="182"/>
        <v>0</v>
      </c>
      <c r="H385" s="103">
        <f t="shared" si="182"/>
        <v>93060</v>
      </c>
      <c r="I385" s="103">
        <f t="shared" si="182"/>
        <v>1741</v>
      </c>
      <c r="J385" s="103">
        <f t="shared" si="182"/>
        <v>0</v>
      </c>
      <c r="K385" s="103">
        <f t="shared" si="182"/>
        <v>0</v>
      </c>
      <c r="L385" s="103">
        <f t="shared" si="182"/>
        <v>1741</v>
      </c>
      <c r="M385" s="103">
        <f t="shared" si="182"/>
        <v>94801</v>
      </c>
      <c r="N385" s="103">
        <f t="shared" si="182"/>
        <v>0</v>
      </c>
      <c r="O385" s="103">
        <f t="shared" si="182"/>
        <v>94801</v>
      </c>
    </row>
    <row r="386" spans="1:16" ht="17.25" thickTop="1" thickBot="1" x14ac:dyDescent="0.3">
      <c r="A386" s="275"/>
      <c r="B386" s="101" t="s">
        <v>1047</v>
      </c>
      <c r="C386" s="102">
        <f>+C380+C382+C383+C384</f>
        <v>45737</v>
      </c>
      <c r="D386" s="102">
        <f t="shared" ref="D386:O386" si="183">+D380+D382+D383+D384</f>
        <v>8976</v>
      </c>
      <c r="E386" s="102">
        <f t="shared" si="183"/>
        <v>38347</v>
      </c>
      <c r="F386" s="102">
        <f t="shared" si="183"/>
        <v>0</v>
      </c>
      <c r="G386" s="102">
        <f t="shared" si="183"/>
        <v>0</v>
      </c>
      <c r="H386" s="102">
        <f t="shared" si="183"/>
        <v>93060</v>
      </c>
      <c r="I386" s="102">
        <f t="shared" si="183"/>
        <v>1741</v>
      </c>
      <c r="J386" s="102">
        <f t="shared" si="183"/>
        <v>0</v>
      </c>
      <c r="K386" s="102">
        <f t="shared" si="183"/>
        <v>0</v>
      </c>
      <c r="L386" s="102">
        <f t="shared" si="183"/>
        <v>1741</v>
      </c>
      <c r="M386" s="102">
        <f t="shared" si="183"/>
        <v>94801</v>
      </c>
      <c r="N386" s="102">
        <f t="shared" si="183"/>
        <v>0</v>
      </c>
      <c r="O386" s="102">
        <f t="shared" si="183"/>
        <v>94801</v>
      </c>
    </row>
    <row r="387" spans="1:16" ht="15.75" customHeight="1" thickTop="1" x14ac:dyDescent="0.25">
      <c r="A387" s="264" t="s">
        <v>16</v>
      </c>
      <c r="B387" s="615" t="s">
        <v>258</v>
      </c>
      <c r="C387" s="616"/>
      <c r="D387" s="617"/>
      <c r="E387" s="608"/>
      <c r="F387" s="619"/>
      <c r="G387" s="617"/>
      <c r="H387" s="610"/>
      <c r="I387" s="618"/>
      <c r="J387" s="619"/>
      <c r="K387" s="619"/>
      <c r="L387" s="610"/>
      <c r="M387" s="620"/>
      <c r="N387" s="620"/>
      <c r="O387" s="620"/>
    </row>
    <row r="388" spans="1:16" x14ac:dyDescent="0.25">
      <c r="A388" s="264"/>
      <c r="B388" s="592" t="s">
        <v>998</v>
      </c>
      <c r="C388" s="616">
        <v>265948</v>
      </c>
      <c r="D388" s="617">
        <v>57141</v>
      </c>
      <c r="E388" s="608">
        <v>176902</v>
      </c>
      <c r="F388" s="619"/>
      <c r="G388" s="617"/>
      <c r="H388" s="610">
        <f>SUM(C388:G388)</f>
        <v>499991</v>
      </c>
      <c r="I388" s="611">
        <v>16917</v>
      </c>
      <c r="J388" s="609"/>
      <c r="K388" s="633"/>
      <c r="L388" s="610">
        <f>SUM(I388:K388)</f>
        <v>16917</v>
      </c>
      <c r="M388" s="612">
        <f>SUM(H388+L388)</f>
        <v>516908</v>
      </c>
      <c r="N388" s="612"/>
      <c r="O388" s="612">
        <f>SUM(M388+N388)</f>
        <v>516908</v>
      </c>
    </row>
    <row r="389" spans="1:16" s="274" customFormat="1" x14ac:dyDescent="0.25">
      <c r="A389" s="265"/>
      <c r="B389" s="266" t="s">
        <v>1033</v>
      </c>
      <c r="C389" s="281">
        <v>260630</v>
      </c>
      <c r="D389" s="282">
        <v>55323</v>
      </c>
      <c r="E389" s="268">
        <v>168533</v>
      </c>
      <c r="F389" s="303"/>
      <c r="G389" s="308"/>
      <c r="H389" s="309">
        <f>SUM(C389:G389)</f>
        <v>484486</v>
      </c>
      <c r="I389" s="276">
        <v>16917</v>
      </c>
      <c r="J389" s="269"/>
      <c r="K389" s="308"/>
      <c r="L389" s="270">
        <f>SUM(I389:K389)</f>
        <v>16917</v>
      </c>
      <c r="M389" s="273">
        <f>SUM(H389+L389)</f>
        <v>501403</v>
      </c>
      <c r="N389" s="273"/>
      <c r="O389" s="273">
        <f>SUM(M389+N389)</f>
        <v>501403</v>
      </c>
    </row>
    <row r="390" spans="1:16" s="274" customFormat="1" x14ac:dyDescent="0.25">
      <c r="A390" s="265"/>
      <c r="B390" s="266" t="s">
        <v>1034</v>
      </c>
      <c r="C390" s="281">
        <v>5318</v>
      </c>
      <c r="D390" s="282">
        <v>1818</v>
      </c>
      <c r="E390" s="268">
        <v>8369</v>
      </c>
      <c r="F390" s="303"/>
      <c r="G390" s="634"/>
      <c r="H390" s="309">
        <f>SUM(C390:G390)</f>
        <v>15505</v>
      </c>
      <c r="I390" s="276"/>
      <c r="J390" s="269"/>
      <c r="K390" s="308"/>
      <c r="L390" s="270">
        <f>SUM(I390:K390)</f>
        <v>0</v>
      </c>
      <c r="M390" s="273">
        <f>SUM(H390+L390)</f>
        <v>15505</v>
      </c>
      <c r="N390" s="273"/>
      <c r="O390" s="273">
        <f>SUM(M390+N390)</f>
        <v>15505</v>
      </c>
    </row>
    <row r="391" spans="1:16" s="274" customFormat="1" x14ac:dyDescent="0.25">
      <c r="A391" s="265"/>
      <c r="B391" s="266" t="s">
        <v>160</v>
      </c>
      <c r="C391" s="281"/>
      <c r="D391" s="282"/>
      <c r="E391" s="268"/>
      <c r="F391" s="303"/>
      <c r="G391" s="634"/>
      <c r="H391" s="309"/>
      <c r="I391" s="276"/>
      <c r="J391" s="269"/>
      <c r="K391" s="308"/>
      <c r="L391" s="270"/>
      <c r="M391" s="273"/>
      <c r="N391" s="273"/>
      <c r="O391" s="273"/>
    </row>
    <row r="392" spans="1:16" s="274" customFormat="1" x14ac:dyDescent="0.25">
      <c r="A392" s="265"/>
      <c r="B392" s="592" t="s">
        <v>1229</v>
      </c>
      <c r="C392" s="304">
        <v>109</v>
      </c>
      <c r="D392" s="305">
        <v>19</v>
      </c>
      <c r="E392" s="288"/>
      <c r="F392" s="306"/>
      <c r="G392" s="310"/>
      <c r="H392" s="311">
        <f t="shared" ref="H392:H398" si="184">SUM(C392:G392)</f>
        <v>128</v>
      </c>
      <c r="I392" s="290"/>
      <c r="J392" s="289"/>
      <c r="K392" s="312"/>
      <c r="L392" s="277">
        <f t="shared" ref="L392:L398" si="185">SUM(I392:K392)</f>
        <v>0</v>
      </c>
      <c r="M392" s="278">
        <f t="shared" ref="M392:M398" si="186">SUM(H392+L392)</f>
        <v>128</v>
      </c>
      <c r="N392" s="278"/>
      <c r="O392" s="278">
        <f t="shared" ref="O392:O398" si="187">SUM(M392+N392)</f>
        <v>128</v>
      </c>
    </row>
    <row r="393" spans="1:16" s="274" customFormat="1" ht="31.5" x14ac:dyDescent="0.25">
      <c r="A393" s="265"/>
      <c r="B393" s="592" t="s">
        <v>1290</v>
      </c>
      <c r="C393" s="304">
        <v>5277</v>
      </c>
      <c r="D393" s="305">
        <v>923</v>
      </c>
      <c r="E393" s="288"/>
      <c r="F393" s="306"/>
      <c r="G393" s="310"/>
      <c r="H393" s="311">
        <f t="shared" si="184"/>
        <v>6200</v>
      </c>
      <c r="I393" s="290"/>
      <c r="J393" s="289"/>
      <c r="K393" s="312"/>
      <c r="L393" s="277">
        <f t="shared" si="185"/>
        <v>0</v>
      </c>
      <c r="M393" s="278">
        <f t="shared" si="186"/>
        <v>6200</v>
      </c>
      <c r="N393" s="278"/>
      <c r="O393" s="278">
        <f t="shared" si="187"/>
        <v>6200</v>
      </c>
    </row>
    <row r="394" spans="1:16" s="274" customFormat="1" ht="47.25" x14ac:dyDescent="0.25">
      <c r="A394" s="265"/>
      <c r="B394" s="592" t="s">
        <v>1276</v>
      </c>
      <c r="C394" s="304">
        <v>1076</v>
      </c>
      <c r="D394" s="305">
        <v>188</v>
      </c>
      <c r="E394" s="288"/>
      <c r="F394" s="306"/>
      <c r="G394" s="310"/>
      <c r="H394" s="311">
        <f t="shared" si="184"/>
        <v>1264</v>
      </c>
      <c r="I394" s="290"/>
      <c r="J394" s="289"/>
      <c r="K394" s="312"/>
      <c r="L394" s="277">
        <f t="shared" si="185"/>
        <v>0</v>
      </c>
      <c r="M394" s="278">
        <f t="shared" si="186"/>
        <v>1264</v>
      </c>
      <c r="N394" s="278"/>
      <c r="O394" s="278">
        <f t="shared" si="187"/>
        <v>1264</v>
      </c>
    </row>
    <row r="395" spans="1:16" s="274" customFormat="1" x14ac:dyDescent="0.25">
      <c r="A395" s="265"/>
      <c r="B395" s="266" t="s">
        <v>161</v>
      </c>
      <c r="C395" s="304"/>
      <c r="D395" s="305"/>
      <c r="E395" s="288"/>
      <c r="F395" s="306"/>
      <c r="G395" s="310"/>
      <c r="H395" s="311"/>
      <c r="I395" s="290"/>
      <c r="J395" s="289"/>
      <c r="K395" s="312"/>
      <c r="L395" s="277"/>
      <c r="M395" s="278"/>
      <c r="N395" s="278"/>
      <c r="O395" s="278"/>
    </row>
    <row r="396" spans="1:16" s="274" customFormat="1" x14ac:dyDescent="0.25">
      <c r="A396" s="265"/>
      <c r="B396" s="594" t="s">
        <v>1231</v>
      </c>
      <c r="C396" s="304">
        <v>2370</v>
      </c>
      <c r="D396" s="305">
        <v>771</v>
      </c>
      <c r="E396" s="288"/>
      <c r="F396" s="306"/>
      <c r="G396" s="310"/>
      <c r="H396" s="311">
        <f t="shared" si="184"/>
        <v>3141</v>
      </c>
      <c r="I396" s="290"/>
      <c r="J396" s="289"/>
      <c r="K396" s="312"/>
      <c r="L396" s="277">
        <f t="shared" si="185"/>
        <v>0</v>
      </c>
      <c r="M396" s="278">
        <f t="shared" si="186"/>
        <v>3141</v>
      </c>
      <c r="N396" s="278"/>
      <c r="O396" s="278">
        <f t="shared" si="187"/>
        <v>3141</v>
      </c>
    </row>
    <row r="397" spans="1:16" s="274" customFormat="1" ht="31.5" x14ac:dyDescent="0.25">
      <c r="A397" s="265"/>
      <c r="B397" s="592" t="s">
        <v>1277</v>
      </c>
      <c r="C397" s="304">
        <v>195</v>
      </c>
      <c r="D397" s="305">
        <v>34</v>
      </c>
      <c r="E397" s="288"/>
      <c r="F397" s="306"/>
      <c r="G397" s="310"/>
      <c r="H397" s="311">
        <f t="shared" si="184"/>
        <v>229</v>
      </c>
      <c r="I397" s="290"/>
      <c r="J397" s="289"/>
      <c r="K397" s="312"/>
      <c r="L397" s="277">
        <f t="shared" si="185"/>
        <v>0</v>
      </c>
      <c r="M397" s="278">
        <f t="shared" si="186"/>
        <v>229</v>
      </c>
      <c r="N397" s="278"/>
      <c r="O397" s="278">
        <f t="shared" si="187"/>
        <v>229</v>
      </c>
    </row>
    <row r="398" spans="1:16" s="274" customFormat="1" ht="32.25" thickBot="1" x14ac:dyDescent="0.3">
      <c r="A398" s="265"/>
      <c r="B398" s="592" t="s">
        <v>1153</v>
      </c>
      <c r="C398" s="304"/>
      <c r="D398" s="305"/>
      <c r="E398" s="288">
        <v>1864</v>
      </c>
      <c r="F398" s="306"/>
      <c r="G398" s="310"/>
      <c r="H398" s="311">
        <f t="shared" si="184"/>
        <v>1864</v>
      </c>
      <c r="I398" s="290"/>
      <c r="J398" s="289"/>
      <c r="K398" s="312"/>
      <c r="L398" s="277">
        <f t="shared" si="185"/>
        <v>0</v>
      </c>
      <c r="M398" s="278">
        <f t="shared" si="186"/>
        <v>1864</v>
      </c>
      <c r="N398" s="278"/>
      <c r="O398" s="278">
        <f t="shared" si="187"/>
        <v>1864</v>
      </c>
    </row>
    <row r="399" spans="1:16" ht="17.25" thickTop="1" thickBot="1" x14ac:dyDescent="0.3">
      <c r="A399" s="275"/>
      <c r="B399" s="101" t="s">
        <v>1035</v>
      </c>
      <c r="C399" s="102">
        <f>+C388+C392+C393+C394+C396+C397+C398</f>
        <v>274975</v>
      </c>
      <c r="D399" s="102">
        <f t="shared" ref="D399:O399" si="188">+D388+D392+D393+D394+D396+D397+D398</f>
        <v>59076</v>
      </c>
      <c r="E399" s="102">
        <f t="shared" si="188"/>
        <v>178766</v>
      </c>
      <c r="F399" s="102">
        <f t="shared" si="188"/>
        <v>0</v>
      </c>
      <c r="G399" s="102">
        <f t="shared" si="188"/>
        <v>0</v>
      </c>
      <c r="H399" s="102">
        <f t="shared" si="188"/>
        <v>512817</v>
      </c>
      <c r="I399" s="102">
        <f t="shared" si="188"/>
        <v>16917</v>
      </c>
      <c r="J399" s="102">
        <f t="shared" si="188"/>
        <v>0</v>
      </c>
      <c r="K399" s="102">
        <f t="shared" si="188"/>
        <v>0</v>
      </c>
      <c r="L399" s="102">
        <f t="shared" si="188"/>
        <v>16917</v>
      </c>
      <c r="M399" s="102">
        <f t="shared" si="188"/>
        <v>529734</v>
      </c>
      <c r="N399" s="102">
        <f t="shared" si="188"/>
        <v>0</v>
      </c>
      <c r="O399" s="102">
        <f t="shared" si="188"/>
        <v>529734</v>
      </c>
      <c r="P399" s="254">
        <f>O400+O401</f>
        <v>529734</v>
      </c>
    </row>
    <row r="400" spans="1:16" ht="17.25" thickTop="1" thickBot="1" x14ac:dyDescent="0.3">
      <c r="A400" s="275"/>
      <c r="B400" s="101" t="s">
        <v>1036</v>
      </c>
      <c r="C400" s="102">
        <f>+C389+C392+C393+C394</f>
        <v>267092</v>
      </c>
      <c r="D400" s="102">
        <f t="shared" ref="D400:O400" si="189">+D389+D392+D393+D394</f>
        <v>56453</v>
      </c>
      <c r="E400" s="102">
        <f t="shared" si="189"/>
        <v>168533</v>
      </c>
      <c r="F400" s="102">
        <f t="shared" si="189"/>
        <v>0</v>
      </c>
      <c r="G400" s="102">
        <f t="shared" si="189"/>
        <v>0</v>
      </c>
      <c r="H400" s="102">
        <f t="shared" si="189"/>
        <v>492078</v>
      </c>
      <c r="I400" s="102">
        <f t="shared" si="189"/>
        <v>16917</v>
      </c>
      <c r="J400" s="102">
        <f t="shared" si="189"/>
        <v>0</v>
      </c>
      <c r="K400" s="102">
        <f t="shared" si="189"/>
        <v>0</v>
      </c>
      <c r="L400" s="102">
        <f t="shared" si="189"/>
        <v>16917</v>
      </c>
      <c r="M400" s="102">
        <f t="shared" si="189"/>
        <v>508995</v>
      </c>
      <c r="N400" s="102">
        <f t="shared" si="189"/>
        <v>0</v>
      </c>
      <c r="O400" s="102">
        <f t="shared" si="189"/>
        <v>508995</v>
      </c>
    </row>
    <row r="401" spans="1:16" ht="17.25" thickTop="1" thickBot="1" x14ac:dyDescent="0.3">
      <c r="A401" s="275"/>
      <c r="B401" s="101" t="s">
        <v>1037</v>
      </c>
      <c r="C401" s="102">
        <f>+C390+C396+C397+C398</f>
        <v>7883</v>
      </c>
      <c r="D401" s="102">
        <f t="shared" ref="D401:O401" si="190">+D390+D396+D397+D398</f>
        <v>2623</v>
      </c>
      <c r="E401" s="102">
        <f t="shared" si="190"/>
        <v>10233</v>
      </c>
      <c r="F401" s="102">
        <f t="shared" si="190"/>
        <v>0</v>
      </c>
      <c r="G401" s="102">
        <f t="shared" si="190"/>
        <v>0</v>
      </c>
      <c r="H401" s="102">
        <f t="shared" si="190"/>
        <v>20739</v>
      </c>
      <c r="I401" s="102">
        <f t="shared" si="190"/>
        <v>0</v>
      </c>
      <c r="J401" s="102">
        <f t="shared" si="190"/>
        <v>0</v>
      </c>
      <c r="K401" s="102">
        <f t="shared" si="190"/>
        <v>0</v>
      </c>
      <c r="L401" s="102">
        <f t="shared" si="190"/>
        <v>0</v>
      </c>
      <c r="M401" s="102">
        <f t="shared" si="190"/>
        <v>20739</v>
      </c>
      <c r="N401" s="102">
        <f t="shared" si="190"/>
        <v>0</v>
      </c>
      <c r="O401" s="102">
        <f t="shared" si="190"/>
        <v>20739</v>
      </c>
    </row>
    <row r="402" spans="1:16" ht="16.5" thickTop="1" x14ac:dyDescent="0.25">
      <c r="A402" s="264" t="s">
        <v>17</v>
      </c>
      <c r="B402" s="615" t="s">
        <v>411</v>
      </c>
      <c r="C402" s="616"/>
      <c r="D402" s="617"/>
      <c r="E402" s="608"/>
      <c r="F402" s="619"/>
      <c r="G402" s="617"/>
      <c r="H402" s="610"/>
      <c r="I402" s="618"/>
      <c r="J402" s="619"/>
      <c r="K402" s="619"/>
      <c r="L402" s="610"/>
      <c r="M402" s="620"/>
      <c r="N402" s="620"/>
      <c r="O402" s="620"/>
    </row>
    <row r="403" spans="1:16" x14ac:dyDescent="0.25">
      <c r="A403" s="264"/>
      <c r="B403" s="592" t="s">
        <v>998</v>
      </c>
      <c r="C403" s="616">
        <v>410521</v>
      </c>
      <c r="D403" s="617">
        <v>87434</v>
      </c>
      <c r="E403" s="608">
        <v>501525</v>
      </c>
      <c r="F403" s="619"/>
      <c r="G403" s="617"/>
      <c r="H403" s="610">
        <f>SUM(C403:G403)</f>
        <v>999480</v>
      </c>
      <c r="I403" s="611">
        <v>19322</v>
      </c>
      <c r="J403" s="609">
        <v>7302</v>
      </c>
      <c r="K403" s="609"/>
      <c r="L403" s="610">
        <f>SUM(I403:K403)</f>
        <v>26624</v>
      </c>
      <c r="M403" s="612">
        <f>SUM(H403+L403)</f>
        <v>1026104</v>
      </c>
      <c r="N403" s="612"/>
      <c r="O403" s="612">
        <f>SUM(M403+N403)</f>
        <v>1026104</v>
      </c>
      <c r="P403" s="254"/>
    </row>
    <row r="404" spans="1:16" s="274" customFormat="1" x14ac:dyDescent="0.25">
      <c r="A404" s="265"/>
      <c r="B404" s="266" t="s">
        <v>1033</v>
      </c>
      <c r="C404" s="281">
        <v>403519</v>
      </c>
      <c r="D404" s="282">
        <v>85037</v>
      </c>
      <c r="E404" s="268">
        <v>499991</v>
      </c>
      <c r="F404" s="303"/>
      <c r="G404" s="282"/>
      <c r="H404" s="270">
        <f>SUM(C404:G404)</f>
        <v>988547</v>
      </c>
      <c r="I404" s="276">
        <v>17222</v>
      </c>
      <c r="J404" s="269">
        <v>7302</v>
      </c>
      <c r="K404" s="269"/>
      <c r="L404" s="270">
        <f>SUM(I404:K404)</f>
        <v>24524</v>
      </c>
      <c r="M404" s="273">
        <f>SUM(H404+L404)</f>
        <v>1013071</v>
      </c>
      <c r="N404" s="273"/>
      <c r="O404" s="273">
        <f>SUM(M404+N404)</f>
        <v>1013071</v>
      </c>
    </row>
    <row r="405" spans="1:16" s="274" customFormat="1" x14ac:dyDescent="0.25">
      <c r="A405" s="313"/>
      <c r="B405" s="266" t="s">
        <v>1034</v>
      </c>
      <c r="C405" s="314">
        <v>7002</v>
      </c>
      <c r="D405" s="315">
        <v>2397</v>
      </c>
      <c r="E405" s="316">
        <v>1534</v>
      </c>
      <c r="F405" s="302"/>
      <c r="G405" s="315"/>
      <c r="H405" s="612">
        <f>SUM(C405:G405)</f>
        <v>10933</v>
      </c>
      <c r="I405" s="613">
        <v>2100</v>
      </c>
      <c r="J405" s="614"/>
      <c r="K405" s="614"/>
      <c r="L405" s="612">
        <f>SUM(I405:K405)</f>
        <v>2100</v>
      </c>
      <c r="M405" s="612">
        <f>SUM(H405+L405)</f>
        <v>13033</v>
      </c>
      <c r="N405" s="612"/>
      <c r="O405" s="612">
        <f>SUM(M405+N405)</f>
        <v>13033</v>
      </c>
    </row>
    <row r="406" spans="1:16" s="274" customFormat="1" x14ac:dyDescent="0.25">
      <c r="A406" s="293"/>
      <c r="B406" s="280" t="s">
        <v>160</v>
      </c>
      <c r="C406" s="276"/>
      <c r="D406" s="268"/>
      <c r="E406" s="268"/>
      <c r="F406" s="268"/>
      <c r="G406" s="276"/>
      <c r="H406" s="612">
        <f t="shared" ref="H406:H417" si="191">SUM(C406:G406)</f>
        <v>0</v>
      </c>
      <c r="I406" s="611"/>
      <c r="J406" s="608"/>
      <c r="K406" s="611"/>
      <c r="L406" s="612">
        <f t="shared" ref="L406:L417" si="192">SUM(I406:K406)</f>
        <v>0</v>
      </c>
      <c r="M406" s="612">
        <f t="shared" ref="M406:M417" si="193">SUM(H406+L406)</f>
        <v>0</v>
      </c>
      <c r="N406" s="612"/>
      <c r="O406" s="612">
        <f t="shared" ref="O406:O417" si="194">SUM(M406+N406)</f>
        <v>0</v>
      </c>
    </row>
    <row r="407" spans="1:16" x14ac:dyDescent="0.25">
      <c r="A407" s="295"/>
      <c r="B407" s="592" t="s">
        <v>1229</v>
      </c>
      <c r="C407" s="290">
        <v>42</v>
      </c>
      <c r="D407" s="288">
        <v>7</v>
      </c>
      <c r="E407" s="288"/>
      <c r="F407" s="288"/>
      <c r="G407" s="290"/>
      <c r="H407" s="278">
        <f t="shared" si="191"/>
        <v>49</v>
      </c>
      <c r="I407" s="290"/>
      <c r="J407" s="288"/>
      <c r="K407" s="290"/>
      <c r="L407" s="278">
        <f t="shared" si="192"/>
        <v>0</v>
      </c>
      <c r="M407" s="278">
        <f t="shared" si="193"/>
        <v>49</v>
      </c>
      <c r="N407" s="278"/>
      <c r="O407" s="278">
        <f t="shared" si="194"/>
        <v>49</v>
      </c>
    </row>
    <row r="408" spans="1:16" ht="31.5" x14ac:dyDescent="0.25">
      <c r="A408" s="295"/>
      <c r="B408" s="597" t="s">
        <v>1290</v>
      </c>
      <c r="C408" s="290">
        <v>5298</v>
      </c>
      <c r="D408" s="288">
        <v>927</v>
      </c>
      <c r="E408" s="288"/>
      <c r="F408" s="288"/>
      <c r="G408" s="290"/>
      <c r="H408" s="277">
        <f t="shared" si="191"/>
        <v>6225</v>
      </c>
      <c r="I408" s="290"/>
      <c r="J408" s="288"/>
      <c r="K408" s="290"/>
      <c r="L408" s="277">
        <f t="shared" si="192"/>
        <v>0</v>
      </c>
      <c r="M408" s="277">
        <f t="shared" si="193"/>
        <v>6225</v>
      </c>
      <c r="N408" s="277"/>
      <c r="O408" s="277">
        <f t="shared" si="194"/>
        <v>6225</v>
      </c>
    </row>
    <row r="409" spans="1:16" ht="47.25" x14ac:dyDescent="0.25">
      <c r="A409" s="295"/>
      <c r="B409" s="597" t="s">
        <v>1276</v>
      </c>
      <c r="C409" s="290">
        <v>1184</v>
      </c>
      <c r="D409" s="288">
        <v>207</v>
      </c>
      <c r="E409" s="288"/>
      <c r="F409" s="288"/>
      <c r="G409" s="290"/>
      <c r="H409" s="277">
        <f t="shared" si="191"/>
        <v>1391</v>
      </c>
      <c r="I409" s="290"/>
      <c r="J409" s="288"/>
      <c r="K409" s="290"/>
      <c r="L409" s="277">
        <f t="shared" si="192"/>
        <v>0</v>
      </c>
      <c r="M409" s="277">
        <f t="shared" si="193"/>
        <v>1391</v>
      </c>
      <c r="N409" s="277"/>
      <c r="O409" s="277">
        <f t="shared" si="194"/>
        <v>1391</v>
      </c>
    </row>
    <row r="410" spans="1:16" ht="31.5" x14ac:dyDescent="0.25">
      <c r="A410" s="295"/>
      <c r="B410" s="597" t="s">
        <v>1051</v>
      </c>
      <c r="C410" s="290"/>
      <c r="D410" s="288"/>
      <c r="E410" s="288">
        <v>-8107</v>
      </c>
      <c r="F410" s="288"/>
      <c r="G410" s="290"/>
      <c r="H410" s="277">
        <f t="shared" si="191"/>
        <v>-8107</v>
      </c>
      <c r="I410" s="290">
        <v>1025</v>
      </c>
      <c r="J410" s="288">
        <v>7082</v>
      </c>
      <c r="K410" s="290"/>
      <c r="L410" s="277">
        <f t="shared" si="192"/>
        <v>8107</v>
      </c>
      <c r="M410" s="277">
        <f t="shared" si="193"/>
        <v>0</v>
      </c>
      <c r="N410" s="277"/>
      <c r="O410" s="277">
        <f t="shared" si="194"/>
        <v>0</v>
      </c>
    </row>
    <row r="411" spans="1:16" ht="31.5" x14ac:dyDescent="0.25">
      <c r="A411" s="295"/>
      <c r="B411" s="592" t="s">
        <v>1252</v>
      </c>
      <c r="C411" s="290"/>
      <c r="D411" s="288"/>
      <c r="E411" s="288">
        <v>233</v>
      </c>
      <c r="F411" s="288"/>
      <c r="G411" s="290"/>
      <c r="H411" s="278">
        <f t="shared" si="191"/>
        <v>233</v>
      </c>
      <c r="I411" s="290"/>
      <c r="J411" s="288"/>
      <c r="K411" s="290"/>
      <c r="L411" s="278">
        <f t="shared" si="192"/>
        <v>0</v>
      </c>
      <c r="M411" s="278">
        <f t="shared" si="193"/>
        <v>233</v>
      </c>
      <c r="N411" s="278"/>
      <c r="O411" s="278">
        <f t="shared" si="194"/>
        <v>233</v>
      </c>
    </row>
    <row r="412" spans="1:16" x14ac:dyDescent="0.25">
      <c r="A412" s="295"/>
      <c r="B412" s="592" t="s">
        <v>1253</v>
      </c>
      <c r="C412" s="290"/>
      <c r="D412" s="288"/>
      <c r="E412" s="288">
        <v>-7405</v>
      </c>
      <c r="F412" s="288"/>
      <c r="G412" s="290"/>
      <c r="H412" s="278">
        <f t="shared" si="191"/>
        <v>-7405</v>
      </c>
      <c r="I412" s="290"/>
      <c r="J412" s="288"/>
      <c r="K412" s="290"/>
      <c r="L412" s="278">
        <f t="shared" si="192"/>
        <v>0</v>
      </c>
      <c r="M412" s="278">
        <f t="shared" si="193"/>
        <v>-7405</v>
      </c>
      <c r="N412" s="278"/>
      <c r="O412" s="278">
        <f t="shared" si="194"/>
        <v>-7405</v>
      </c>
    </row>
    <row r="413" spans="1:16" s="274" customFormat="1" x14ac:dyDescent="0.25">
      <c r="A413" s="293"/>
      <c r="B413" s="280" t="s">
        <v>161</v>
      </c>
      <c r="C413" s="276"/>
      <c r="D413" s="268"/>
      <c r="E413" s="268"/>
      <c r="F413" s="268"/>
      <c r="G413" s="276"/>
      <c r="H413" s="612">
        <f t="shared" si="191"/>
        <v>0</v>
      </c>
      <c r="I413" s="611"/>
      <c r="J413" s="608"/>
      <c r="K413" s="611"/>
      <c r="L413" s="612">
        <f t="shared" si="192"/>
        <v>0</v>
      </c>
      <c r="M413" s="612">
        <f t="shared" si="193"/>
        <v>0</v>
      </c>
      <c r="N413" s="612"/>
      <c r="O413" s="612">
        <f t="shared" si="194"/>
        <v>0</v>
      </c>
    </row>
    <row r="414" spans="1:16" x14ac:dyDescent="0.25">
      <c r="A414" s="295"/>
      <c r="B414" s="594" t="s">
        <v>1231</v>
      </c>
      <c r="C414" s="290">
        <v>3130</v>
      </c>
      <c r="D414" s="288">
        <v>1017</v>
      </c>
      <c r="E414" s="288"/>
      <c r="F414" s="288"/>
      <c r="G414" s="290"/>
      <c r="H414" s="278">
        <f t="shared" si="191"/>
        <v>4147</v>
      </c>
      <c r="I414" s="290"/>
      <c r="J414" s="288"/>
      <c r="K414" s="290"/>
      <c r="L414" s="278">
        <f t="shared" si="192"/>
        <v>0</v>
      </c>
      <c r="M414" s="278">
        <f t="shared" si="193"/>
        <v>4147</v>
      </c>
      <c r="N414" s="278"/>
      <c r="O414" s="278">
        <f t="shared" si="194"/>
        <v>4147</v>
      </c>
    </row>
    <row r="415" spans="1:16" ht="31.5" x14ac:dyDescent="0.25">
      <c r="A415" s="295"/>
      <c r="B415" s="592" t="s">
        <v>1277</v>
      </c>
      <c r="C415" s="290">
        <v>387</v>
      </c>
      <c r="D415" s="288">
        <v>68</v>
      </c>
      <c r="E415" s="288"/>
      <c r="F415" s="288"/>
      <c r="G415" s="290"/>
      <c r="H415" s="278">
        <f t="shared" si="191"/>
        <v>455</v>
      </c>
      <c r="I415" s="290"/>
      <c r="J415" s="288"/>
      <c r="K415" s="290"/>
      <c r="L415" s="278">
        <f t="shared" si="192"/>
        <v>0</v>
      </c>
      <c r="M415" s="278">
        <f t="shared" si="193"/>
        <v>455</v>
      </c>
      <c r="N415" s="278"/>
      <c r="O415" s="278">
        <f t="shared" si="194"/>
        <v>455</v>
      </c>
    </row>
    <row r="416" spans="1:16" ht="63" x14ac:dyDescent="0.25">
      <c r="A416" s="295"/>
      <c r="B416" s="592" t="s">
        <v>1291</v>
      </c>
      <c r="C416" s="290"/>
      <c r="D416" s="288"/>
      <c r="E416" s="288">
        <v>700</v>
      </c>
      <c r="F416" s="288"/>
      <c r="G416" s="290"/>
      <c r="H416" s="278">
        <f t="shared" si="191"/>
        <v>700</v>
      </c>
      <c r="I416" s="290"/>
      <c r="J416" s="288"/>
      <c r="K416" s="290"/>
      <c r="L416" s="278">
        <f t="shared" si="192"/>
        <v>0</v>
      </c>
      <c r="M416" s="278">
        <f t="shared" si="193"/>
        <v>700</v>
      </c>
      <c r="N416" s="278"/>
      <c r="O416" s="278">
        <f t="shared" si="194"/>
        <v>700</v>
      </c>
    </row>
    <row r="417" spans="1:16" ht="32.25" thickBot="1" x14ac:dyDescent="0.3">
      <c r="A417" s="295"/>
      <c r="B417" s="592" t="s">
        <v>1153</v>
      </c>
      <c r="C417" s="290"/>
      <c r="D417" s="288"/>
      <c r="E417" s="288">
        <v>3900</v>
      </c>
      <c r="F417" s="288"/>
      <c r="G417" s="290"/>
      <c r="H417" s="278">
        <f t="shared" si="191"/>
        <v>3900</v>
      </c>
      <c r="I417" s="290"/>
      <c r="J417" s="288"/>
      <c r="K417" s="290"/>
      <c r="L417" s="278">
        <f t="shared" si="192"/>
        <v>0</v>
      </c>
      <c r="M417" s="278">
        <f t="shared" si="193"/>
        <v>3900</v>
      </c>
      <c r="N417" s="278"/>
      <c r="O417" s="278">
        <f t="shared" si="194"/>
        <v>3900</v>
      </c>
    </row>
    <row r="418" spans="1:16" ht="17.25" thickTop="1" thickBot="1" x14ac:dyDescent="0.3">
      <c r="A418" s="275"/>
      <c r="B418" s="101" t="s">
        <v>1035</v>
      </c>
      <c r="C418" s="102">
        <f>+C403+C407+C408+C409+C414+C415+C410+C411+C416+C412+C417</f>
        <v>420562</v>
      </c>
      <c r="D418" s="102">
        <f t="shared" ref="D418:O418" si="195">+D403+D407+D408+D409+D414+D415+D410+D411+D416+D412+D417</f>
        <v>89660</v>
      </c>
      <c r="E418" s="102">
        <f t="shared" si="195"/>
        <v>490846</v>
      </c>
      <c r="F418" s="102">
        <f t="shared" si="195"/>
        <v>0</v>
      </c>
      <c r="G418" s="102">
        <f t="shared" si="195"/>
        <v>0</v>
      </c>
      <c r="H418" s="102">
        <f t="shared" si="195"/>
        <v>1001068</v>
      </c>
      <c r="I418" s="102">
        <f t="shared" si="195"/>
        <v>20347</v>
      </c>
      <c r="J418" s="102">
        <f t="shared" si="195"/>
        <v>14384</v>
      </c>
      <c r="K418" s="102">
        <f t="shared" si="195"/>
        <v>0</v>
      </c>
      <c r="L418" s="102">
        <f t="shared" si="195"/>
        <v>34731</v>
      </c>
      <c r="M418" s="102">
        <f t="shared" si="195"/>
        <v>1035799</v>
      </c>
      <c r="N418" s="102">
        <f t="shared" si="195"/>
        <v>0</v>
      </c>
      <c r="O418" s="102">
        <f t="shared" si="195"/>
        <v>1035799</v>
      </c>
      <c r="P418" s="254">
        <f>O419+O420</f>
        <v>1035799</v>
      </c>
    </row>
    <row r="419" spans="1:16" ht="17.25" thickTop="1" thickBot="1" x14ac:dyDescent="0.3">
      <c r="A419" s="275"/>
      <c r="B419" s="101" t="s">
        <v>1036</v>
      </c>
      <c r="C419" s="102">
        <f>+C404+C407+C408+C409+C410+C411+C412</f>
        <v>410043</v>
      </c>
      <c r="D419" s="102">
        <f t="shared" ref="D419:O419" si="196">+D404+D407+D408+D409+D410+D411+D412</f>
        <v>86178</v>
      </c>
      <c r="E419" s="102">
        <f t="shared" si="196"/>
        <v>484712</v>
      </c>
      <c r="F419" s="102">
        <f t="shared" si="196"/>
        <v>0</v>
      </c>
      <c r="G419" s="102">
        <f t="shared" si="196"/>
        <v>0</v>
      </c>
      <c r="H419" s="102">
        <f t="shared" si="196"/>
        <v>980933</v>
      </c>
      <c r="I419" s="102">
        <f t="shared" si="196"/>
        <v>18247</v>
      </c>
      <c r="J419" s="102">
        <f t="shared" si="196"/>
        <v>14384</v>
      </c>
      <c r="K419" s="102">
        <f t="shared" si="196"/>
        <v>0</v>
      </c>
      <c r="L419" s="102">
        <f t="shared" si="196"/>
        <v>32631</v>
      </c>
      <c r="M419" s="102">
        <f t="shared" si="196"/>
        <v>1013564</v>
      </c>
      <c r="N419" s="102">
        <f t="shared" si="196"/>
        <v>0</v>
      </c>
      <c r="O419" s="102">
        <f t="shared" si="196"/>
        <v>1013564</v>
      </c>
    </row>
    <row r="420" spans="1:16" ht="17.25" thickTop="1" thickBot="1" x14ac:dyDescent="0.3">
      <c r="A420" s="275"/>
      <c r="B420" s="101" t="s">
        <v>1037</v>
      </c>
      <c r="C420" s="102">
        <f t="shared" ref="C420:O420" si="197">+C405+C414+C415+C416+C417</f>
        <v>10519</v>
      </c>
      <c r="D420" s="102">
        <f t="shared" si="197"/>
        <v>3482</v>
      </c>
      <c r="E420" s="102">
        <f t="shared" si="197"/>
        <v>6134</v>
      </c>
      <c r="F420" s="102">
        <f t="shared" si="197"/>
        <v>0</v>
      </c>
      <c r="G420" s="102">
        <f t="shared" si="197"/>
        <v>0</v>
      </c>
      <c r="H420" s="102">
        <f t="shared" si="197"/>
        <v>20135</v>
      </c>
      <c r="I420" s="102">
        <f t="shared" si="197"/>
        <v>2100</v>
      </c>
      <c r="J420" s="102">
        <f t="shared" si="197"/>
        <v>0</v>
      </c>
      <c r="K420" s="102">
        <f t="shared" si="197"/>
        <v>0</v>
      </c>
      <c r="L420" s="102">
        <f t="shared" si="197"/>
        <v>2100</v>
      </c>
      <c r="M420" s="102">
        <f t="shared" si="197"/>
        <v>22235</v>
      </c>
      <c r="N420" s="102">
        <f t="shared" si="197"/>
        <v>0</v>
      </c>
      <c r="O420" s="102">
        <f t="shared" si="197"/>
        <v>22235</v>
      </c>
    </row>
    <row r="421" spans="1:16" ht="16.5" thickTop="1" x14ac:dyDescent="0.25">
      <c r="A421" s="264" t="s">
        <v>18</v>
      </c>
      <c r="B421" s="615" t="s">
        <v>844</v>
      </c>
      <c r="C421" s="616"/>
      <c r="D421" s="617"/>
      <c r="E421" s="608"/>
      <c r="F421" s="619"/>
      <c r="G421" s="617"/>
      <c r="H421" s="610"/>
      <c r="I421" s="618"/>
      <c r="J421" s="619"/>
      <c r="K421" s="619"/>
      <c r="L421" s="610"/>
      <c r="M421" s="620"/>
      <c r="N421" s="620"/>
      <c r="O421" s="620"/>
    </row>
    <row r="422" spans="1:16" x14ac:dyDescent="0.25">
      <c r="A422" s="279"/>
      <c r="B422" s="597" t="s">
        <v>998</v>
      </c>
      <c r="C422" s="607">
        <v>28072</v>
      </c>
      <c r="D422" s="608">
        <v>5540</v>
      </c>
      <c r="E422" s="608">
        <v>19827</v>
      </c>
      <c r="F422" s="609"/>
      <c r="G422" s="608"/>
      <c r="H422" s="610">
        <f>SUM(C422:G422)</f>
        <v>53439</v>
      </c>
      <c r="I422" s="611">
        <v>360</v>
      </c>
      <c r="J422" s="609"/>
      <c r="K422" s="609"/>
      <c r="L422" s="610">
        <f>SUM(I422:K422)</f>
        <v>360</v>
      </c>
      <c r="M422" s="610">
        <f>SUM(H422+L422)</f>
        <v>53799</v>
      </c>
      <c r="N422" s="610"/>
      <c r="O422" s="610">
        <f>SUM(M422+N422)</f>
        <v>53799</v>
      </c>
    </row>
    <row r="423" spans="1:16" s="274" customFormat="1" x14ac:dyDescent="0.25">
      <c r="A423" s="265"/>
      <c r="B423" s="635" t="s">
        <v>1046</v>
      </c>
      <c r="C423" s="281">
        <v>28072</v>
      </c>
      <c r="D423" s="282">
        <v>5540</v>
      </c>
      <c r="E423" s="282">
        <v>19827</v>
      </c>
      <c r="F423" s="303"/>
      <c r="G423" s="634"/>
      <c r="H423" s="283">
        <f>SUM(C423:G423)</f>
        <v>53439</v>
      </c>
      <c r="I423" s="628">
        <v>360</v>
      </c>
      <c r="J423" s="303"/>
      <c r="K423" s="634"/>
      <c r="L423" s="284">
        <f>SUM(I423:K423)</f>
        <v>360</v>
      </c>
      <c r="M423" s="630">
        <f>SUM(H423+L423)</f>
        <v>53799</v>
      </c>
      <c r="N423" s="630"/>
      <c r="O423" s="630">
        <f>SUM(M423+N423)</f>
        <v>53799</v>
      </c>
    </row>
    <row r="424" spans="1:16" s="274" customFormat="1" x14ac:dyDescent="0.25">
      <c r="A424" s="293"/>
      <c r="B424" s="266" t="s">
        <v>161</v>
      </c>
      <c r="C424" s="267"/>
      <c r="D424" s="268"/>
      <c r="E424" s="268"/>
      <c r="F424" s="269"/>
      <c r="G424" s="308"/>
      <c r="H424" s="270"/>
      <c r="I424" s="276"/>
      <c r="J424" s="269"/>
      <c r="K424" s="308"/>
      <c r="L424" s="277"/>
      <c r="M424" s="273"/>
      <c r="N424" s="273"/>
      <c r="O424" s="273"/>
    </row>
    <row r="425" spans="1:16" s="274" customFormat="1" ht="31.5" x14ac:dyDescent="0.25">
      <c r="A425" s="293"/>
      <c r="B425" s="592" t="s">
        <v>1290</v>
      </c>
      <c r="C425" s="287">
        <v>269</v>
      </c>
      <c r="D425" s="288">
        <v>47</v>
      </c>
      <c r="E425" s="288"/>
      <c r="F425" s="289"/>
      <c r="G425" s="312"/>
      <c r="H425" s="277">
        <f t="shared" ref="H425:H427" si="198">SUM(C425:G425)</f>
        <v>316</v>
      </c>
      <c r="I425" s="290"/>
      <c r="J425" s="289"/>
      <c r="K425" s="312"/>
      <c r="L425" s="277">
        <f t="shared" ref="L425:L427" si="199">SUM(I425:K425)</f>
        <v>0</v>
      </c>
      <c r="M425" s="278">
        <f t="shared" ref="M425:M427" si="200">SUM(H425+L425)</f>
        <v>316</v>
      </c>
      <c r="N425" s="278"/>
      <c r="O425" s="278">
        <f t="shared" ref="O425:O427" si="201">SUM(M425+N425)</f>
        <v>316</v>
      </c>
    </row>
    <row r="426" spans="1:16" s="274" customFormat="1" x14ac:dyDescent="0.25">
      <c r="A426" s="293"/>
      <c r="B426" s="594" t="s">
        <v>1231</v>
      </c>
      <c r="C426" s="287">
        <v>102</v>
      </c>
      <c r="D426" s="288">
        <v>33</v>
      </c>
      <c r="E426" s="288"/>
      <c r="F426" s="289"/>
      <c r="G426" s="312"/>
      <c r="H426" s="277">
        <f t="shared" si="198"/>
        <v>135</v>
      </c>
      <c r="I426" s="290"/>
      <c r="J426" s="289"/>
      <c r="K426" s="312"/>
      <c r="L426" s="277">
        <f t="shared" si="199"/>
        <v>0</v>
      </c>
      <c r="M426" s="278">
        <f t="shared" si="200"/>
        <v>135</v>
      </c>
      <c r="N426" s="278"/>
      <c r="O426" s="278">
        <f t="shared" si="201"/>
        <v>135</v>
      </c>
    </row>
    <row r="427" spans="1:16" s="274" customFormat="1" ht="32.25" thickBot="1" x14ac:dyDescent="0.3">
      <c r="A427" s="293"/>
      <c r="B427" s="592" t="s">
        <v>1051</v>
      </c>
      <c r="C427" s="287"/>
      <c r="D427" s="288"/>
      <c r="E427" s="288">
        <v>-176</v>
      </c>
      <c r="F427" s="289"/>
      <c r="G427" s="312"/>
      <c r="H427" s="277">
        <f t="shared" si="198"/>
        <v>-176</v>
      </c>
      <c r="I427" s="290">
        <v>176</v>
      </c>
      <c r="J427" s="289"/>
      <c r="K427" s="312"/>
      <c r="L427" s="277">
        <f t="shared" si="199"/>
        <v>176</v>
      </c>
      <c r="M427" s="278">
        <f t="shared" si="200"/>
        <v>0</v>
      </c>
      <c r="N427" s="278"/>
      <c r="O427" s="278">
        <f t="shared" si="201"/>
        <v>0</v>
      </c>
    </row>
    <row r="428" spans="1:16" ht="17.25" thickTop="1" thickBot="1" x14ac:dyDescent="0.3">
      <c r="A428" s="275"/>
      <c r="B428" s="101" t="s">
        <v>1035</v>
      </c>
      <c r="C428" s="102">
        <f>+C422+C425+C426+C427</f>
        <v>28443</v>
      </c>
      <c r="D428" s="102">
        <f t="shared" ref="D428:O428" si="202">+D422+D425+D426+D427</f>
        <v>5620</v>
      </c>
      <c r="E428" s="102">
        <f t="shared" si="202"/>
        <v>19651</v>
      </c>
      <c r="F428" s="102">
        <f t="shared" si="202"/>
        <v>0</v>
      </c>
      <c r="G428" s="102">
        <f t="shared" si="202"/>
        <v>0</v>
      </c>
      <c r="H428" s="102">
        <f t="shared" si="202"/>
        <v>53714</v>
      </c>
      <c r="I428" s="102">
        <f t="shared" si="202"/>
        <v>536</v>
      </c>
      <c r="J428" s="102">
        <f t="shared" si="202"/>
        <v>0</v>
      </c>
      <c r="K428" s="102">
        <f t="shared" si="202"/>
        <v>0</v>
      </c>
      <c r="L428" s="102">
        <f t="shared" si="202"/>
        <v>536</v>
      </c>
      <c r="M428" s="102">
        <f t="shared" si="202"/>
        <v>54250</v>
      </c>
      <c r="N428" s="102">
        <f t="shared" si="202"/>
        <v>0</v>
      </c>
      <c r="O428" s="102">
        <f t="shared" si="202"/>
        <v>54250</v>
      </c>
    </row>
    <row r="429" spans="1:16" ht="17.25" thickTop="1" thickBot="1" x14ac:dyDescent="0.3">
      <c r="A429" s="275"/>
      <c r="B429" s="101" t="s">
        <v>1047</v>
      </c>
      <c r="C429" s="102">
        <f>+C423+C425+C426+C427</f>
        <v>28443</v>
      </c>
      <c r="D429" s="102">
        <f t="shared" ref="D429:O429" si="203">+D423+D425+D426+D427</f>
        <v>5620</v>
      </c>
      <c r="E429" s="102">
        <f t="shared" si="203"/>
        <v>19651</v>
      </c>
      <c r="F429" s="102">
        <f t="shared" si="203"/>
        <v>0</v>
      </c>
      <c r="G429" s="102">
        <f t="shared" si="203"/>
        <v>0</v>
      </c>
      <c r="H429" s="102">
        <f t="shared" si="203"/>
        <v>53714</v>
      </c>
      <c r="I429" s="102">
        <f t="shared" si="203"/>
        <v>536</v>
      </c>
      <c r="J429" s="102">
        <f t="shared" si="203"/>
        <v>0</v>
      </c>
      <c r="K429" s="102">
        <f t="shared" si="203"/>
        <v>0</v>
      </c>
      <c r="L429" s="102">
        <f t="shared" si="203"/>
        <v>536</v>
      </c>
      <c r="M429" s="102">
        <f t="shared" si="203"/>
        <v>54250</v>
      </c>
      <c r="N429" s="102">
        <f t="shared" si="203"/>
        <v>0</v>
      </c>
      <c r="O429" s="102">
        <f t="shared" si="203"/>
        <v>54250</v>
      </c>
    </row>
    <row r="430" spans="1:16" ht="16.5" thickTop="1" x14ac:dyDescent="0.25">
      <c r="A430" s="264" t="s">
        <v>19</v>
      </c>
      <c r="B430" s="615" t="s">
        <v>516</v>
      </c>
      <c r="C430" s="616"/>
      <c r="D430" s="617"/>
      <c r="E430" s="608"/>
      <c r="F430" s="619"/>
      <c r="G430" s="617"/>
      <c r="H430" s="610"/>
      <c r="I430" s="618"/>
      <c r="J430" s="619"/>
      <c r="K430" s="619"/>
      <c r="L430" s="610"/>
      <c r="M430" s="620"/>
      <c r="N430" s="620"/>
      <c r="O430" s="620"/>
    </row>
    <row r="431" spans="1:16" x14ac:dyDescent="0.25">
      <c r="A431" s="279"/>
      <c r="B431" s="597" t="s">
        <v>998</v>
      </c>
      <c r="C431" s="607">
        <v>147912</v>
      </c>
      <c r="D431" s="608">
        <v>32049</v>
      </c>
      <c r="E431" s="608">
        <v>160190</v>
      </c>
      <c r="F431" s="609"/>
      <c r="G431" s="608"/>
      <c r="H431" s="610">
        <f>SUM(C431:G431)</f>
        <v>340151</v>
      </c>
      <c r="I431" s="611">
        <v>9482</v>
      </c>
      <c r="J431" s="609"/>
      <c r="K431" s="609"/>
      <c r="L431" s="610">
        <f>SUM(I431:K431)</f>
        <v>9482</v>
      </c>
      <c r="M431" s="612">
        <f>SUM(H431+L431)</f>
        <v>349633</v>
      </c>
      <c r="N431" s="612"/>
      <c r="O431" s="612">
        <f>SUM(M431+N431)</f>
        <v>349633</v>
      </c>
    </row>
    <row r="432" spans="1:16" s="274" customFormat="1" x14ac:dyDescent="0.25">
      <c r="A432" s="293"/>
      <c r="B432" s="266" t="s">
        <v>1046</v>
      </c>
      <c r="C432" s="267">
        <v>147912</v>
      </c>
      <c r="D432" s="268">
        <v>32049</v>
      </c>
      <c r="E432" s="268">
        <v>160190</v>
      </c>
      <c r="F432" s="269"/>
      <c r="G432" s="308"/>
      <c r="H432" s="270">
        <f>SUM(C432:G432)</f>
        <v>340151</v>
      </c>
      <c r="I432" s="276">
        <v>9482</v>
      </c>
      <c r="J432" s="269"/>
      <c r="K432" s="308"/>
      <c r="L432" s="270">
        <f>SUM(I432:K432)</f>
        <v>9482</v>
      </c>
      <c r="M432" s="273">
        <f>SUM(H432+L432)</f>
        <v>349633</v>
      </c>
      <c r="N432" s="273"/>
      <c r="O432" s="273">
        <f>SUM(M432+N432)</f>
        <v>349633</v>
      </c>
    </row>
    <row r="433" spans="1:15" s="274" customFormat="1" x14ac:dyDescent="0.25">
      <c r="A433" s="293"/>
      <c r="B433" s="266" t="s">
        <v>161</v>
      </c>
      <c r="C433" s="267"/>
      <c r="D433" s="268"/>
      <c r="E433" s="268"/>
      <c r="F433" s="269"/>
      <c r="G433" s="308"/>
      <c r="H433" s="270"/>
      <c r="I433" s="276"/>
      <c r="J433" s="269"/>
      <c r="K433" s="308"/>
      <c r="L433" s="270"/>
      <c r="M433" s="273"/>
      <c r="N433" s="273"/>
      <c r="O433" s="273"/>
    </row>
    <row r="434" spans="1:15" s="274" customFormat="1" ht="31.5" x14ac:dyDescent="0.25">
      <c r="A434" s="293"/>
      <c r="B434" s="592" t="s">
        <v>1290</v>
      </c>
      <c r="C434" s="287">
        <v>1978</v>
      </c>
      <c r="D434" s="288">
        <v>346</v>
      </c>
      <c r="E434" s="288"/>
      <c r="F434" s="289"/>
      <c r="G434" s="312"/>
      <c r="H434" s="277">
        <f t="shared" ref="H434:H438" si="204">SUM(C434:G434)</f>
        <v>2324</v>
      </c>
      <c r="I434" s="290"/>
      <c r="J434" s="289"/>
      <c r="K434" s="312"/>
      <c r="L434" s="277">
        <f t="shared" ref="L434:L438" si="205">SUM(I434:K434)</f>
        <v>0</v>
      </c>
      <c r="M434" s="278">
        <f t="shared" ref="M434:M438" si="206">SUM(H434+L434)</f>
        <v>2324</v>
      </c>
      <c r="N434" s="278"/>
      <c r="O434" s="278">
        <f t="shared" ref="O434:O438" si="207">SUM(M434+N434)</f>
        <v>2324</v>
      </c>
    </row>
    <row r="435" spans="1:15" s="274" customFormat="1" x14ac:dyDescent="0.25">
      <c r="A435" s="293"/>
      <c r="B435" s="594" t="s">
        <v>1231</v>
      </c>
      <c r="C435" s="287">
        <v>1012</v>
      </c>
      <c r="D435" s="288">
        <v>329</v>
      </c>
      <c r="E435" s="288"/>
      <c r="F435" s="289"/>
      <c r="G435" s="312"/>
      <c r="H435" s="277">
        <f t="shared" si="204"/>
        <v>1341</v>
      </c>
      <c r="I435" s="290"/>
      <c r="J435" s="289"/>
      <c r="K435" s="312"/>
      <c r="L435" s="277">
        <f t="shared" si="205"/>
        <v>0</v>
      </c>
      <c r="M435" s="278">
        <f t="shared" si="206"/>
        <v>1341</v>
      </c>
      <c r="N435" s="278"/>
      <c r="O435" s="278">
        <f t="shared" si="207"/>
        <v>1341</v>
      </c>
    </row>
    <row r="436" spans="1:15" s="274" customFormat="1" ht="31.5" x14ac:dyDescent="0.25">
      <c r="A436" s="293"/>
      <c r="B436" s="592" t="s">
        <v>1277</v>
      </c>
      <c r="C436" s="287">
        <v>23</v>
      </c>
      <c r="D436" s="288">
        <v>4</v>
      </c>
      <c r="E436" s="288"/>
      <c r="F436" s="289"/>
      <c r="G436" s="312"/>
      <c r="H436" s="277">
        <f t="shared" si="204"/>
        <v>27</v>
      </c>
      <c r="I436" s="290"/>
      <c r="J436" s="289"/>
      <c r="K436" s="312"/>
      <c r="L436" s="277">
        <f t="shared" si="205"/>
        <v>0</v>
      </c>
      <c r="M436" s="278">
        <f t="shared" si="206"/>
        <v>27</v>
      </c>
      <c r="N436" s="278"/>
      <c r="O436" s="278">
        <f t="shared" si="207"/>
        <v>27</v>
      </c>
    </row>
    <row r="437" spans="1:15" s="274" customFormat="1" ht="31.5" x14ac:dyDescent="0.25">
      <c r="A437" s="293"/>
      <c r="B437" s="592" t="s">
        <v>1051</v>
      </c>
      <c r="C437" s="287">
        <v>6000</v>
      </c>
      <c r="D437" s="288">
        <v>945</v>
      </c>
      <c r="E437" s="288">
        <v>-6945</v>
      </c>
      <c r="F437" s="289"/>
      <c r="G437" s="312"/>
      <c r="H437" s="277">
        <f t="shared" si="204"/>
        <v>0</v>
      </c>
      <c r="I437" s="290"/>
      <c r="J437" s="289"/>
      <c r="K437" s="312"/>
      <c r="L437" s="277">
        <f t="shared" si="205"/>
        <v>0</v>
      </c>
      <c r="M437" s="278">
        <f t="shared" si="206"/>
        <v>0</v>
      </c>
      <c r="N437" s="278"/>
      <c r="O437" s="278">
        <f t="shared" si="207"/>
        <v>0</v>
      </c>
    </row>
    <row r="438" spans="1:15" s="274" customFormat="1" ht="32.25" thickBot="1" x14ac:dyDescent="0.3">
      <c r="A438" s="293"/>
      <c r="B438" s="597" t="s">
        <v>1153</v>
      </c>
      <c r="C438" s="287"/>
      <c r="D438" s="288"/>
      <c r="E438" s="288">
        <v>37109</v>
      </c>
      <c r="F438" s="289"/>
      <c r="G438" s="312"/>
      <c r="H438" s="277">
        <f t="shared" si="204"/>
        <v>37109</v>
      </c>
      <c r="I438" s="290"/>
      <c r="J438" s="289"/>
      <c r="K438" s="312"/>
      <c r="L438" s="277">
        <f t="shared" si="205"/>
        <v>0</v>
      </c>
      <c r="M438" s="277">
        <f t="shared" si="206"/>
        <v>37109</v>
      </c>
      <c r="N438" s="277"/>
      <c r="O438" s="277">
        <f t="shared" si="207"/>
        <v>37109</v>
      </c>
    </row>
    <row r="439" spans="1:15" ht="17.25" thickTop="1" thickBot="1" x14ac:dyDescent="0.3">
      <c r="A439" s="275"/>
      <c r="B439" s="101" t="s">
        <v>1035</v>
      </c>
      <c r="C439" s="102">
        <f>+C431+C434+C435+C436+C437+C438</f>
        <v>156925</v>
      </c>
      <c r="D439" s="102">
        <f t="shared" ref="D439:O439" si="208">+D431+D434+D435+D436+D437+D438</f>
        <v>33673</v>
      </c>
      <c r="E439" s="102">
        <f t="shared" si="208"/>
        <v>190354</v>
      </c>
      <c r="F439" s="102">
        <f t="shared" si="208"/>
        <v>0</v>
      </c>
      <c r="G439" s="102">
        <f t="shared" si="208"/>
        <v>0</v>
      </c>
      <c r="H439" s="102">
        <f t="shared" si="208"/>
        <v>380952</v>
      </c>
      <c r="I439" s="102">
        <f t="shared" si="208"/>
        <v>9482</v>
      </c>
      <c r="J439" s="102">
        <f t="shared" si="208"/>
        <v>0</v>
      </c>
      <c r="K439" s="102">
        <f t="shared" si="208"/>
        <v>0</v>
      </c>
      <c r="L439" s="102">
        <f t="shared" si="208"/>
        <v>9482</v>
      </c>
      <c r="M439" s="102">
        <f t="shared" si="208"/>
        <v>390434</v>
      </c>
      <c r="N439" s="102">
        <f t="shared" si="208"/>
        <v>0</v>
      </c>
      <c r="O439" s="102">
        <f t="shared" si="208"/>
        <v>390434</v>
      </c>
    </row>
    <row r="440" spans="1:15" ht="17.25" thickTop="1" thickBot="1" x14ac:dyDescent="0.3">
      <c r="A440" s="275"/>
      <c r="B440" s="101" t="s">
        <v>1047</v>
      </c>
      <c r="C440" s="102">
        <f>+C432+C434+C435+C436+C437+C438</f>
        <v>156925</v>
      </c>
      <c r="D440" s="102">
        <f t="shared" ref="D440:O440" si="209">+D432+D434+D435+D436+D437+D438</f>
        <v>33673</v>
      </c>
      <c r="E440" s="102">
        <f t="shared" si="209"/>
        <v>190354</v>
      </c>
      <c r="F440" s="102">
        <f t="shared" si="209"/>
        <v>0</v>
      </c>
      <c r="G440" s="102">
        <f t="shared" si="209"/>
        <v>0</v>
      </c>
      <c r="H440" s="102">
        <f t="shared" si="209"/>
        <v>380952</v>
      </c>
      <c r="I440" s="102">
        <f t="shared" si="209"/>
        <v>9482</v>
      </c>
      <c r="J440" s="102">
        <f t="shared" si="209"/>
        <v>0</v>
      </c>
      <c r="K440" s="102">
        <f t="shared" si="209"/>
        <v>0</v>
      </c>
      <c r="L440" s="102">
        <f t="shared" si="209"/>
        <v>9482</v>
      </c>
      <c r="M440" s="102">
        <f t="shared" si="209"/>
        <v>390434</v>
      </c>
      <c r="N440" s="102">
        <f t="shared" si="209"/>
        <v>0</v>
      </c>
      <c r="O440" s="102">
        <f t="shared" si="209"/>
        <v>390434</v>
      </c>
    </row>
    <row r="441" spans="1:15" ht="16.5" thickTop="1" x14ac:dyDescent="0.25">
      <c r="A441" s="264" t="s">
        <v>20</v>
      </c>
      <c r="B441" s="615" t="s">
        <v>412</v>
      </c>
      <c r="C441" s="616"/>
      <c r="D441" s="617"/>
      <c r="E441" s="608"/>
      <c r="F441" s="619"/>
      <c r="G441" s="617"/>
      <c r="H441" s="610"/>
      <c r="I441" s="618"/>
      <c r="J441" s="619"/>
      <c r="K441" s="619"/>
      <c r="L441" s="610"/>
      <c r="M441" s="620"/>
      <c r="N441" s="620"/>
      <c r="O441" s="620"/>
    </row>
    <row r="442" spans="1:15" x14ac:dyDescent="0.25">
      <c r="A442" s="264"/>
      <c r="B442" s="592" t="s">
        <v>998</v>
      </c>
      <c r="C442" s="616">
        <v>475122</v>
      </c>
      <c r="D442" s="617">
        <v>99213</v>
      </c>
      <c r="E442" s="608">
        <v>545502</v>
      </c>
      <c r="F442" s="619"/>
      <c r="G442" s="617"/>
      <c r="H442" s="610">
        <f>SUM(C442:G442)</f>
        <v>1119837</v>
      </c>
      <c r="I442" s="611">
        <v>9902</v>
      </c>
      <c r="J442" s="609"/>
      <c r="K442" s="609"/>
      <c r="L442" s="610">
        <f>SUM(I442:K442)</f>
        <v>9902</v>
      </c>
      <c r="M442" s="612">
        <f>SUM(H442+L442)</f>
        <v>1129739</v>
      </c>
      <c r="N442" s="612"/>
      <c r="O442" s="612">
        <f>SUM(M442+N442)</f>
        <v>1129739</v>
      </c>
    </row>
    <row r="443" spans="1:15" s="274" customFormat="1" x14ac:dyDescent="0.25">
      <c r="A443" s="313"/>
      <c r="B443" s="266" t="s">
        <v>1046</v>
      </c>
      <c r="C443" s="314">
        <v>475122</v>
      </c>
      <c r="D443" s="315">
        <v>99213</v>
      </c>
      <c r="E443" s="316">
        <v>545502</v>
      </c>
      <c r="F443" s="302"/>
      <c r="G443" s="315"/>
      <c r="H443" s="270">
        <f>SUM(C443:G443)</f>
        <v>1119837</v>
      </c>
      <c r="I443" s="276">
        <v>9902</v>
      </c>
      <c r="J443" s="269"/>
      <c r="K443" s="269"/>
      <c r="L443" s="270">
        <f>SUM(I443:K443)</f>
        <v>9902</v>
      </c>
      <c r="M443" s="273">
        <f>SUM(H443+L443)</f>
        <v>1129739</v>
      </c>
      <c r="N443" s="273"/>
      <c r="O443" s="273">
        <f>SUM(M443+N443)</f>
        <v>1129739</v>
      </c>
    </row>
    <row r="444" spans="1:15" s="274" customFormat="1" x14ac:dyDescent="0.25">
      <c r="A444" s="293"/>
      <c r="B444" s="266" t="s">
        <v>161</v>
      </c>
      <c r="C444" s="267"/>
      <c r="D444" s="268"/>
      <c r="E444" s="268"/>
      <c r="F444" s="269"/>
      <c r="G444" s="308"/>
      <c r="H444" s="270"/>
      <c r="I444" s="276"/>
      <c r="J444" s="269"/>
      <c r="K444" s="308"/>
      <c r="L444" s="270"/>
      <c r="M444" s="273"/>
      <c r="N444" s="273"/>
      <c r="O444" s="273"/>
    </row>
    <row r="445" spans="1:15" s="274" customFormat="1" x14ac:dyDescent="0.25">
      <c r="A445" s="293"/>
      <c r="B445" s="592" t="s">
        <v>1229</v>
      </c>
      <c r="C445" s="287">
        <v>140</v>
      </c>
      <c r="D445" s="288">
        <v>25</v>
      </c>
      <c r="E445" s="288"/>
      <c r="F445" s="289"/>
      <c r="G445" s="312"/>
      <c r="H445" s="277">
        <f t="shared" ref="H445:H449" si="210">SUM(C445:G445)</f>
        <v>165</v>
      </c>
      <c r="I445" s="290"/>
      <c r="J445" s="289"/>
      <c r="K445" s="312"/>
      <c r="L445" s="277">
        <f t="shared" ref="L445:L449" si="211">SUM(I445:K445)</f>
        <v>0</v>
      </c>
      <c r="M445" s="278">
        <f t="shared" ref="M445:M449" si="212">SUM(H445+L445)</f>
        <v>165</v>
      </c>
      <c r="N445" s="278"/>
      <c r="O445" s="278">
        <f t="shared" ref="O445:O449" si="213">SUM(M445+N445)</f>
        <v>165</v>
      </c>
    </row>
    <row r="446" spans="1:15" s="274" customFormat="1" ht="31.5" x14ac:dyDescent="0.25">
      <c r="A446" s="293"/>
      <c r="B446" s="592" t="s">
        <v>1290</v>
      </c>
      <c r="C446" s="287">
        <v>4993</v>
      </c>
      <c r="D446" s="288">
        <v>874</v>
      </c>
      <c r="E446" s="288"/>
      <c r="F446" s="289"/>
      <c r="G446" s="312"/>
      <c r="H446" s="277">
        <f t="shared" si="210"/>
        <v>5867</v>
      </c>
      <c r="I446" s="290"/>
      <c r="J446" s="289"/>
      <c r="K446" s="312"/>
      <c r="L446" s="277">
        <f t="shared" si="211"/>
        <v>0</v>
      </c>
      <c r="M446" s="278">
        <f t="shared" si="212"/>
        <v>5867</v>
      </c>
      <c r="N446" s="278"/>
      <c r="O446" s="278">
        <f t="shared" si="213"/>
        <v>5867</v>
      </c>
    </row>
    <row r="447" spans="1:15" s="274" customFormat="1" x14ac:dyDescent="0.25">
      <c r="A447" s="293"/>
      <c r="B447" s="594" t="s">
        <v>1231</v>
      </c>
      <c r="C447" s="287">
        <v>2771</v>
      </c>
      <c r="D447" s="288">
        <v>900</v>
      </c>
      <c r="E447" s="288"/>
      <c r="F447" s="289"/>
      <c r="G447" s="312"/>
      <c r="H447" s="277">
        <f t="shared" si="210"/>
        <v>3671</v>
      </c>
      <c r="I447" s="290"/>
      <c r="J447" s="289"/>
      <c r="K447" s="312"/>
      <c r="L447" s="277">
        <f t="shared" si="211"/>
        <v>0</v>
      </c>
      <c r="M447" s="277">
        <f t="shared" si="212"/>
        <v>3671</v>
      </c>
      <c r="N447" s="277"/>
      <c r="O447" s="277">
        <f t="shared" si="213"/>
        <v>3671</v>
      </c>
    </row>
    <row r="448" spans="1:15" s="274" customFormat="1" ht="31.5" x14ac:dyDescent="0.25">
      <c r="A448" s="293"/>
      <c r="B448" s="597" t="s">
        <v>1051</v>
      </c>
      <c r="C448" s="287"/>
      <c r="D448" s="288"/>
      <c r="E448" s="288">
        <v>-5216</v>
      </c>
      <c r="F448" s="289"/>
      <c r="G448" s="312"/>
      <c r="H448" s="277">
        <f t="shared" si="210"/>
        <v>-5216</v>
      </c>
      <c r="I448" s="290">
        <v>5216</v>
      </c>
      <c r="J448" s="289"/>
      <c r="K448" s="312"/>
      <c r="L448" s="277">
        <f t="shared" si="211"/>
        <v>5216</v>
      </c>
      <c r="M448" s="277">
        <f t="shared" si="212"/>
        <v>0</v>
      </c>
      <c r="N448" s="277"/>
      <c r="O448" s="277">
        <f t="shared" si="213"/>
        <v>0</v>
      </c>
    </row>
    <row r="449" spans="1:15" s="274" customFormat="1" ht="32.25" thickBot="1" x14ac:dyDescent="0.3">
      <c r="A449" s="293"/>
      <c r="B449" s="597" t="s">
        <v>1292</v>
      </c>
      <c r="C449" s="287"/>
      <c r="D449" s="288"/>
      <c r="E449" s="288">
        <v>33061</v>
      </c>
      <c r="F449" s="289"/>
      <c r="G449" s="312"/>
      <c r="H449" s="277">
        <f t="shared" si="210"/>
        <v>33061</v>
      </c>
      <c r="I449" s="290"/>
      <c r="J449" s="289"/>
      <c r="K449" s="312"/>
      <c r="L449" s="277">
        <f t="shared" si="211"/>
        <v>0</v>
      </c>
      <c r="M449" s="278">
        <f t="shared" si="212"/>
        <v>33061</v>
      </c>
      <c r="N449" s="278"/>
      <c r="O449" s="278">
        <f t="shared" si="213"/>
        <v>33061</v>
      </c>
    </row>
    <row r="450" spans="1:15" ht="17.25" thickTop="1" thickBot="1" x14ac:dyDescent="0.3">
      <c r="A450" s="275"/>
      <c r="B450" s="101" t="s">
        <v>1035</v>
      </c>
      <c r="C450" s="102">
        <f>+C442+C445+C446+C447+C448+C449</f>
        <v>483026</v>
      </c>
      <c r="D450" s="102">
        <f t="shared" ref="D450:O450" si="214">+D442+D445+D446+D447+D448+D449</f>
        <v>101012</v>
      </c>
      <c r="E450" s="102">
        <f t="shared" si="214"/>
        <v>573347</v>
      </c>
      <c r="F450" s="102">
        <f t="shared" si="214"/>
        <v>0</v>
      </c>
      <c r="G450" s="102">
        <f t="shared" si="214"/>
        <v>0</v>
      </c>
      <c r="H450" s="102">
        <f t="shared" si="214"/>
        <v>1157385</v>
      </c>
      <c r="I450" s="102">
        <f t="shared" si="214"/>
        <v>15118</v>
      </c>
      <c r="J450" s="102">
        <f t="shared" si="214"/>
        <v>0</v>
      </c>
      <c r="K450" s="102">
        <f t="shared" si="214"/>
        <v>0</v>
      </c>
      <c r="L450" s="102">
        <f t="shared" si="214"/>
        <v>15118</v>
      </c>
      <c r="M450" s="102">
        <f t="shared" si="214"/>
        <v>1172503</v>
      </c>
      <c r="N450" s="102">
        <f t="shared" si="214"/>
        <v>0</v>
      </c>
      <c r="O450" s="102">
        <f t="shared" si="214"/>
        <v>1172503</v>
      </c>
    </row>
    <row r="451" spans="1:15" ht="17.25" thickTop="1" thickBot="1" x14ac:dyDescent="0.3">
      <c r="A451" s="275"/>
      <c r="B451" s="101" t="s">
        <v>1047</v>
      </c>
      <c r="C451" s="102">
        <f>+C443+C445+C446+C447+C448+C449</f>
        <v>483026</v>
      </c>
      <c r="D451" s="102">
        <f t="shared" ref="D451:O451" si="215">+D443+D445+D446+D447+D448+D449</f>
        <v>101012</v>
      </c>
      <c r="E451" s="102">
        <f t="shared" si="215"/>
        <v>573347</v>
      </c>
      <c r="F451" s="102">
        <f t="shared" si="215"/>
        <v>0</v>
      </c>
      <c r="G451" s="102">
        <f t="shared" si="215"/>
        <v>0</v>
      </c>
      <c r="H451" s="102">
        <f t="shared" si="215"/>
        <v>1157385</v>
      </c>
      <c r="I451" s="102">
        <f t="shared" si="215"/>
        <v>15118</v>
      </c>
      <c r="J451" s="102">
        <f t="shared" si="215"/>
        <v>0</v>
      </c>
      <c r="K451" s="102">
        <f t="shared" si="215"/>
        <v>0</v>
      </c>
      <c r="L451" s="102">
        <f t="shared" si="215"/>
        <v>15118</v>
      </c>
      <c r="M451" s="102">
        <f t="shared" si="215"/>
        <v>1172503</v>
      </c>
      <c r="N451" s="102">
        <f t="shared" si="215"/>
        <v>0</v>
      </c>
      <c r="O451" s="102">
        <f t="shared" si="215"/>
        <v>1172503</v>
      </c>
    </row>
    <row r="452" spans="1:15" ht="16.5" thickTop="1" x14ac:dyDescent="0.25">
      <c r="A452" s="264" t="s">
        <v>21</v>
      </c>
      <c r="B452" s="615" t="s">
        <v>845</v>
      </c>
      <c r="C452" s="616"/>
      <c r="D452" s="617"/>
      <c r="E452" s="608"/>
      <c r="F452" s="619"/>
      <c r="G452" s="617"/>
      <c r="H452" s="610"/>
      <c r="I452" s="618"/>
      <c r="J452" s="619"/>
      <c r="K452" s="619"/>
      <c r="L452" s="610"/>
      <c r="M452" s="620"/>
      <c r="N452" s="620"/>
      <c r="O452" s="620"/>
    </row>
    <row r="453" spans="1:15" s="274" customFormat="1" x14ac:dyDescent="0.25">
      <c r="A453" s="293"/>
      <c r="B453" s="317" t="s">
        <v>998</v>
      </c>
      <c r="C453" s="287">
        <v>104890</v>
      </c>
      <c r="D453" s="288">
        <v>20428</v>
      </c>
      <c r="E453" s="288">
        <v>84233</v>
      </c>
      <c r="F453" s="289"/>
      <c r="G453" s="312"/>
      <c r="H453" s="277">
        <f t="shared" ref="H453:H459" si="216">SUM(C453:G453)</f>
        <v>209551</v>
      </c>
      <c r="I453" s="290">
        <v>5603</v>
      </c>
      <c r="J453" s="289"/>
      <c r="K453" s="312"/>
      <c r="L453" s="277">
        <f t="shared" ref="L453:L459" si="217">SUM(I453:K453)</f>
        <v>5603</v>
      </c>
      <c r="M453" s="278">
        <f t="shared" ref="M453:M459" si="218">SUM(H453+L453)</f>
        <v>215154</v>
      </c>
      <c r="N453" s="278"/>
      <c r="O453" s="278">
        <f t="shared" ref="O453:O459" si="219">SUM(M453+N453)</f>
        <v>215154</v>
      </c>
    </row>
    <row r="454" spans="1:15" s="274" customFormat="1" x14ac:dyDescent="0.25">
      <c r="A454" s="313"/>
      <c r="B454" s="266" t="s">
        <v>1048</v>
      </c>
      <c r="C454" s="314">
        <v>104890</v>
      </c>
      <c r="D454" s="315">
        <v>20428</v>
      </c>
      <c r="E454" s="316">
        <v>84233</v>
      </c>
      <c r="F454" s="302"/>
      <c r="G454" s="315"/>
      <c r="H454" s="270">
        <f t="shared" si="216"/>
        <v>209551</v>
      </c>
      <c r="I454" s="276">
        <v>5603</v>
      </c>
      <c r="J454" s="269"/>
      <c r="K454" s="269"/>
      <c r="L454" s="277">
        <f t="shared" si="217"/>
        <v>5603</v>
      </c>
      <c r="M454" s="273">
        <f t="shared" si="218"/>
        <v>215154</v>
      </c>
      <c r="N454" s="273"/>
      <c r="O454" s="273">
        <f t="shared" si="219"/>
        <v>215154</v>
      </c>
    </row>
    <row r="455" spans="1:15" s="274" customFormat="1" x14ac:dyDescent="0.25">
      <c r="A455" s="293"/>
      <c r="B455" s="280" t="s">
        <v>161</v>
      </c>
      <c r="C455" s="267"/>
      <c r="D455" s="268"/>
      <c r="E455" s="268"/>
      <c r="F455" s="269"/>
      <c r="G455" s="308"/>
      <c r="H455" s="270"/>
      <c r="I455" s="276"/>
      <c r="J455" s="269"/>
      <c r="K455" s="308"/>
      <c r="L455" s="277"/>
      <c r="M455" s="270"/>
      <c r="N455" s="270"/>
      <c r="O455" s="270"/>
    </row>
    <row r="456" spans="1:15" s="274" customFormat="1" ht="31.5" x14ac:dyDescent="0.25">
      <c r="A456" s="293"/>
      <c r="B456" s="592" t="s">
        <v>1290</v>
      </c>
      <c r="C456" s="287">
        <v>730</v>
      </c>
      <c r="D456" s="288">
        <v>128</v>
      </c>
      <c r="E456" s="288"/>
      <c r="F456" s="289"/>
      <c r="G456" s="312"/>
      <c r="H456" s="277">
        <f t="shared" si="216"/>
        <v>858</v>
      </c>
      <c r="I456" s="290"/>
      <c r="J456" s="289"/>
      <c r="K456" s="312"/>
      <c r="L456" s="277">
        <f t="shared" si="217"/>
        <v>0</v>
      </c>
      <c r="M456" s="277">
        <f t="shared" si="218"/>
        <v>858</v>
      </c>
      <c r="N456" s="277"/>
      <c r="O456" s="277">
        <f t="shared" si="219"/>
        <v>858</v>
      </c>
    </row>
    <row r="457" spans="1:15" s="274" customFormat="1" x14ac:dyDescent="0.25">
      <c r="A457" s="293"/>
      <c r="B457" s="594" t="s">
        <v>1231</v>
      </c>
      <c r="C457" s="287">
        <v>502</v>
      </c>
      <c r="D457" s="288">
        <v>163</v>
      </c>
      <c r="E457" s="288"/>
      <c r="F457" s="289"/>
      <c r="G457" s="312"/>
      <c r="H457" s="277">
        <f t="shared" si="216"/>
        <v>665</v>
      </c>
      <c r="I457" s="290"/>
      <c r="J457" s="289"/>
      <c r="K457" s="312"/>
      <c r="L457" s="277">
        <f t="shared" si="217"/>
        <v>0</v>
      </c>
      <c r="M457" s="278">
        <f t="shared" si="218"/>
        <v>665</v>
      </c>
      <c r="N457" s="278"/>
      <c r="O457" s="278">
        <f t="shared" si="219"/>
        <v>665</v>
      </c>
    </row>
    <row r="458" spans="1:15" s="274" customFormat="1" ht="31.5" x14ac:dyDescent="0.25">
      <c r="A458" s="293"/>
      <c r="B458" s="592" t="s">
        <v>1051</v>
      </c>
      <c r="C458" s="287"/>
      <c r="D458" s="288"/>
      <c r="E458" s="288">
        <v>-1436</v>
      </c>
      <c r="F458" s="289"/>
      <c r="G458" s="312"/>
      <c r="H458" s="277">
        <f t="shared" si="216"/>
        <v>-1436</v>
      </c>
      <c r="I458" s="290">
        <v>1436</v>
      </c>
      <c r="J458" s="289"/>
      <c r="K458" s="312"/>
      <c r="L458" s="277">
        <f t="shared" si="217"/>
        <v>1436</v>
      </c>
      <c r="M458" s="278">
        <f t="shared" si="218"/>
        <v>0</v>
      </c>
      <c r="N458" s="278"/>
      <c r="O458" s="278">
        <f t="shared" si="219"/>
        <v>0</v>
      </c>
    </row>
    <row r="459" spans="1:15" s="274" customFormat="1" ht="32.25" thickBot="1" x14ac:dyDescent="0.3">
      <c r="A459" s="293"/>
      <c r="B459" s="597" t="s">
        <v>1153</v>
      </c>
      <c r="C459" s="287"/>
      <c r="D459" s="288"/>
      <c r="E459" s="288">
        <v>763</v>
      </c>
      <c r="F459" s="289"/>
      <c r="G459" s="312"/>
      <c r="H459" s="277">
        <f t="shared" si="216"/>
        <v>763</v>
      </c>
      <c r="I459" s="290"/>
      <c r="J459" s="289"/>
      <c r="K459" s="312"/>
      <c r="L459" s="277">
        <f t="shared" si="217"/>
        <v>0</v>
      </c>
      <c r="M459" s="278">
        <f t="shared" si="218"/>
        <v>763</v>
      </c>
      <c r="N459" s="278"/>
      <c r="O459" s="278">
        <f t="shared" si="219"/>
        <v>763</v>
      </c>
    </row>
    <row r="460" spans="1:15" ht="17.25" thickTop="1" thickBot="1" x14ac:dyDescent="0.3">
      <c r="A460" s="275"/>
      <c r="B460" s="101" t="s">
        <v>1035</v>
      </c>
      <c r="C460" s="102">
        <f>+C453+C456+C457+C458+C459</f>
        <v>106122</v>
      </c>
      <c r="D460" s="102">
        <f t="shared" ref="D460:O460" si="220">+D453+D456+D457+D458+D459</f>
        <v>20719</v>
      </c>
      <c r="E460" s="102">
        <f t="shared" si="220"/>
        <v>83560</v>
      </c>
      <c r="F460" s="102">
        <f t="shared" si="220"/>
        <v>0</v>
      </c>
      <c r="G460" s="102">
        <f t="shared" si="220"/>
        <v>0</v>
      </c>
      <c r="H460" s="102">
        <f t="shared" si="220"/>
        <v>210401</v>
      </c>
      <c r="I460" s="102">
        <f t="shared" si="220"/>
        <v>7039</v>
      </c>
      <c r="J460" s="102">
        <f t="shared" si="220"/>
        <v>0</v>
      </c>
      <c r="K460" s="102">
        <f t="shared" si="220"/>
        <v>0</v>
      </c>
      <c r="L460" s="102">
        <f t="shared" si="220"/>
        <v>7039</v>
      </c>
      <c r="M460" s="102">
        <f t="shared" si="220"/>
        <v>217440</v>
      </c>
      <c r="N460" s="102">
        <f t="shared" si="220"/>
        <v>0</v>
      </c>
      <c r="O460" s="102">
        <f t="shared" si="220"/>
        <v>217440</v>
      </c>
    </row>
    <row r="461" spans="1:15" ht="17.25" thickTop="1" thickBot="1" x14ac:dyDescent="0.3">
      <c r="A461" s="275"/>
      <c r="B461" s="101" t="s">
        <v>1047</v>
      </c>
      <c r="C461" s="102">
        <f>+C454+C456+C457+C458+C459</f>
        <v>106122</v>
      </c>
      <c r="D461" s="102">
        <f t="shared" ref="D461:O461" si="221">+D454+D456+D457+D458+D459</f>
        <v>20719</v>
      </c>
      <c r="E461" s="102">
        <f t="shared" si="221"/>
        <v>83560</v>
      </c>
      <c r="F461" s="102">
        <f t="shared" si="221"/>
        <v>0</v>
      </c>
      <c r="G461" s="102">
        <f t="shared" si="221"/>
        <v>0</v>
      </c>
      <c r="H461" s="102">
        <f t="shared" si="221"/>
        <v>210401</v>
      </c>
      <c r="I461" s="102">
        <f t="shared" si="221"/>
        <v>7039</v>
      </c>
      <c r="J461" s="102">
        <f t="shared" si="221"/>
        <v>0</v>
      </c>
      <c r="K461" s="102">
        <f t="shared" si="221"/>
        <v>0</v>
      </c>
      <c r="L461" s="102">
        <f t="shared" si="221"/>
        <v>7039</v>
      </c>
      <c r="M461" s="102">
        <f t="shared" si="221"/>
        <v>217440</v>
      </c>
      <c r="N461" s="102">
        <f t="shared" si="221"/>
        <v>0</v>
      </c>
      <c r="O461" s="102">
        <f t="shared" si="221"/>
        <v>217440</v>
      </c>
    </row>
    <row r="462" spans="1:15" ht="16.5" thickTop="1" x14ac:dyDescent="0.25">
      <c r="A462" s="264" t="s">
        <v>754</v>
      </c>
      <c r="B462" s="615" t="s">
        <v>413</v>
      </c>
      <c r="C462" s="616"/>
      <c r="D462" s="608"/>
      <c r="E462" s="608"/>
      <c r="F462" s="609"/>
      <c r="G462" s="617"/>
      <c r="H462" s="610"/>
      <c r="I462" s="618"/>
      <c r="J462" s="619"/>
      <c r="K462" s="619"/>
      <c r="L462" s="610"/>
      <c r="M462" s="620"/>
      <c r="N462" s="620"/>
      <c r="O462" s="620"/>
    </row>
    <row r="463" spans="1:15" x14ac:dyDescent="0.25">
      <c r="A463" s="264"/>
      <c r="B463" s="592" t="s">
        <v>998</v>
      </c>
      <c r="C463" s="616">
        <v>110793</v>
      </c>
      <c r="D463" s="608">
        <v>21904</v>
      </c>
      <c r="E463" s="608">
        <v>100689</v>
      </c>
      <c r="F463" s="609"/>
      <c r="G463" s="617"/>
      <c r="H463" s="610">
        <f>SUM(C463:G463)</f>
        <v>233386</v>
      </c>
      <c r="I463" s="611">
        <v>9868</v>
      </c>
      <c r="J463" s="609"/>
      <c r="K463" s="609"/>
      <c r="L463" s="610">
        <f>SUM(I463:K463)</f>
        <v>9868</v>
      </c>
      <c r="M463" s="612">
        <f>SUM(H463+L463)</f>
        <v>243254</v>
      </c>
      <c r="N463" s="612"/>
      <c r="O463" s="612">
        <f>SUM(M463+N463)</f>
        <v>243254</v>
      </c>
    </row>
    <row r="464" spans="1:15" s="274" customFormat="1" x14ac:dyDescent="0.25">
      <c r="A464" s="265"/>
      <c r="B464" s="266" t="s">
        <v>1033</v>
      </c>
      <c r="C464" s="281">
        <v>99210</v>
      </c>
      <c r="D464" s="268">
        <v>19528</v>
      </c>
      <c r="E464" s="268">
        <v>78950</v>
      </c>
      <c r="F464" s="269"/>
      <c r="G464" s="282"/>
      <c r="H464" s="270">
        <f>SUM(C464:G464)</f>
        <v>197688</v>
      </c>
      <c r="I464" s="276"/>
      <c r="J464" s="269"/>
      <c r="K464" s="269"/>
      <c r="L464" s="270">
        <f>SUM(I464:K464)</f>
        <v>0</v>
      </c>
      <c r="M464" s="273">
        <f>SUM(H464+L464)</f>
        <v>197688</v>
      </c>
      <c r="N464" s="273"/>
      <c r="O464" s="273">
        <f>SUM(M464+N464)</f>
        <v>197688</v>
      </c>
    </row>
    <row r="465" spans="1:16" s="274" customFormat="1" x14ac:dyDescent="0.25">
      <c r="A465" s="265"/>
      <c r="B465" s="266" t="s">
        <v>1034</v>
      </c>
      <c r="C465" s="281">
        <v>11583</v>
      </c>
      <c r="D465" s="268">
        <v>2376</v>
      </c>
      <c r="E465" s="268">
        <v>21739</v>
      </c>
      <c r="F465" s="269"/>
      <c r="G465" s="282"/>
      <c r="H465" s="270">
        <f>SUM(C465:G465)</f>
        <v>35698</v>
      </c>
      <c r="I465" s="276">
        <v>9868</v>
      </c>
      <c r="J465" s="269"/>
      <c r="K465" s="269"/>
      <c r="L465" s="270">
        <f>SUM(I465:K465)</f>
        <v>9868</v>
      </c>
      <c r="M465" s="273">
        <f>SUM(H465+L465)</f>
        <v>45566</v>
      </c>
      <c r="N465" s="273"/>
      <c r="O465" s="273">
        <f>SUM(M465+N465)</f>
        <v>45566</v>
      </c>
    </row>
    <row r="466" spans="1:16" s="274" customFormat="1" x14ac:dyDescent="0.25">
      <c r="A466" s="265"/>
      <c r="B466" s="266" t="s">
        <v>160</v>
      </c>
      <c r="C466" s="281"/>
      <c r="D466" s="268"/>
      <c r="E466" s="268"/>
      <c r="F466" s="269"/>
      <c r="G466" s="282"/>
      <c r="H466" s="270"/>
      <c r="I466" s="276"/>
      <c r="J466" s="269"/>
      <c r="K466" s="269"/>
      <c r="L466" s="270"/>
      <c r="M466" s="273"/>
      <c r="N466" s="273"/>
      <c r="O466" s="273"/>
    </row>
    <row r="467" spans="1:16" s="274" customFormat="1" ht="31.5" x14ac:dyDescent="0.25">
      <c r="A467" s="265"/>
      <c r="B467" s="592" t="s">
        <v>1290</v>
      </c>
      <c r="C467" s="304">
        <v>1374</v>
      </c>
      <c r="D467" s="288">
        <v>241</v>
      </c>
      <c r="E467" s="288"/>
      <c r="F467" s="289"/>
      <c r="G467" s="305"/>
      <c r="H467" s="277">
        <f t="shared" ref="H467:H479" si="222">SUM(C467:G467)</f>
        <v>1615</v>
      </c>
      <c r="I467" s="290"/>
      <c r="J467" s="289"/>
      <c r="K467" s="289"/>
      <c r="L467" s="277">
        <f t="shared" ref="L467:L479" si="223">SUM(I467:K467)</f>
        <v>0</v>
      </c>
      <c r="M467" s="278">
        <f t="shared" ref="M467:M479" si="224">SUM(H467+L467)</f>
        <v>1615</v>
      </c>
      <c r="N467" s="278"/>
      <c r="O467" s="278">
        <f t="shared" ref="O467:O479" si="225">SUM(M467+N467)</f>
        <v>1615</v>
      </c>
    </row>
    <row r="468" spans="1:16" s="274" customFormat="1" ht="47.25" x14ac:dyDescent="0.25">
      <c r="A468" s="265"/>
      <c r="B468" s="592" t="s">
        <v>1293</v>
      </c>
      <c r="C468" s="304"/>
      <c r="D468" s="288"/>
      <c r="E468" s="288">
        <v>10337</v>
      </c>
      <c r="F468" s="289"/>
      <c r="G468" s="305"/>
      <c r="H468" s="277">
        <f t="shared" si="222"/>
        <v>10337</v>
      </c>
      <c r="I468" s="290"/>
      <c r="J468" s="289"/>
      <c r="K468" s="289"/>
      <c r="L468" s="277">
        <f t="shared" si="223"/>
        <v>0</v>
      </c>
      <c r="M468" s="278">
        <f t="shared" si="224"/>
        <v>10337</v>
      </c>
      <c r="N468" s="278"/>
      <c r="O468" s="278">
        <f t="shared" si="225"/>
        <v>10337</v>
      </c>
    </row>
    <row r="469" spans="1:16" s="274" customFormat="1" ht="31.5" x14ac:dyDescent="0.25">
      <c r="A469" s="265"/>
      <c r="B469" s="592" t="s">
        <v>1294</v>
      </c>
      <c r="C469" s="304"/>
      <c r="D469" s="288"/>
      <c r="E469" s="288">
        <v>2000</v>
      </c>
      <c r="F469" s="289"/>
      <c r="G469" s="305"/>
      <c r="H469" s="277">
        <f t="shared" si="222"/>
        <v>2000</v>
      </c>
      <c r="I469" s="290">
        <v>351</v>
      </c>
      <c r="J469" s="289"/>
      <c r="K469" s="289"/>
      <c r="L469" s="277">
        <f t="shared" si="223"/>
        <v>351</v>
      </c>
      <c r="M469" s="278">
        <f t="shared" si="224"/>
        <v>2351</v>
      </c>
      <c r="N469" s="278"/>
      <c r="O469" s="278">
        <f t="shared" si="225"/>
        <v>2351</v>
      </c>
    </row>
    <row r="470" spans="1:16" s="274" customFormat="1" x14ac:dyDescent="0.25">
      <c r="A470" s="265"/>
      <c r="B470" s="592" t="s">
        <v>1258</v>
      </c>
      <c r="C470" s="304"/>
      <c r="D470" s="288"/>
      <c r="E470" s="288">
        <v>35663</v>
      </c>
      <c r="F470" s="289"/>
      <c r="G470" s="305"/>
      <c r="H470" s="277">
        <f t="shared" si="222"/>
        <v>35663</v>
      </c>
      <c r="I470" s="290"/>
      <c r="J470" s="289"/>
      <c r="K470" s="289"/>
      <c r="L470" s="277">
        <f t="shared" si="223"/>
        <v>0</v>
      </c>
      <c r="M470" s="278">
        <f t="shared" si="224"/>
        <v>35663</v>
      </c>
      <c r="N470" s="278"/>
      <c r="O470" s="278">
        <f t="shared" si="225"/>
        <v>35663</v>
      </c>
    </row>
    <row r="471" spans="1:16" s="274" customFormat="1" x14ac:dyDescent="0.25">
      <c r="A471" s="265"/>
      <c r="B471" s="266" t="s">
        <v>161</v>
      </c>
      <c r="C471" s="304"/>
      <c r="D471" s="288"/>
      <c r="E471" s="288"/>
      <c r="F471" s="289"/>
      <c r="G471" s="305"/>
      <c r="H471" s="277"/>
      <c r="I471" s="290"/>
      <c r="J471" s="289"/>
      <c r="K471" s="289"/>
      <c r="L471" s="277"/>
      <c r="M471" s="278"/>
      <c r="N471" s="278"/>
      <c r="O471" s="278"/>
    </row>
    <row r="472" spans="1:16" s="274" customFormat="1" x14ac:dyDescent="0.25">
      <c r="A472" s="265"/>
      <c r="B472" s="594" t="s">
        <v>1231</v>
      </c>
      <c r="C472" s="304">
        <v>911</v>
      </c>
      <c r="D472" s="288">
        <v>296</v>
      </c>
      <c r="E472" s="288"/>
      <c r="F472" s="289"/>
      <c r="G472" s="305"/>
      <c r="H472" s="277">
        <f t="shared" si="222"/>
        <v>1207</v>
      </c>
      <c r="I472" s="290"/>
      <c r="J472" s="289"/>
      <c r="K472" s="289"/>
      <c r="L472" s="277">
        <f t="shared" si="223"/>
        <v>0</v>
      </c>
      <c r="M472" s="278">
        <f t="shared" si="224"/>
        <v>1207</v>
      </c>
      <c r="N472" s="278"/>
      <c r="O472" s="278">
        <f t="shared" si="225"/>
        <v>1207</v>
      </c>
    </row>
    <row r="473" spans="1:16" s="274" customFormat="1" ht="31.5" x14ac:dyDescent="0.25">
      <c r="A473" s="265"/>
      <c r="B473" s="592" t="s">
        <v>1277</v>
      </c>
      <c r="C473" s="304">
        <v>180</v>
      </c>
      <c r="D473" s="288">
        <v>31</v>
      </c>
      <c r="E473" s="288"/>
      <c r="F473" s="289"/>
      <c r="G473" s="305"/>
      <c r="H473" s="277">
        <f t="shared" si="222"/>
        <v>211</v>
      </c>
      <c r="I473" s="290"/>
      <c r="J473" s="289"/>
      <c r="K473" s="289"/>
      <c r="L473" s="277">
        <f t="shared" si="223"/>
        <v>0</v>
      </c>
      <c r="M473" s="278">
        <f t="shared" si="224"/>
        <v>211</v>
      </c>
      <c r="N473" s="278"/>
      <c r="O473" s="278">
        <f t="shared" si="225"/>
        <v>211</v>
      </c>
    </row>
    <row r="474" spans="1:16" s="274" customFormat="1" ht="63" x14ac:dyDescent="0.25">
      <c r="A474" s="265"/>
      <c r="B474" s="592" t="s">
        <v>1154</v>
      </c>
      <c r="C474" s="304"/>
      <c r="D474" s="288"/>
      <c r="E474" s="288">
        <v>70</v>
      </c>
      <c r="F474" s="289"/>
      <c r="G474" s="305"/>
      <c r="H474" s="277">
        <f t="shared" si="222"/>
        <v>70</v>
      </c>
      <c r="I474" s="290"/>
      <c r="J474" s="289"/>
      <c r="K474" s="289"/>
      <c r="L474" s="277">
        <f t="shared" si="223"/>
        <v>0</v>
      </c>
      <c r="M474" s="278">
        <f t="shared" si="224"/>
        <v>70</v>
      </c>
      <c r="N474" s="278"/>
      <c r="O474" s="278">
        <f t="shared" si="225"/>
        <v>70</v>
      </c>
    </row>
    <row r="475" spans="1:16" s="274" customFormat="1" ht="78.75" x14ac:dyDescent="0.25">
      <c r="A475" s="265"/>
      <c r="B475" s="592" t="s">
        <v>1295</v>
      </c>
      <c r="C475" s="304"/>
      <c r="D475" s="288"/>
      <c r="E475" s="288">
        <v>450</v>
      </c>
      <c r="F475" s="289"/>
      <c r="G475" s="305"/>
      <c r="H475" s="277">
        <f t="shared" si="222"/>
        <v>450</v>
      </c>
      <c r="I475" s="290"/>
      <c r="J475" s="289"/>
      <c r="K475" s="289"/>
      <c r="L475" s="277">
        <f t="shared" si="223"/>
        <v>0</v>
      </c>
      <c r="M475" s="278">
        <f t="shared" si="224"/>
        <v>450</v>
      </c>
      <c r="N475" s="278"/>
      <c r="O475" s="278">
        <f t="shared" si="225"/>
        <v>450</v>
      </c>
    </row>
    <row r="476" spans="1:16" s="274" customFormat="1" ht="63" x14ac:dyDescent="0.25">
      <c r="A476" s="265"/>
      <c r="B476" s="592" t="s">
        <v>1296</v>
      </c>
      <c r="C476" s="304"/>
      <c r="D476" s="288"/>
      <c r="E476" s="288">
        <v>80</v>
      </c>
      <c r="F476" s="289"/>
      <c r="G476" s="305"/>
      <c r="H476" s="277">
        <f t="shared" si="222"/>
        <v>80</v>
      </c>
      <c r="I476" s="290"/>
      <c r="J476" s="289"/>
      <c r="K476" s="289"/>
      <c r="L476" s="277">
        <f t="shared" si="223"/>
        <v>0</v>
      </c>
      <c r="M476" s="278">
        <f t="shared" si="224"/>
        <v>80</v>
      </c>
      <c r="N476" s="278"/>
      <c r="O476" s="278">
        <f t="shared" si="225"/>
        <v>80</v>
      </c>
    </row>
    <row r="477" spans="1:16" s="274" customFormat="1" ht="78.75" x14ac:dyDescent="0.25">
      <c r="A477" s="293"/>
      <c r="B477" s="594" t="s">
        <v>1297</v>
      </c>
      <c r="C477" s="287"/>
      <c r="D477" s="288"/>
      <c r="E477" s="288">
        <v>1200</v>
      </c>
      <c r="F477" s="289"/>
      <c r="G477" s="288"/>
      <c r="H477" s="277">
        <f t="shared" si="222"/>
        <v>1200</v>
      </c>
      <c r="I477" s="290"/>
      <c r="J477" s="289"/>
      <c r="K477" s="289"/>
      <c r="L477" s="277">
        <f t="shared" si="223"/>
        <v>0</v>
      </c>
      <c r="M477" s="277">
        <f t="shared" si="224"/>
        <v>1200</v>
      </c>
      <c r="N477" s="277"/>
      <c r="O477" s="277">
        <f t="shared" si="225"/>
        <v>1200</v>
      </c>
    </row>
    <row r="478" spans="1:16" s="274" customFormat="1" ht="47.25" x14ac:dyDescent="0.25">
      <c r="A478" s="293"/>
      <c r="B478" s="597" t="s">
        <v>1298</v>
      </c>
      <c r="C478" s="287"/>
      <c r="D478" s="288"/>
      <c r="E478" s="288">
        <v>400</v>
      </c>
      <c r="F478" s="289"/>
      <c r="G478" s="288"/>
      <c r="H478" s="277">
        <f t="shared" si="222"/>
        <v>400</v>
      </c>
      <c r="I478" s="290"/>
      <c r="J478" s="289"/>
      <c r="K478" s="289"/>
      <c r="L478" s="277">
        <f t="shared" si="223"/>
        <v>0</v>
      </c>
      <c r="M478" s="277">
        <f t="shared" si="224"/>
        <v>400</v>
      </c>
      <c r="N478" s="277"/>
      <c r="O478" s="277">
        <f t="shared" si="225"/>
        <v>400</v>
      </c>
    </row>
    <row r="479" spans="1:16" s="274" customFormat="1" ht="63.75" thickBot="1" x14ac:dyDescent="0.3">
      <c r="A479" s="265"/>
      <c r="B479" s="592" t="s">
        <v>1299</v>
      </c>
      <c r="C479" s="304"/>
      <c r="D479" s="288"/>
      <c r="E479" s="288">
        <v>50</v>
      </c>
      <c r="F479" s="289"/>
      <c r="G479" s="305"/>
      <c r="H479" s="277">
        <f t="shared" si="222"/>
        <v>50</v>
      </c>
      <c r="I479" s="290"/>
      <c r="J479" s="289"/>
      <c r="K479" s="289"/>
      <c r="L479" s="277">
        <f t="shared" si="223"/>
        <v>0</v>
      </c>
      <c r="M479" s="278">
        <f t="shared" si="224"/>
        <v>50</v>
      </c>
      <c r="N479" s="278"/>
      <c r="O479" s="278">
        <f t="shared" si="225"/>
        <v>50</v>
      </c>
    </row>
    <row r="480" spans="1:16" ht="17.25" thickTop="1" thickBot="1" x14ac:dyDescent="0.3">
      <c r="A480" s="275"/>
      <c r="B480" s="101" t="s">
        <v>1035</v>
      </c>
      <c r="C480" s="102">
        <f>+C463+C467+C468+C472+C476+C475+C474+C473+C469+C477+C478+C479+C470</f>
        <v>113258</v>
      </c>
      <c r="D480" s="102">
        <f t="shared" ref="D480:O480" si="226">+D463+D467+D468+D472+D476+D475+D474+D473+D469+D477+D478+D479+D470</f>
        <v>22472</v>
      </c>
      <c r="E480" s="102">
        <f t="shared" si="226"/>
        <v>150939</v>
      </c>
      <c r="F480" s="102">
        <f t="shared" si="226"/>
        <v>0</v>
      </c>
      <c r="G480" s="102">
        <f t="shared" si="226"/>
        <v>0</v>
      </c>
      <c r="H480" s="102">
        <f t="shared" si="226"/>
        <v>286669</v>
      </c>
      <c r="I480" s="102">
        <f t="shared" si="226"/>
        <v>10219</v>
      </c>
      <c r="J480" s="102">
        <f t="shared" si="226"/>
        <v>0</v>
      </c>
      <c r="K480" s="102">
        <f t="shared" si="226"/>
        <v>0</v>
      </c>
      <c r="L480" s="102">
        <f t="shared" si="226"/>
        <v>10219</v>
      </c>
      <c r="M480" s="102">
        <f t="shared" si="226"/>
        <v>296888</v>
      </c>
      <c r="N480" s="102">
        <f t="shared" si="226"/>
        <v>0</v>
      </c>
      <c r="O480" s="102">
        <f t="shared" si="226"/>
        <v>296888</v>
      </c>
      <c r="P480" s="254">
        <f>O481+O482</f>
        <v>296888</v>
      </c>
    </row>
    <row r="481" spans="1:15" ht="17.25" thickTop="1" thickBot="1" x14ac:dyDescent="0.3">
      <c r="A481" s="275"/>
      <c r="B481" s="101" t="s">
        <v>1036</v>
      </c>
      <c r="C481" s="102">
        <f>+C464+C467+C468+C469+C470</f>
        <v>100584</v>
      </c>
      <c r="D481" s="102">
        <f t="shared" ref="D481:O481" si="227">+D464+D467+D468+D469+D470</f>
        <v>19769</v>
      </c>
      <c r="E481" s="102">
        <f t="shared" si="227"/>
        <v>126950</v>
      </c>
      <c r="F481" s="102">
        <f t="shared" si="227"/>
        <v>0</v>
      </c>
      <c r="G481" s="102">
        <f t="shared" si="227"/>
        <v>0</v>
      </c>
      <c r="H481" s="102">
        <f t="shared" si="227"/>
        <v>247303</v>
      </c>
      <c r="I481" s="102">
        <f t="shared" si="227"/>
        <v>351</v>
      </c>
      <c r="J481" s="102">
        <f t="shared" si="227"/>
        <v>0</v>
      </c>
      <c r="K481" s="102">
        <f t="shared" si="227"/>
        <v>0</v>
      </c>
      <c r="L481" s="102">
        <f t="shared" si="227"/>
        <v>351</v>
      </c>
      <c r="M481" s="102">
        <f t="shared" si="227"/>
        <v>247654</v>
      </c>
      <c r="N481" s="102">
        <f t="shared" si="227"/>
        <v>0</v>
      </c>
      <c r="O481" s="102">
        <f t="shared" si="227"/>
        <v>247654</v>
      </c>
    </row>
    <row r="482" spans="1:15" ht="17.25" thickTop="1" thickBot="1" x14ac:dyDescent="0.3">
      <c r="A482" s="275"/>
      <c r="B482" s="101" t="s">
        <v>1037</v>
      </c>
      <c r="C482" s="102">
        <f>+C465+C472+C473+C474+C475+C476+C477+C478+C479</f>
        <v>12674</v>
      </c>
      <c r="D482" s="102">
        <f t="shared" ref="D482:O482" si="228">+D465+D472+D473+D474+D475+D476+D477+D478+D479</f>
        <v>2703</v>
      </c>
      <c r="E482" s="102">
        <f t="shared" si="228"/>
        <v>23989</v>
      </c>
      <c r="F482" s="102">
        <f t="shared" si="228"/>
        <v>0</v>
      </c>
      <c r="G482" s="102">
        <f t="shared" si="228"/>
        <v>0</v>
      </c>
      <c r="H482" s="102">
        <f t="shared" si="228"/>
        <v>39366</v>
      </c>
      <c r="I482" s="102">
        <f t="shared" si="228"/>
        <v>9868</v>
      </c>
      <c r="J482" s="102">
        <f t="shared" si="228"/>
        <v>0</v>
      </c>
      <c r="K482" s="102">
        <f t="shared" si="228"/>
        <v>0</v>
      </c>
      <c r="L482" s="102">
        <f t="shared" si="228"/>
        <v>9868</v>
      </c>
      <c r="M482" s="102">
        <f t="shared" si="228"/>
        <v>49234</v>
      </c>
      <c r="N482" s="102">
        <f t="shared" si="228"/>
        <v>0</v>
      </c>
      <c r="O482" s="102">
        <f t="shared" si="228"/>
        <v>49234</v>
      </c>
    </row>
    <row r="483" spans="1:15" ht="17.25" thickTop="1" thickBot="1" x14ac:dyDescent="0.3">
      <c r="A483" s="275"/>
      <c r="B483" s="101" t="s">
        <v>1049</v>
      </c>
      <c r="C483" s="103">
        <f t="shared" ref="C483:O483" si="229">SUM(C385+C399+C418+C439+C450+C460+C480+C428)</f>
        <v>1629048</v>
      </c>
      <c r="D483" s="103">
        <f t="shared" si="229"/>
        <v>341208</v>
      </c>
      <c r="E483" s="103">
        <f t="shared" si="229"/>
        <v>1725810</v>
      </c>
      <c r="F483" s="103">
        <f t="shared" si="229"/>
        <v>0</v>
      </c>
      <c r="G483" s="103">
        <f t="shared" si="229"/>
        <v>0</v>
      </c>
      <c r="H483" s="103">
        <f t="shared" si="229"/>
        <v>3696066</v>
      </c>
      <c r="I483" s="103">
        <f t="shared" si="229"/>
        <v>81399</v>
      </c>
      <c r="J483" s="103">
        <f t="shared" si="229"/>
        <v>14384</v>
      </c>
      <c r="K483" s="103">
        <f t="shared" si="229"/>
        <v>0</v>
      </c>
      <c r="L483" s="103">
        <f t="shared" si="229"/>
        <v>95783</v>
      </c>
      <c r="M483" s="103">
        <f t="shared" si="229"/>
        <v>3791849</v>
      </c>
      <c r="N483" s="103">
        <f t="shared" si="229"/>
        <v>0</v>
      </c>
      <c r="O483" s="103">
        <f t="shared" si="229"/>
        <v>3791849</v>
      </c>
    </row>
    <row r="484" spans="1:15" ht="17.25" thickTop="1" thickBot="1" x14ac:dyDescent="0.3">
      <c r="A484" s="275"/>
      <c r="B484" s="101" t="s">
        <v>415</v>
      </c>
      <c r="C484" s="103">
        <f t="shared" ref="C484:O484" si="230">SUM(C316+C363+C375+C483)</f>
        <v>6096836</v>
      </c>
      <c r="D484" s="103">
        <f t="shared" si="230"/>
        <v>1279351</v>
      </c>
      <c r="E484" s="103">
        <f t="shared" si="230"/>
        <v>4930823</v>
      </c>
      <c r="F484" s="103">
        <f t="shared" si="230"/>
        <v>16116</v>
      </c>
      <c r="G484" s="103">
        <f t="shared" si="230"/>
        <v>0</v>
      </c>
      <c r="H484" s="103">
        <f t="shared" si="230"/>
        <v>12323126</v>
      </c>
      <c r="I484" s="103">
        <f t="shared" si="230"/>
        <v>142048</v>
      </c>
      <c r="J484" s="103">
        <f t="shared" si="230"/>
        <v>14384</v>
      </c>
      <c r="K484" s="103">
        <f t="shared" si="230"/>
        <v>0</v>
      </c>
      <c r="L484" s="103">
        <f t="shared" si="230"/>
        <v>156432</v>
      </c>
      <c r="M484" s="103">
        <f t="shared" si="230"/>
        <v>12479558</v>
      </c>
      <c r="N484" s="103">
        <f t="shared" si="230"/>
        <v>0</v>
      </c>
      <c r="O484" s="103">
        <f t="shared" si="230"/>
        <v>12479558</v>
      </c>
    </row>
    <row r="485" spans="1:15" ht="16.5" thickTop="1" x14ac:dyDescent="0.25">
      <c r="A485" s="264" t="s">
        <v>756</v>
      </c>
      <c r="B485" s="615" t="s">
        <v>34</v>
      </c>
      <c r="C485" s="616"/>
      <c r="D485" s="608"/>
      <c r="E485" s="608"/>
      <c r="F485" s="609"/>
      <c r="G485" s="617"/>
      <c r="H485" s="610"/>
      <c r="I485" s="618"/>
      <c r="J485" s="619"/>
      <c r="K485" s="619"/>
      <c r="L485" s="610"/>
      <c r="M485" s="620"/>
      <c r="N485" s="620"/>
      <c r="O485" s="620"/>
    </row>
    <row r="486" spans="1:15" x14ac:dyDescent="0.25">
      <c r="A486" s="279"/>
      <c r="B486" s="597" t="s">
        <v>998</v>
      </c>
      <c r="C486" s="607">
        <v>2032157</v>
      </c>
      <c r="D486" s="608">
        <v>428791</v>
      </c>
      <c r="E486" s="608">
        <v>435706</v>
      </c>
      <c r="F486" s="609">
        <v>10000</v>
      </c>
      <c r="G486" s="608"/>
      <c r="H486" s="610">
        <f>SUM(C486:G486)</f>
        <v>2906654</v>
      </c>
      <c r="I486" s="611">
        <v>90158</v>
      </c>
      <c r="J486" s="609">
        <v>4384</v>
      </c>
      <c r="K486" s="609"/>
      <c r="L486" s="610">
        <f>SUM(I486:K486)</f>
        <v>94542</v>
      </c>
      <c r="M486" s="610">
        <f>SUM(H486+L486)</f>
        <v>3001196</v>
      </c>
      <c r="N486" s="610"/>
      <c r="O486" s="610">
        <f>SUM(M486+N486)</f>
        <v>3001196</v>
      </c>
    </row>
    <row r="487" spans="1:15" s="274" customFormat="1" x14ac:dyDescent="0.25">
      <c r="A487" s="265"/>
      <c r="B487" s="635" t="s">
        <v>1033</v>
      </c>
      <c r="C487" s="281">
        <v>898590</v>
      </c>
      <c r="D487" s="282">
        <v>211113</v>
      </c>
      <c r="E487" s="282">
        <v>228794</v>
      </c>
      <c r="F487" s="303">
        <v>10000</v>
      </c>
      <c r="G487" s="282"/>
      <c r="H487" s="283">
        <f>SUM(C487:G487)</f>
        <v>1348497</v>
      </c>
      <c r="I487" s="628">
        <v>54904</v>
      </c>
      <c r="J487" s="303">
        <v>2551</v>
      </c>
      <c r="K487" s="303"/>
      <c r="L487" s="283">
        <f>SUM(I487:K487)</f>
        <v>57455</v>
      </c>
      <c r="M487" s="630">
        <f>SUM(H487+L487)</f>
        <v>1405952</v>
      </c>
      <c r="N487" s="630"/>
      <c r="O487" s="630">
        <f>SUM(M487+N487)</f>
        <v>1405952</v>
      </c>
    </row>
    <row r="488" spans="1:15" s="274" customFormat="1" x14ac:dyDescent="0.25">
      <c r="A488" s="265"/>
      <c r="B488" s="266" t="s">
        <v>1034</v>
      </c>
      <c r="C488" s="281">
        <v>491633</v>
      </c>
      <c r="D488" s="282">
        <v>78768</v>
      </c>
      <c r="E488" s="268">
        <v>34233</v>
      </c>
      <c r="F488" s="303"/>
      <c r="G488" s="282"/>
      <c r="H488" s="270">
        <f>SUM(C488:G488)</f>
        <v>604634</v>
      </c>
      <c r="I488" s="276">
        <v>0</v>
      </c>
      <c r="J488" s="269">
        <v>0</v>
      </c>
      <c r="K488" s="269"/>
      <c r="L488" s="270">
        <f>SUM(I488:K488)</f>
        <v>0</v>
      </c>
      <c r="M488" s="273">
        <f>SUM(H488+L488)</f>
        <v>604634</v>
      </c>
      <c r="N488" s="273"/>
      <c r="O488" s="273">
        <f>SUM(M488+N488)</f>
        <v>604634</v>
      </c>
    </row>
    <row r="489" spans="1:15" s="274" customFormat="1" x14ac:dyDescent="0.25">
      <c r="A489" s="265"/>
      <c r="B489" s="266" t="s">
        <v>1050</v>
      </c>
      <c r="C489" s="281">
        <v>641934</v>
      </c>
      <c r="D489" s="282">
        <v>138910</v>
      </c>
      <c r="E489" s="268">
        <v>172679</v>
      </c>
      <c r="F489" s="303"/>
      <c r="G489" s="282"/>
      <c r="H489" s="270">
        <f>SUM(C489:G489)</f>
        <v>953523</v>
      </c>
      <c r="I489" s="276">
        <v>35254</v>
      </c>
      <c r="J489" s="269">
        <v>1833</v>
      </c>
      <c r="K489" s="269"/>
      <c r="L489" s="270">
        <f>SUM(I489:K489)</f>
        <v>37087</v>
      </c>
      <c r="M489" s="273">
        <f>SUM(H489+L489)</f>
        <v>990610</v>
      </c>
      <c r="N489" s="273"/>
      <c r="O489" s="273">
        <f>SUM(M489+N489)</f>
        <v>990610</v>
      </c>
    </row>
    <row r="490" spans="1:15" s="274" customFormat="1" x14ac:dyDescent="0.25">
      <c r="A490" s="265"/>
      <c r="B490" s="266" t="s">
        <v>160</v>
      </c>
      <c r="C490" s="281"/>
      <c r="D490" s="282"/>
      <c r="E490" s="268"/>
      <c r="F490" s="303"/>
      <c r="G490" s="282"/>
      <c r="H490" s="270"/>
      <c r="I490" s="276"/>
      <c r="J490" s="269"/>
      <c r="K490" s="269"/>
      <c r="L490" s="270"/>
      <c r="M490" s="273"/>
      <c r="N490" s="273"/>
      <c r="O490" s="273"/>
    </row>
    <row r="491" spans="1:15" s="274" customFormat="1" x14ac:dyDescent="0.25">
      <c r="A491" s="265"/>
      <c r="B491" s="592" t="s">
        <v>1229</v>
      </c>
      <c r="C491" s="304">
        <v>380</v>
      </c>
      <c r="D491" s="305">
        <v>66</v>
      </c>
      <c r="E491" s="288"/>
      <c r="F491" s="306"/>
      <c r="G491" s="305"/>
      <c r="H491" s="277">
        <f t="shared" ref="H491:H496" si="231">SUM(C491:G491)</f>
        <v>446</v>
      </c>
      <c r="I491" s="290"/>
      <c r="J491" s="289"/>
      <c r="K491" s="289"/>
      <c r="L491" s="277">
        <f t="shared" ref="L491:L493" si="232">SUM(I491:K491)</f>
        <v>0</v>
      </c>
      <c r="M491" s="278">
        <f t="shared" ref="M491:M493" si="233">SUM(H491+L491)</f>
        <v>446</v>
      </c>
      <c r="N491" s="278"/>
      <c r="O491" s="278">
        <f t="shared" ref="O491:O493" si="234">SUM(M491+N491)</f>
        <v>446</v>
      </c>
    </row>
    <row r="492" spans="1:15" s="274" customFormat="1" ht="31.5" x14ac:dyDescent="0.25">
      <c r="A492" s="265"/>
      <c r="B492" s="592" t="s">
        <v>1051</v>
      </c>
      <c r="C492" s="304"/>
      <c r="D492" s="305">
        <v>4582</v>
      </c>
      <c r="E492" s="288">
        <v>-11557</v>
      </c>
      <c r="F492" s="306"/>
      <c r="G492" s="305"/>
      <c r="H492" s="277">
        <f t="shared" si="231"/>
        <v>-6975</v>
      </c>
      <c r="I492" s="290">
        <v>6975</v>
      </c>
      <c r="J492" s="289"/>
      <c r="K492" s="289"/>
      <c r="L492" s="277">
        <f t="shared" si="232"/>
        <v>6975</v>
      </c>
      <c r="M492" s="278">
        <f t="shared" si="233"/>
        <v>0</v>
      </c>
      <c r="N492" s="278"/>
      <c r="O492" s="278">
        <f t="shared" si="234"/>
        <v>0</v>
      </c>
    </row>
    <row r="493" spans="1:15" s="274" customFormat="1" ht="31.5" x14ac:dyDescent="0.25">
      <c r="A493" s="265"/>
      <c r="B493" s="592" t="s">
        <v>1300</v>
      </c>
      <c r="C493" s="304">
        <v>20994</v>
      </c>
      <c r="D493" s="305"/>
      <c r="E493" s="288"/>
      <c r="F493" s="306"/>
      <c r="G493" s="305"/>
      <c r="H493" s="277">
        <f t="shared" si="231"/>
        <v>20994</v>
      </c>
      <c r="I493" s="290"/>
      <c r="J493" s="289"/>
      <c r="K493" s="289"/>
      <c r="L493" s="277">
        <f t="shared" si="232"/>
        <v>0</v>
      </c>
      <c r="M493" s="278">
        <f t="shared" si="233"/>
        <v>20994</v>
      </c>
      <c r="N493" s="278"/>
      <c r="O493" s="278">
        <f t="shared" si="234"/>
        <v>20994</v>
      </c>
    </row>
    <row r="494" spans="1:15" s="274" customFormat="1" x14ac:dyDescent="0.25">
      <c r="A494" s="265"/>
      <c r="B494" s="266" t="s">
        <v>161</v>
      </c>
      <c r="C494" s="304"/>
      <c r="D494" s="305"/>
      <c r="E494" s="288"/>
      <c r="F494" s="306"/>
      <c r="G494" s="305"/>
      <c r="H494" s="277"/>
      <c r="I494" s="290"/>
      <c r="J494" s="289"/>
      <c r="K494" s="289"/>
      <c r="L494" s="277"/>
      <c r="M494" s="278"/>
      <c r="N494" s="278"/>
      <c r="O494" s="278"/>
    </row>
    <row r="495" spans="1:15" s="274" customFormat="1" ht="31.5" x14ac:dyDescent="0.25">
      <c r="A495" s="265"/>
      <c r="B495" s="592" t="s">
        <v>1051</v>
      </c>
      <c r="C495" s="304">
        <v>34</v>
      </c>
      <c r="D495" s="305"/>
      <c r="E495" s="288">
        <v>-34</v>
      </c>
      <c r="F495" s="306"/>
      <c r="G495" s="305"/>
      <c r="H495" s="277">
        <f t="shared" si="231"/>
        <v>0</v>
      </c>
      <c r="I495" s="290"/>
      <c r="J495" s="289"/>
      <c r="K495" s="289"/>
      <c r="L495" s="277">
        <f t="shared" ref="L495:L496" si="235">SUM(I495:K495)</f>
        <v>0</v>
      </c>
      <c r="M495" s="278">
        <f t="shared" ref="M495:M496" si="236">SUM(H495+L495)</f>
        <v>0</v>
      </c>
      <c r="N495" s="278"/>
      <c r="O495" s="278">
        <f t="shared" ref="O495:O496" si="237">SUM(M495+N495)</f>
        <v>0</v>
      </c>
    </row>
    <row r="496" spans="1:15" s="274" customFormat="1" ht="31.5" x14ac:dyDescent="0.25">
      <c r="A496" s="265"/>
      <c r="B496" s="592" t="s">
        <v>1301</v>
      </c>
      <c r="C496" s="304">
        <v>2119</v>
      </c>
      <c r="D496" s="305">
        <v>147</v>
      </c>
      <c r="E496" s="288">
        <v>-2266</v>
      </c>
      <c r="F496" s="306"/>
      <c r="G496" s="305"/>
      <c r="H496" s="277">
        <f t="shared" si="231"/>
        <v>0</v>
      </c>
      <c r="I496" s="290"/>
      <c r="J496" s="289"/>
      <c r="K496" s="289"/>
      <c r="L496" s="277">
        <f t="shared" si="235"/>
        <v>0</v>
      </c>
      <c r="M496" s="278">
        <f t="shared" si="236"/>
        <v>0</v>
      </c>
      <c r="N496" s="278"/>
      <c r="O496" s="278">
        <f t="shared" si="237"/>
        <v>0</v>
      </c>
    </row>
    <row r="497" spans="1:16" s="274" customFormat="1" x14ac:dyDescent="0.25">
      <c r="A497" s="265"/>
      <c r="B497" s="266" t="s">
        <v>563</v>
      </c>
      <c r="C497" s="304"/>
      <c r="D497" s="305"/>
      <c r="E497" s="288"/>
      <c r="F497" s="306"/>
      <c r="G497" s="305"/>
      <c r="H497" s="277"/>
      <c r="I497" s="290"/>
      <c r="J497" s="289"/>
      <c r="K497" s="289"/>
      <c r="L497" s="277"/>
      <c r="M497" s="278"/>
      <c r="N497" s="278"/>
      <c r="O497" s="278"/>
    </row>
    <row r="498" spans="1:16" s="274" customFormat="1" ht="32.25" thickBot="1" x14ac:dyDescent="0.3">
      <c r="A498" s="265"/>
      <c r="B498" s="592" t="s">
        <v>1051</v>
      </c>
      <c r="C498" s="304"/>
      <c r="D498" s="305"/>
      <c r="E498" s="288">
        <v>-5010</v>
      </c>
      <c r="F498" s="306"/>
      <c r="G498" s="305"/>
      <c r="H498" s="277">
        <f t="shared" ref="H498" si="238">SUM(C498:G498)</f>
        <v>-5010</v>
      </c>
      <c r="I498" s="290">
        <v>5010</v>
      </c>
      <c r="J498" s="289"/>
      <c r="K498" s="289"/>
      <c r="L498" s="277">
        <f t="shared" ref="L498" si="239">SUM(I498:K498)</f>
        <v>5010</v>
      </c>
      <c r="M498" s="278">
        <f t="shared" ref="M498" si="240">SUM(H498+L498)</f>
        <v>0</v>
      </c>
      <c r="N498" s="278"/>
      <c r="O498" s="278">
        <f t="shared" ref="O498" si="241">SUM(M498+N498)</f>
        <v>0</v>
      </c>
    </row>
    <row r="499" spans="1:16" s="319" customFormat="1" ht="17.25" thickTop="1" thickBot="1" x14ac:dyDescent="0.3">
      <c r="A499" s="275"/>
      <c r="B499" s="101" t="s">
        <v>1035</v>
      </c>
      <c r="C499" s="102">
        <f>+C486+C491+C492+C493+C495+C498+C496</f>
        <v>2055684</v>
      </c>
      <c r="D499" s="102">
        <f t="shared" ref="D499:O499" si="242">+D486+D491+D492+D493+D495+D498+D496</f>
        <v>433586</v>
      </c>
      <c r="E499" s="102">
        <f t="shared" si="242"/>
        <v>416839</v>
      </c>
      <c r="F499" s="102">
        <f t="shared" si="242"/>
        <v>10000</v>
      </c>
      <c r="G499" s="102">
        <f t="shared" si="242"/>
        <v>0</v>
      </c>
      <c r="H499" s="102">
        <f t="shared" si="242"/>
        <v>2916109</v>
      </c>
      <c r="I499" s="102">
        <f t="shared" si="242"/>
        <v>102143</v>
      </c>
      <c r="J499" s="102">
        <f t="shared" si="242"/>
        <v>4384</v>
      </c>
      <c r="K499" s="102">
        <f t="shared" si="242"/>
        <v>0</v>
      </c>
      <c r="L499" s="102">
        <f t="shared" si="242"/>
        <v>106527</v>
      </c>
      <c r="M499" s="102">
        <f t="shared" si="242"/>
        <v>3022636</v>
      </c>
      <c r="N499" s="102">
        <f t="shared" si="242"/>
        <v>0</v>
      </c>
      <c r="O499" s="102">
        <f t="shared" si="242"/>
        <v>3022636</v>
      </c>
      <c r="P499" s="318">
        <f>+O500+O501+O502</f>
        <v>3022636</v>
      </c>
    </row>
    <row r="500" spans="1:16" ht="17.25" thickTop="1" thickBot="1" x14ac:dyDescent="0.3">
      <c r="A500" s="275"/>
      <c r="B500" s="101" t="s">
        <v>1036</v>
      </c>
      <c r="C500" s="102">
        <f t="shared" ref="C500:O500" si="243">+C487+C491+C492+C493</f>
        <v>919964</v>
      </c>
      <c r="D500" s="102">
        <f t="shared" si="243"/>
        <v>215761</v>
      </c>
      <c r="E500" s="102">
        <f t="shared" si="243"/>
        <v>217237</v>
      </c>
      <c r="F500" s="102">
        <f t="shared" si="243"/>
        <v>10000</v>
      </c>
      <c r="G500" s="102">
        <f t="shared" si="243"/>
        <v>0</v>
      </c>
      <c r="H500" s="102">
        <f t="shared" si="243"/>
        <v>1362962</v>
      </c>
      <c r="I500" s="102">
        <f t="shared" si="243"/>
        <v>61879</v>
      </c>
      <c r="J500" s="102">
        <f t="shared" si="243"/>
        <v>2551</v>
      </c>
      <c r="K500" s="102">
        <f t="shared" si="243"/>
        <v>0</v>
      </c>
      <c r="L500" s="102">
        <f t="shared" si="243"/>
        <v>64430</v>
      </c>
      <c r="M500" s="102">
        <f t="shared" si="243"/>
        <v>1427392</v>
      </c>
      <c r="N500" s="102">
        <f t="shared" si="243"/>
        <v>0</v>
      </c>
      <c r="O500" s="102">
        <f t="shared" si="243"/>
        <v>1427392</v>
      </c>
    </row>
    <row r="501" spans="1:16" ht="17.25" thickTop="1" thickBot="1" x14ac:dyDescent="0.3">
      <c r="A501" s="275"/>
      <c r="B501" s="101" t="s">
        <v>1037</v>
      </c>
      <c r="C501" s="102">
        <f>+C488+C495+C496</f>
        <v>493786</v>
      </c>
      <c r="D501" s="102">
        <f t="shared" ref="D501:O501" si="244">+D488+D495+D496</f>
        <v>78915</v>
      </c>
      <c r="E501" s="102">
        <f t="shared" si="244"/>
        <v>31933</v>
      </c>
      <c r="F501" s="102">
        <f t="shared" si="244"/>
        <v>0</v>
      </c>
      <c r="G501" s="102">
        <f t="shared" si="244"/>
        <v>0</v>
      </c>
      <c r="H501" s="102">
        <f t="shared" si="244"/>
        <v>604634</v>
      </c>
      <c r="I501" s="102">
        <f t="shared" si="244"/>
        <v>0</v>
      </c>
      <c r="J501" s="102">
        <f t="shared" si="244"/>
        <v>0</v>
      </c>
      <c r="K501" s="102">
        <f t="shared" si="244"/>
        <v>0</v>
      </c>
      <c r="L501" s="102">
        <f t="shared" si="244"/>
        <v>0</v>
      </c>
      <c r="M501" s="102">
        <f t="shared" si="244"/>
        <v>604634</v>
      </c>
      <c r="N501" s="102">
        <f t="shared" si="244"/>
        <v>0</v>
      </c>
      <c r="O501" s="102">
        <f t="shared" si="244"/>
        <v>604634</v>
      </c>
    </row>
    <row r="502" spans="1:16" ht="33" thickTop="1" thickBot="1" x14ac:dyDescent="0.3">
      <c r="A502" s="275"/>
      <c r="B502" s="101" t="s">
        <v>1052</v>
      </c>
      <c r="C502" s="102">
        <f t="shared" ref="C502:O502" si="245">+C489+C498</f>
        <v>641934</v>
      </c>
      <c r="D502" s="102">
        <f t="shared" si="245"/>
        <v>138910</v>
      </c>
      <c r="E502" s="102">
        <f t="shared" si="245"/>
        <v>167669</v>
      </c>
      <c r="F502" s="102">
        <f t="shared" si="245"/>
        <v>0</v>
      </c>
      <c r="G502" s="102">
        <f t="shared" si="245"/>
        <v>0</v>
      </c>
      <c r="H502" s="102">
        <f t="shared" si="245"/>
        <v>948513</v>
      </c>
      <c r="I502" s="102">
        <f t="shared" si="245"/>
        <v>40264</v>
      </c>
      <c r="J502" s="102">
        <f t="shared" si="245"/>
        <v>1833</v>
      </c>
      <c r="K502" s="102">
        <f t="shared" si="245"/>
        <v>0</v>
      </c>
      <c r="L502" s="102">
        <f t="shared" si="245"/>
        <v>42097</v>
      </c>
      <c r="M502" s="102">
        <f t="shared" si="245"/>
        <v>990610</v>
      </c>
      <c r="N502" s="102">
        <f t="shared" si="245"/>
        <v>0</v>
      </c>
      <c r="O502" s="102">
        <f t="shared" si="245"/>
        <v>990610</v>
      </c>
    </row>
    <row r="503" spans="1:16" s="319" customFormat="1" ht="17.25" thickTop="1" thickBot="1" x14ac:dyDescent="0.3">
      <c r="A503" s="275"/>
      <c r="B503" s="101" t="s">
        <v>176</v>
      </c>
      <c r="C503" s="103">
        <f t="shared" ref="C503:O503" si="246">SUM(C484+C499)</f>
        <v>8152520</v>
      </c>
      <c r="D503" s="103">
        <f t="shared" si="246"/>
        <v>1712937</v>
      </c>
      <c r="E503" s="103">
        <f t="shared" si="246"/>
        <v>5347662</v>
      </c>
      <c r="F503" s="103">
        <f t="shared" si="246"/>
        <v>26116</v>
      </c>
      <c r="G503" s="103">
        <f t="shared" si="246"/>
        <v>0</v>
      </c>
      <c r="H503" s="103">
        <f t="shared" si="246"/>
        <v>15239235</v>
      </c>
      <c r="I503" s="103">
        <f t="shared" si="246"/>
        <v>244191</v>
      </c>
      <c r="J503" s="103">
        <f t="shared" si="246"/>
        <v>18768</v>
      </c>
      <c r="K503" s="103">
        <f t="shared" si="246"/>
        <v>0</v>
      </c>
      <c r="L503" s="103">
        <f t="shared" si="246"/>
        <v>262959</v>
      </c>
      <c r="M503" s="103">
        <f t="shared" si="246"/>
        <v>15502194</v>
      </c>
      <c r="N503" s="103">
        <f t="shared" si="246"/>
        <v>0</v>
      </c>
      <c r="O503" s="103">
        <f t="shared" si="246"/>
        <v>15502194</v>
      </c>
    </row>
    <row r="504" spans="1:16" s="319" customFormat="1" ht="17.25" thickTop="1" thickBot="1" x14ac:dyDescent="0.3">
      <c r="A504" s="275"/>
      <c r="B504" s="101" t="s">
        <v>998</v>
      </c>
      <c r="C504" s="103">
        <f t="shared" ref="C504:O504" si="247">SUM(C8+C22+C38+C54+C70+C88+C104+C119+C135+C151+C165+C179+C195+C211+C224+C240+C255+C270+C286+C301+C318+C335+C351+C365+C379+C388+C403+C431+C442+C453+C463+C486+C422)</f>
        <v>7971511</v>
      </c>
      <c r="D504" s="103">
        <f t="shared" si="247"/>
        <v>1674388</v>
      </c>
      <c r="E504" s="103">
        <f t="shared" si="247"/>
        <v>5275528</v>
      </c>
      <c r="F504" s="103">
        <f t="shared" si="247"/>
        <v>26104</v>
      </c>
      <c r="G504" s="103">
        <f t="shared" si="247"/>
        <v>0</v>
      </c>
      <c r="H504" s="103">
        <f t="shared" si="247"/>
        <v>14947531</v>
      </c>
      <c r="I504" s="103">
        <f t="shared" si="247"/>
        <v>189320</v>
      </c>
      <c r="J504" s="103">
        <f t="shared" si="247"/>
        <v>11686</v>
      </c>
      <c r="K504" s="103">
        <f t="shared" si="247"/>
        <v>0</v>
      </c>
      <c r="L504" s="103">
        <f t="shared" si="247"/>
        <v>201006</v>
      </c>
      <c r="M504" s="103">
        <f t="shared" si="247"/>
        <v>15148537</v>
      </c>
      <c r="N504" s="103">
        <f t="shared" si="247"/>
        <v>0</v>
      </c>
      <c r="O504" s="103">
        <f t="shared" si="247"/>
        <v>15148537</v>
      </c>
    </row>
    <row r="505" spans="1:16" ht="24" customHeight="1" thickTop="1" x14ac:dyDescent="0.25">
      <c r="A505" s="294"/>
      <c r="B505" s="320" t="s">
        <v>160</v>
      </c>
      <c r="C505" s="622"/>
      <c r="D505" s="623"/>
      <c r="E505" s="623"/>
      <c r="F505" s="623"/>
      <c r="G505" s="623"/>
      <c r="H505" s="625"/>
      <c r="I505" s="626"/>
      <c r="J505" s="624"/>
      <c r="K505" s="624"/>
      <c r="L505" s="625"/>
      <c r="M505" s="625"/>
      <c r="N505" s="625"/>
      <c r="O505" s="625"/>
    </row>
    <row r="506" spans="1:16" s="323" customFormat="1" x14ac:dyDescent="0.25">
      <c r="A506" s="321"/>
      <c r="B506" s="322" t="s">
        <v>1229</v>
      </c>
      <c r="C506" s="636">
        <f t="shared" ref="C506:O506" si="248">C12+C26+C42+C58+C74+C92+C108+C123+C139+C155+C169+C183+C199+C215+C228+C244+C290+C305+C322+C339+C355+C369+C392+C407+C491</f>
        <v>3787</v>
      </c>
      <c r="D506" s="636">
        <f t="shared" si="248"/>
        <v>662</v>
      </c>
      <c r="E506" s="636">
        <f t="shared" si="248"/>
        <v>0</v>
      </c>
      <c r="F506" s="636">
        <f t="shared" si="248"/>
        <v>0</v>
      </c>
      <c r="G506" s="636">
        <f t="shared" si="248"/>
        <v>0</v>
      </c>
      <c r="H506" s="637">
        <f t="shared" si="248"/>
        <v>4449</v>
      </c>
      <c r="I506" s="637">
        <f t="shared" si="248"/>
        <v>0</v>
      </c>
      <c r="J506" s="637">
        <f t="shared" si="248"/>
        <v>0</v>
      </c>
      <c r="K506" s="637">
        <f t="shared" si="248"/>
        <v>0</v>
      </c>
      <c r="L506" s="637">
        <f t="shared" si="248"/>
        <v>0</v>
      </c>
      <c r="M506" s="637">
        <f t="shared" si="248"/>
        <v>4449</v>
      </c>
      <c r="N506" s="637">
        <f t="shared" si="248"/>
        <v>0</v>
      </c>
      <c r="O506" s="637">
        <f t="shared" si="248"/>
        <v>4449</v>
      </c>
    </row>
    <row r="507" spans="1:16" s="323" customFormat="1" ht="31.5" x14ac:dyDescent="0.25">
      <c r="A507" s="321"/>
      <c r="B507" s="322" t="s">
        <v>1278</v>
      </c>
      <c r="C507" s="636">
        <f t="shared" ref="C507:O507" si="249">C27+C43+C59+C75+C93+C109+C124+C323+C340+C356</f>
        <v>37617</v>
      </c>
      <c r="D507" s="636">
        <f t="shared" si="249"/>
        <v>6583</v>
      </c>
      <c r="E507" s="636">
        <f t="shared" si="249"/>
        <v>0</v>
      </c>
      <c r="F507" s="636">
        <f t="shared" si="249"/>
        <v>0</v>
      </c>
      <c r="G507" s="636">
        <f t="shared" si="249"/>
        <v>0</v>
      </c>
      <c r="H507" s="637">
        <f t="shared" si="249"/>
        <v>44200</v>
      </c>
      <c r="I507" s="637">
        <f t="shared" si="249"/>
        <v>0</v>
      </c>
      <c r="J507" s="637">
        <f t="shared" si="249"/>
        <v>0</v>
      </c>
      <c r="K507" s="637">
        <f t="shared" si="249"/>
        <v>0</v>
      </c>
      <c r="L507" s="637">
        <f t="shared" si="249"/>
        <v>0</v>
      </c>
      <c r="M507" s="637">
        <f t="shared" si="249"/>
        <v>44200</v>
      </c>
      <c r="N507" s="637">
        <f t="shared" si="249"/>
        <v>0</v>
      </c>
      <c r="O507" s="637">
        <f t="shared" si="249"/>
        <v>44200</v>
      </c>
    </row>
    <row r="508" spans="1:16" s="323" customFormat="1" ht="31.5" x14ac:dyDescent="0.25">
      <c r="A508" s="321"/>
      <c r="B508" s="322" t="s">
        <v>1289</v>
      </c>
      <c r="C508" s="636">
        <f t="shared" ref="C508:O508" si="250">C324</f>
        <v>1452</v>
      </c>
      <c r="D508" s="636">
        <f t="shared" si="250"/>
        <v>254</v>
      </c>
      <c r="E508" s="636">
        <f t="shared" si="250"/>
        <v>0</v>
      </c>
      <c r="F508" s="636">
        <f t="shared" si="250"/>
        <v>0</v>
      </c>
      <c r="G508" s="636">
        <f t="shared" si="250"/>
        <v>0</v>
      </c>
      <c r="H508" s="637">
        <f t="shared" si="250"/>
        <v>1706</v>
      </c>
      <c r="I508" s="637">
        <f t="shared" si="250"/>
        <v>0</v>
      </c>
      <c r="J508" s="637">
        <f t="shared" si="250"/>
        <v>0</v>
      </c>
      <c r="K508" s="637">
        <f t="shared" si="250"/>
        <v>0</v>
      </c>
      <c r="L508" s="637">
        <f t="shared" si="250"/>
        <v>0</v>
      </c>
      <c r="M508" s="637">
        <f t="shared" si="250"/>
        <v>1706</v>
      </c>
      <c r="N508" s="637">
        <f t="shared" si="250"/>
        <v>0</v>
      </c>
      <c r="O508" s="637">
        <f t="shared" si="250"/>
        <v>1706</v>
      </c>
    </row>
    <row r="509" spans="1:16" s="323" customFormat="1" ht="31.5" x14ac:dyDescent="0.25">
      <c r="A509" s="321"/>
      <c r="B509" s="322" t="s">
        <v>1290</v>
      </c>
      <c r="C509" s="636">
        <f t="shared" ref="C509:O509" si="251">C393+C408+C467</f>
        <v>11949</v>
      </c>
      <c r="D509" s="636">
        <f t="shared" si="251"/>
        <v>2091</v>
      </c>
      <c r="E509" s="636">
        <f t="shared" si="251"/>
        <v>0</v>
      </c>
      <c r="F509" s="636">
        <f t="shared" si="251"/>
        <v>0</v>
      </c>
      <c r="G509" s="636">
        <f t="shared" si="251"/>
        <v>0</v>
      </c>
      <c r="H509" s="637">
        <f t="shared" si="251"/>
        <v>14040</v>
      </c>
      <c r="I509" s="637">
        <f t="shared" si="251"/>
        <v>0</v>
      </c>
      <c r="J509" s="637">
        <f t="shared" si="251"/>
        <v>0</v>
      </c>
      <c r="K509" s="637">
        <f t="shared" si="251"/>
        <v>0</v>
      </c>
      <c r="L509" s="637">
        <f t="shared" si="251"/>
        <v>0</v>
      </c>
      <c r="M509" s="637">
        <f t="shared" si="251"/>
        <v>14040</v>
      </c>
      <c r="N509" s="637">
        <f t="shared" si="251"/>
        <v>0</v>
      </c>
      <c r="O509" s="637">
        <f t="shared" si="251"/>
        <v>14040</v>
      </c>
    </row>
    <row r="510" spans="1:16" s="323" customFormat="1" x14ac:dyDescent="0.25">
      <c r="A510" s="321"/>
      <c r="B510" s="322" t="s">
        <v>1236</v>
      </c>
      <c r="C510" s="636">
        <f t="shared" ref="C510:O510" si="252">C60+C76+C229+C341</f>
        <v>496</v>
      </c>
      <c r="D510" s="636">
        <f t="shared" si="252"/>
        <v>87</v>
      </c>
      <c r="E510" s="636">
        <f t="shared" si="252"/>
        <v>0</v>
      </c>
      <c r="F510" s="636">
        <f t="shared" si="252"/>
        <v>0</v>
      </c>
      <c r="G510" s="636">
        <f t="shared" si="252"/>
        <v>0</v>
      </c>
      <c r="H510" s="637">
        <f t="shared" si="252"/>
        <v>583</v>
      </c>
      <c r="I510" s="637">
        <f t="shared" si="252"/>
        <v>0</v>
      </c>
      <c r="J510" s="637">
        <f t="shared" si="252"/>
        <v>0</v>
      </c>
      <c r="K510" s="637">
        <f t="shared" si="252"/>
        <v>0</v>
      </c>
      <c r="L510" s="637">
        <f t="shared" si="252"/>
        <v>0</v>
      </c>
      <c r="M510" s="637">
        <f t="shared" si="252"/>
        <v>583</v>
      </c>
      <c r="N510" s="637">
        <f t="shared" si="252"/>
        <v>0</v>
      </c>
      <c r="O510" s="637">
        <f t="shared" si="252"/>
        <v>583</v>
      </c>
    </row>
    <row r="511" spans="1:16" s="323" customFormat="1" ht="47.25" x14ac:dyDescent="0.25">
      <c r="A511" s="321"/>
      <c r="B511" s="322" t="s">
        <v>1264</v>
      </c>
      <c r="C511" s="636">
        <f t="shared" ref="C511:O511" si="253">C370</f>
        <v>1900</v>
      </c>
      <c r="D511" s="636">
        <f t="shared" si="253"/>
        <v>299</v>
      </c>
      <c r="E511" s="636">
        <f t="shared" si="253"/>
        <v>0</v>
      </c>
      <c r="F511" s="636">
        <f t="shared" si="253"/>
        <v>0</v>
      </c>
      <c r="G511" s="636">
        <f t="shared" si="253"/>
        <v>0</v>
      </c>
      <c r="H511" s="637">
        <f t="shared" si="253"/>
        <v>2199</v>
      </c>
      <c r="I511" s="637">
        <f t="shared" si="253"/>
        <v>0</v>
      </c>
      <c r="J511" s="637">
        <f t="shared" si="253"/>
        <v>0</v>
      </c>
      <c r="K511" s="637">
        <f t="shared" si="253"/>
        <v>0</v>
      </c>
      <c r="L511" s="637">
        <f t="shared" si="253"/>
        <v>0</v>
      </c>
      <c r="M511" s="637">
        <f t="shared" si="253"/>
        <v>2199</v>
      </c>
      <c r="N511" s="637">
        <f t="shared" si="253"/>
        <v>0</v>
      </c>
      <c r="O511" s="637">
        <f t="shared" si="253"/>
        <v>2199</v>
      </c>
    </row>
    <row r="512" spans="1:16" s="323" customFormat="1" ht="47.25" x14ac:dyDescent="0.25">
      <c r="A512" s="321"/>
      <c r="B512" s="322" t="s">
        <v>1276</v>
      </c>
      <c r="C512" s="636">
        <f t="shared" ref="C512:O512" si="254">C13+C77+C140+C156+C170+C184+C200+C216+C230+C245+C259+C274+C291+C325+C342+C394+C409</f>
        <v>23491</v>
      </c>
      <c r="D512" s="636">
        <f t="shared" si="254"/>
        <v>4114</v>
      </c>
      <c r="E512" s="636">
        <f t="shared" si="254"/>
        <v>0</v>
      </c>
      <c r="F512" s="636">
        <f t="shared" si="254"/>
        <v>0</v>
      </c>
      <c r="G512" s="636">
        <f t="shared" si="254"/>
        <v>0</v>
      </c>
      <c r="H512" s="637">
        <f t="shared" si="254"/>
        <v>27605</v>
      </c>
      <c r="I512" s="637">
        <f t="shared" si="254"/>
        <v>0</v>
      </c>
      <c r="J512" s="637">
        <f t="shared" si="254"/>
        <v>0</v>
      </c>
      <c r="K512" s="637">
        <f t="shared" si="254"/>
        <v>0</v>
      </c>
      <c r="L512" s="637">
        <f t="shared" si="254"/>
        <v>0</v>
      </c>
      <c r="M512" s="637">
        <f t="shared" si="254"/>
        <v>27605</v>
      </c>
      <c r="N512" s="637">
        <f t="shared" si="254"/>
        <v>0</v>
      </c>
      <c r="O512" s="637">
        <f t="shared" si="254"/>
        <v>27605</v>
      </c>
    </row>
    <row r="513" spans="1:15" s="323" customFormat="1" ht="31.5" x14ac:dyDescent="0.25">
      <c r="A513" s="321"/>
      <c r="B513" s="324" t="s">
        <v>1051</v>
      </c>
      <c r="C513" s="636">
        <f t="shared" ref="C513:O513" si="255">C28+C44+C61+C78+C94+C110+C125+C141+C157+C171+C185+C201+C260+C275+C306+C326+C343+C371+C410</f>
        <v>-2497</v>
      </c>
      <c r="D513" s="636">
        <f t="shared" si="255"/>
        <v>-437</v>
      </c>
      <c r="E513" s="636">
        <f t="shared" si="255"/>
        <v>-25395</v>
      </c>
      <c r="F513" s="636">
        <f t="shared" si="255"/>
        <v>12</v>
      </c>
      <c r="G513" s="636">
        <f t="shared" si="255"/>
        <v>0</v>
      </c>
      <c r="H513" s="637">
        <f t="shared" si="255"/>
        <v>-28317</v>
      </c>
      <c r="I513" s="637">
        <f t="shared" si="255"/>
        <v>21235</v>
      </c>
      <c r="J513" s="637">
        <f t="shared" si="255"/>
        <v>7082</v>
      </c>
      <c r="K513" s="637">
        <f t="shared" si="255"/>
        <v>0</v>
      </c>
      <c r="L513" s="637">
        <f t="shared" si="255"/>
        <v>28317</v>
      </c>
      <c r="M513" s="637">
        <f t="shared" si="255"/>
        <v>0</v>
      </c>
      <c r="N513" s="637">
        <f t="shared" si="255"/>
        <v>0</v>
      </c>
      <c r="O513" s="637">
        <f t="shared" si="255"/>
        <v>0</v>
      </c>
    </row>
    <row r="514" spans="1:15" s="323" customFormat="1" ht="31.5" x14ac:dyDescent="0.25">
      <c r="A514" s="321"/>
      <c r="B514" s="324" t="s">
        <v>1153</v>
      </c>
      <c r="C514" s="636">
        <f t="shared" ref="C514:O514" si="256">C14+C469</f>
        <v>18105</v>
      </c>
      <c r="D514" s="636">
        <f t="shared" si="256"/>
        <v>3168</v>
      </c>
      <c r="E514" s="636">
        <f t="shared" si="256"/>
        <v>11438</v>
      </c>
      <c r="F514" s="636">
        <f t="shared" si="256"/>
        <v>0</v>
      </c>
      <c r="G514" s="636">
        <f t="shared" si="256"/>
        <v>0</v>
      </c>
      <c r="H514" s="637">
        <f t="shared" si="256"/>
        <v>32711</v>
      </c>
      <c r="I514" s="637">
        <f t="shared" si="256"/>
        <v>13394</v>
      </c>
      <c r="J514" s="637">
        <f t="shared" si="256"/>
        <v>0</v>
      </c>
      <c r="K514" s="637">
        <f t="shared" si="256"/>
        <v>0</v>
      </c>
      <c r="L514" s="637">
        <f t="shared" si="256"/>
        <v>13394</v>
      </c>
      <c r="M514" s="637">
        <f t="shared" si="256"/>
        <v>46105</v>
      </c>
      <c r="N514" s="637">
        <f t="shared" si="256"/>
        <v>0</v>
      </c>
      <c r="O514" s="637">
        <f t="shared" si="256"/>
        <v>46105</v>
      </c>
    </row>
    <row r="515" spans="1:15" s="323" customFormat="1" ht="31.5" x14ac:dyDescent="0.25">
      <c r="A515" s="321"/>
      <c r="B515" s="322" t="s">
        <v>1265</v>
      </c>
      <c r="C515" s="636">
        <f t="shared" ref="C515:O515" si="257">C261</f>
        <v>0</v>
      </c>
      <c r="D515" s="636">
        <f t="shared" si="257"/>
        <v>0</v>
      </c>
      <c r="E515" s="636">
        <f t="shared" si="257"/>
        <v>150</v>
      </c>
      <c r="F515" s="636">
        <f t="shared" si="257"/>
        <v>0</v>
      </c>
      <c r="G515" s="636">
        <f t="shared" si="257"/>
        <v>0</v>
      </c>
      <c r="H515" s="637">
        <f t="shared" si="257"/>
        <v>150</v>
      </c>
      <c r="I515" s="637">
        <f t="shared" si="257"/>
        <v>0</v>
      </c>
      <c r="J515" s="637">
        <f t="shared" si="257"/>
        <v>0</v>
      </c>
      <c r="K515" s="637">
        <f t="shared" si="257"/>
        <v>0</v>
      </c>
      <c r="L515" s="637">
        <f t="shared" si="257"/>
        <v>0</v>
      </c>
      <c r="M515" s="637">
        <f t="shared" si="257"/>
        <v>150</v>
      </c>
      <c r="N515" s="637">
        <f t="shared" si="257"/>
        <v>0</v>
      </c>
      <c r="O515" s="637">
        <f t="shared" si="257"/>
        <v>150</v>
      </c>
    </row>
    <row r="516" spans="1:15" s="323" customFormat="1" ht="47.25" x14ac:dyDescent="0.25">
      <c r="A516" s="321"/>
      <c r="B516" s="322" t="s">
        <v>1266</v>
      </c>
      <c r="C516" s="636">
        <f t="shared" ref="C516:O517" si="258">C411</f>
        <v>0</v>
      </c>
      <c r="D516" s="636">
        <f t="shared" si="258"/>
        <v>0</v>
      </c>
      <c r="E516" s="636">
        <f t="shared" si="258"/>
        <v>233</v>
      </c>
      <c r="F516" s="636">
        <f t="shared" si="258"/>
        <v>0</v>
      </c>
      <c r="G516" s="636">
        <f t="shared" si="258"/>
        <v>0</v>
      </c>
      <c r="H516" s="637">
        <f t="shared" si="258"/>
        <v>233</v>
      </c>
      <c r="I516" s="637">
        <f t="shared" si="258"/>
        <v>0</v>
      </c>
      <c r="J516" s="637">
        <f t="shared" si="258"/>
        <v>0</v>
      </c>
      <c r="K516" s="637">
        <f t="shared" si="258"/>
        <v>0</v>
      </c>
      <c r="L516" s="637">
        <f t="shared" si="258"/>
        <v>0</v>
      </c>
      <c r="M516" s="637">
        <f t="shared" si="258"/>
        <v>233</v>
      </c>
      <c r="N516" s="637">
        <f t="shared" si="258"/>
        <v>0</v>
      </c>
      <c r="O516" s="637">
        <f t="shared" si="258"/>
        <v>233</v>
      </c>
    </row>
    <row r="517" spans="1:15" s="323" customFormat="1" ht="47.25" x14ac:dyDescent="0.25">
      <c r="A517" s="321"/>
      <c r="B517" s="322" t="s">
        <v>1302</v>
      </c>
      <c r="C517" s="636">
        <f t="shared" si="258"/>
        <v>0</v>
      </c>
      <c r="D517" s="636">
        <f t="shared" si="258"/>
        <v>0</v>
      </c>
      <c r="E517" s="636">
        <f t="shared" si="258"/>
        <v>-7405</v>
      </c>
      <c r="F517" s="636">
        <f t="shared" si="258"/>
        <v>0</v>
      </c>
      <c r="G517" s="636">
        <f t="shared" si="258"/>
        <v>0</v>
      </c>
      <c r="H517" s="637">
        <f t="shared" si="258"/>
        <v>-7405</v>
      </c>
      <c r="I517" s="637">
        <f t="shared" si="258"/>
        <v>0</v>
      </c>
      <c r="J517" s="637">
        <f t="shared" si="258"/>
        <v>0</v>
      </c>
      <c r="K517" s="637">
        <f t="shared" si="258"/>
        <v>0</v>
      </c>
      <c r="L517" s="637">
        <f t="shared" si="258"/>
        <v>0</v>
      </c>
      <c r="M517" s="637">
        <f t="shared" si="258"/>
        <v>-7405</v>
      </c>
      <c r="N517" s="637">
        <f t="shared" si="258"/>
        <v>0</v>
      </c>
      <c r="O517" s="637">
        <f t="shared" si="258"/>
        <v>-7405</v>
      </c>
    </row>
    <row r="518" spans="1:15" s="323" customFormat="1" ht="63" x14ac:dyDescent="0.25">
      <c r="A518" s="321"/>
      <c r="B518" s="322" t="s">
        <v>1303</v>
      </c>
      <c r="C518" s="636">
        <f t="shared" ref="C518:O518" si="259">C468</f>
        <v>0</v>
      </c>
      <c r="D518" s="636">
        <f t="shared" si="259"/>
        <v>0</v>
      </c>
      <c r="E518" s="636">
        <f t="shared" si="259"/>
        <v>10337</v>
      </c>
      <c r="F518" s="636">
        <f t="shared" si="259"/>
        <v>0</v>
      </c>
      <c r="G518" s="636">
        <f t="shared" si="259"/>
        <v>0</v>
      </c>
      <c r="H518" s="637">
        <f t="shared" si="259"/>
        <v>10337</v>
      </c>
      <c r="I518" s="637">
        <f t="shared" si="259"/>
        <v>0</v>
      </c>
      <c r="J518" s="637">
        <f t="shared" si="259"/>
        <v>0</v>
      </c>
      <c r="K518" s="637">
        <f t="shared" si="259"/>
        <v>0</v>
      </c>
      <c r="L518" s="637">
        <f t="shared" si="259"/>
        <v>0</v>
      </c>
      <c r="M518" s="637">
        <f t="shared" si="259"/>
        <v>10337</v>
      </c>
      <c r="N518" s="637">
        <f t="shared" si="259"/>
        <v>0</v>
      </c>
      <c r="O518" s="637">
        <f t="shared" si="259"/>
        <v>10337</v>
      </c>
    </row>
    <row r="519" spans="1:15" s="323" customFormat="1" ht="31.5" x14ac:dyDescent="0.25">
      <c r="A519" s="321"/>
      <c r="B519" s="322" t="s">
        <v>1157</v>
      </c>
      <c r="C519" s="636">
        <f t="shared" ref="C519:O520" si="260">C492</f>
        <v>0</v>
      </c>
      <c r="D519" s="636">
        <f t="shared" si="260"/>
        <v>4582</v>
      </c>
      <c r="E519" s="636">
        <f t="shared" si="260"/>
        <v>-11557</v>
      </c>
      <c r="F519" s="636">
        <f t="shared" si="260"/>
        <v>0</v>
      </c>
      <c r="G519" s="636">
        <f t="shared" si="260"/>
        <v>0</v>
      </c>
      <c r="H519" s="637">
        <f t="shared" si="260"/>
        <v>-6975</v>
      </c>
      <c r="I519" s="637">
        <f t="shared" si="260"/>
        <v>6975</v>
      </c>
      <c r="J519" s="637">
        <f t="shared" si="260"/>
        <v>0</v>
      </c>
      <c r="K519" s="637">
        <f t="shared" si="260"/>
        <v>0</v>
      </c>
      <c r="L519" s="637">
        <f t="shared" si="260"/>
        <v>6975</v>
      </c>
      <c r="M519" s="637">
        <f t="shared" si="260"/>
        <v>0</v>
      </c>
      <c r="N519" s="637">
        <f t="shared" si="260"/>
        <v>0</v>
      </c>
      <c r="O519" s="637">
        <f t="shared" si="260"/>
        <v>0</v>
      </c>
    </row>
    <row r="520" spans="1:15" s="323" customFormat="1" ht="31.5" x14ac:dyDescent="0.25">
      <c r="A520" s="321"/>
      <c r="B520" s="322" t="s">
        <v>1304</v>
      </c>
      <c r="C520" s="636">
        <f t="shared" si="260"/>
        <v>20994</v>
      </c>
      <c r="D520" s="636">
        <f t="shared" si="260"/>
        <v>0</v>
      </c>
      <c r="E520" s="636">
        <f t="shared" si="260"/>
        <v>0</v>
      </c>
      <c r="F520" s="636">
        <f t="shared" si="260"/>
        <v>0</v>
      </c>
      <c r="G520" s="636">
        <f t="shared" si="260"/>
        <v>0</v>
      </c>
      <c r="H520" s="637">
        <f t="shared" si="260"/>
        <v>20994</v>
      </c>
      <c r="I520" s="637">
        <f t="shared" si="260"/>
        <v>0</v>
      </c>
      <c r="J520" s="637">
        <f t="shared" si="260"/>
        <v>0</v>
      </c>
      <c r="K520" s="637">
        <f t="shared" si="260"/>
        <v>0</v>
      </c>
      <c r="L520" s="637">
        <f t="shared" si="260"/>
        <v>0</v>
      </c>
      <c r="M520" s="637">
        <f t="shared" si="260"/>
        <v>20994</v>
      </c>
      <c r="N520" s="637">
        <f t="shared" si="260"/>
        <v>0</v>
      </c>
      <c r="O520" s="637">
        <f t="shared" si="260"/>
        <v>20994</v>
      </c>
    </row>
    <row r="521" spans="1:15" s="323" customFormat="1" ht="31.5" x14ac:dyDescent="0.25">
      <c r="A521" s="321"/>
      <c r="B521" s="322" t="s">
        <v>1269</v>
      </c>
      <c r="C521" s="636">
        <f>C470</f>
        <v>0</v>
      </c>
      <c r="D521" s="636">
        <f t="shared" ref="D521:O521" si="261">D470</f>
        <v>0</v>
      </c>
      <c r="E521" s="636">
        <f t="shared" si="261"/>
        <v>35663</v>
      </c>
      <c r="F521" s="636">
        <f t="shared" si="261"/>
        <v>0</v>
      </c>
      <c r="G521" s="636">
        <f t="shared" si="261"/>
        <v>0</v>
      </c>
      <c r="H521" s="637">
        <f t="shared" si="261"/>
        <v>35663</v>
      </c>
      <c r="I521" s="637">
        <f t="shared" si="261"/>
        <v>0</v>
      </c>
      <c r="J521" s="637">
        <f t="shared" si="261"/>
        <v>0</v>
      </c>
      <c r="K521" s="637">
        <f t="shared" si="261"/>
        <v>0</v>
      </c>
      <c r="L521" s="637">
        <f t="shared" si="261"/>
        <v>0</v>
      </c>
      <c r="M521" s="637">
        <f t="shared" si="261"/>
        <v>35663</v>
      </c>
      <c r="N521" s="637">
        <f t="shared" si="261"/>
        <v>0</v>
      </c>
      <c r="O521" s="637">
        <f t="shared" si="261"/>
        <v>35663</v>
      </c>
    </row>
    <row r="522" spans="1:15" s="323" customFormat="1" x14ac:dyDescent="0.25">
      <c r="A522" s="321"/>
      <c r="B522" s="325" t="s">
        <v>161</v>
      </c>
      <c r="C522" s="636"/>
      <c r="D522" s="636"/>
      <c r="E522" s="636"/>
      <c r="F522" s="636"/>
      <c r="G522" s="638"/>
      <c r="H522" s="637"/>
      <c r="I522" s="636"/>
      <c r="J522" s="636"/>
      <c r="K522" s="639"/>
      <c r="L522" s="637"/>
      <c r="M522" s="637"/>
      <c r="N522" s="637"/>
      <c r="O522" s="637"/>
    </row>
    <row r="523" spans="1:15" s="323" customFormat="1" x14ac:dyDescent="0.25">
      <c r="A523" s="321"/>
      <c r="B523" s="322" t="s">
        <v>1229</v>
      </c>
      <c r="C523" s="636">
        <f t="shared" ref="C523:O523" si="262">C445</f>
        <v>140</v>
      </c>
      <c r="D523" s="636">
        <f t="shared" si="262"/>
        <v>25</v>
      </c>
      <c r="E523" s="636">
        <f t="shared" si="262"/>
        <v>0</v>
      </c>
      <c r="F523" s="636">
        <f t="shared" si="262"/>
        <v>0</v>
      </c>
      <c r="G523" s="636">
        <f t="shared" si="262"/>
        <v>0</v>
      </c>
      <c r="H523" s="637">
        <f t="shared" si="262"/>
        <v>165</v>
      </c>
      <c r="I523" s="637">
        <f t="shared" si="262"/>
        <v>0</v>
      </c>
      <c r="J523" s="637">
        <f t="shared" si="262"/>
        <v>0</v>
      </c>
      <c r="K523" s="637">
        <f t="shared" si="262"/>
        <v>0</v>
      </c>
      <c r="L523" s="637">
        <f t="shared" si="262"/>
        <v>0</v>
      </c>
      <c r="M523" s="637">
        <f t="shared" si="262"/>
        <v>165</v>
      </c>
      <c r="N523" s="637">
        <f t="shared" si="262"/>
        <v>0</v>
      </c>
      <c r="O523" s="637">
        <f t="shared" si="262"/>
        <v>165</v>
      </c>
    </row>
    <row r="524" spans="1:15" s="323" customFormat="1" ht="31.5" x14ac:dyDescent="0.25">
      <c r="A524" s="321"/>
      <c r="B524" s="322" t="s">
        <v>1290</v>
      </c>
      <c r="C524" s="636">
        <f t="shared" ref="C524:O524" si="263">C382+C425+C434+C446+C456</f>
        <v>8789</v>
      </c>
      <c r="D524" s="636">
        <f t="shared" si="263"/>
        <v>1538</v>
      </c>
      <c r="E524" s="636">
        <f t="shared" si="263"/>
        <v>0</v>
      </c>
      <c r="F524" s="636">
        <f t="shared" si="263"/>
        <v>0</v>
      </c>
      <c r="G524" s="636">
        <f t="shared" si="263"/>
        <v>0</v>
      </c>
      <c r="H524" s="637">
        <f t="shared" si="263"/>
        <v>10327</v>
      </c>
      <c r="I524" s="637">
        <f t="shared" si="263"/>
        <v>0</v>
      </c>
      <c r="J524" s="637">
        <f t="shared" si="263"/>
        <v>0</v>
      </c>
      <c r="K524" s="637">
        <f t="shared" si="263"/>
        <v>0</v>
      </c>
      <c r="L524" s="637">
        <f t="shared" si="263"/>
        <v>0</v>
      </c>
      <c r="M524" s="637">
        <f t="shared" si="263"/>
        <v>10327</v>
      </c>
      <c r="N524" s="637">
        <f t="shared" si="263"/>
        <v>0</v>
      </c>
      <c r="O524" s="637">
        <f t="shared" si="263"/>
        <v>10327</v>
      </c>
    </row>
    <row r="525" spans="1:15" s="323" customFormat="1" x14ac:dyDescent="0.25">
      <c r="A525" s="321"/>
      <c r="B525" s="322" t="s">
        <v>1231</v>
      </c>
      <c r="C525" s="636">
        <f t="shared" ref="C525:O525" si="264">C16+C30+C46+C63+C80+C96+C112+C127+C143+C159+C173+C187+C203+C218+C232+C247+C263+C277+C293+C308+C328+C345+C358+C373+C383+C396+C414+C426+C435+C447+C457+C472</f>
        <v>42204</v>
      </c>
      <c r="D525" s="636">
        <f t="shared" si="264"/>
        <v>13716</v>
      </c>
      <c r="E525" s="636">
        <f t="shared" si="264"/>
        <v>0</v>
      </c>
      <c r="F525" s="636">
        <f t="shared" si="264"/>
        <v>0</v>
      </c>
      <c r="G525" s="636">
        <f t="shared" si="264"/>
        <v>0</v>
      </c>
      <c r="H525" s="637">
        <f t="shared" si="264"/>
        <v>55920</v>
      </c>
      <c r="I525" s="637">
        <f t="shared" si="264"/>
        <v>0</v>
      </c>
      <c r="J525" s="637">
        <f t="shared" si="264"/>
        <v>0</v>
      </c>
      <c r="K525" s="637">
        <f t="shared" si="264"/>
        <v>0</v>
      </c>
      <c r="L525" s="637">
        <f t="shared" si="264"/>
        <v>0</v>
      </c>
      <c r="M525" s="637">
        <f t="shared" si="264"/>
        <v>55920</v>
      </c>
      <c r="N525" s="637">
        <f t="shared" si="264"/>
        <v>0</v>
      </c>
      <c r="O525" s="637">
        <f t="shared" si="264"/>
        <v>55920</v>
      </c>
    </row>
    <row r="526" spans="1:15" s="323" customFormat="1" ht="31.5" x14ac:dyDescent="0.25">
      <c r="A526" s="321"/>
      <c r="B526" s="322" t="s">
        <v>1277</v>
      </c>
      <c r="C526" s="636">
        <f t="shared" ref="C526:O526" si="265">C17+C31+C47+C64+C81+C97+C113+C128+C144+C160+C174+C188+C204+C219+C233+C248+C264+C278+C294+C309+C329+C346+C359+C374+C397+C415+C436+C473</f>
        <v>4429</v>
      </c>
      <c r="D526" s="636">
        <f t="shared" si="265"/>
        <v>775</v>
      </c>
      <c r="E526" s="636">
        <f t="shared" si="265"/>
        <v>0</v>
      </c>
      <c r="F526" s="636">
        <f t="shared" si="265"/>
        <v>0</v>
      </c>
      <c r="G526" s="636">
        <f t="shared" si="265"/>
        <v>0</v>
      </c>
      <c r="H526" s="637">
        <f t="shared" si="265"/>
        <v>5204</v>
      </c>
      <c r="I526" s="637">
        <f t="shared" si="265"/>
        <v>0</v>
      </c>
      <c r="J526" s="637">
        <f t="shared" si="265"/>
        <v>0</v>
      </c>
      <c r="K526" s="637">
        <f t="shared" si="265"/>
        <v>0</v>
      </c>
      <c r="L526" s="637">
        <f t="shared" si="265"/>
        <v>0</v>
      </c>
      <c r="M526" s="637">
        <f t="shared" si="265"/>
        <v>5204</v>
      </c>
      <c r="N526" s="637">
        <f t="shared" si="265"/>
        <v>0</v>
      </c>
      <c r="O526" s="637">
        <f t="shared" si="265"/>
        <v>5204</v>
      </c>
    </row>
    <row r="527" spans="1:15" s="323" customFormat="1" x14ac:dyDescent="0.25">
      <c r="A527" s="321"/>
      <c r="B527" s="322" t="s">
        <v>1270</v>
      </c>
      <c r="C527" s="636">
        <f t="shared" ref="C527:O527" si="266">C32+C48+C49+C65+C82+C83+C98+C99+C114+C129+C145+C146+C189+C190+C205+C206+C234+C235+C249+C250+C265+C279+C280+C281+C295+C296+C310+C311+C330+C474+C475</f>
        <v>0</v>
      </c>
      <c r="D527" s="636">
        <f t="shared" si="266"/>
        <v>0</v>
      </c>
      <c r="E527" s="636">
        <f t="shared" si="266"/>
        <v>2055</v>
      </c>
      <c r="F527" s="636">
        <f t="shared" si="266"/>
        <v>0</v>
      </c>
      <c r="G527" s="636">
        <f t="shared" si="266"/>
        <v>0</v>
      </c>
      <c r="H527" s="637">
        <f t="shared" si="266"/>
        <v>2055</v>
      </c>
      <c r="I527" s="637">
        <f t="shared" si="266"/>
        <v>0</v>
      </c>
      <c r="J527" s="637">
        <f t="shared" si="266"/>
        <v>0</v>
      </c>
      <c r="K527" s="637">
        <f t="shared" si="266"/>
        <v>0</v>
      </c>
      <c r="L527" s="637">
        <f t="shared" si="266"/>
        <v>0</v>
      </c>
      <c r="M527" s="637">
        <f t="shared" si="266"/>
        <v>2055</v>
      </c>
      <c r="N527" s="637">
        <f t="shared" si="266"/>
        <v>0</v>
      </c>
      <c r="O527" s="637">
        <f t="shared" si="266"/>
        <v>2055</v>
      </c>
    </row>
    <row r="528" spans="1:15" s="323" customFormat="1" x14ac:dyDescent="0.25">
      <c r="A528" s="321"/>
      <c r="B528" s="322" t="s">
        <v>1053</v>
      </c>
      <c r="C528" s="636">
        <f t="shared" ref="C528:O528" si="267">C476</f>
        <v>0</v>
      </c>
      <c r="D528" s="636">
        <f t="shared" si="267"/>
        <v>0</v>
      </c>
      <c r="E528" s="636">
        <f t="shared" si="267"/>
        <v>80</v>
      </c>
      <c r="F528" s="636">
        <f t="shared" si="267"/>
        <v>0</v>
      </c>
      <c r="G528" s="636">
        <f t="shared" si="267"/>
        <v>0</v>
      </c>
      <c r="H528" s="637">
        <f t="shared" si="267"/>
        <v>80</v>
      </c>
      <c r="I528" s="637">
        <f t="shared" si="267"/>
        <v>0</v>
      </c>
      <c r="J528" s="637">
        <f t="shared" si="267"/>
        <v>0</v>
      </c>
      <c r="K528" s="637">
        <f t="shared" si="267"/>
        <v>0</v>
      </c>
      <c r="L528" s="637">
        <f t="shared" si="267"/>
        <v>0</v>
      </c>
      <c r="M528" s="637">
        <f t="shared" si="267"/>
        <v>80</v>
      </c>
      <c r="N528" s="637">
        <f t="shared" si="267"/>
        <v>0</v>
      </c>
      <c r="O528" s="637">
        <f t="shared" si="267"/>
        <v>80</v>
      </c>
    </row>
    <row r="529" spans="1:16" s="323" customFormat="1" x14ac:dyDescent="0.25">
      <c r="A529" s="321"/>
      <c r="B529" s="322" t="s">
        <v>1271</v>
      </c>
      <c r="C529" s="636">
        <f t="shared" ref="C529:O529" si="268">C477+C478</f>
        <v>0</v>
      </c>
      <c r="D529" s="636">
        <f t="shared" si="268"/>
        <v>0</v>
      </c>
      <c r="E529" s="636">
        <f t="shared" si="268"/>
        <v>1600</v>
      </c>
      <c r="F529" s="636">
        <f t="shared" si="268"/>
        <v>0</v>
      </c>
      <c r="G529" s="636">
        <f t="shared" si="268"/>
        <v>0</v>
      </c>
      <c r="H529" s="637">
        <f t="shared" si="268"/>
        <v>1600</v>
      </c>
      <c r="I529" s="637">
        <f t="shared" si="268"/>
        <v>0</v>
      </c>
      <c r="J529" s="637">
        <f t="shared" si="268"/>
        <v>0</v>
      </c>
      <c r="K529" s="637">
        <f t="shared" si="268"/>
        <v>0</v>
      </c>
      <c r="L529" s="637">
        <f t="shared" si="268"/>
        <v>0</v>
      </c>
      <c r="M529" s="637">
        <f t="shared" si="268"/>
        <v>1600</v>
      </c>
      <c r="N529" s="637">
        <f t="shared" si="268"/>
        <v>0</v>
      </c>
      <c r="O529" s="637">
        <f t="shared" si="268"/>
        <v>1600</v>
      </c>
    </row>
    <row r="530" spans="1:16" s="323" customFormat="1" x14ac:dyDescent="0.25">
      <c r="A530" s="321"/>
      <c r="B530" s="322" t="s">
        <v>1272</v>
      </c>
      <c r="C530" s="636">
        <f t="shared" ref="C530:O530" si="269">C479</f>
        <v>0</v>
      </c>
      <c r="D530" s="636">
        <f t="shared" si="269"/>
        <v>0</v>
      </c>
      <c r="E530" s="636">
        <f t="shared" si="269"/>
        <v>50</v>
      </c>
      <c r="F530" s="636">
        <f t="shared" si="269"/>
        <v>0</v>
      </c>
      <c r="G530" s="636">
        <f t="shared" si="269"/>
        <v>0</v>
      </c>
      <c r="H530" s="637">
        <f t="shared" si="269"/>
        <v>50</v>
      </c>
      <c r="I530" s="637">
        <f t="shared" si="269"/>
        <v>0</v>
      </c>
      <c r="J530" s="637">
        <f t="shared" si="269"/>
        <v>0</v>
      </c>
      <c r="K530" s="637">
        <f t="shared" si="269"/>
        <v>0</v>
      </c>
      <c r="L530" s="637">
        <f t="shared" si="269"/>
        <v>0</v>
      </c>
      <c r="M530" s="637">
        <f t="shared" si="269"/>
        <v>50</v>
      </c>
      <c r="N530" s="637">
        <f t="shared" si="269"/>
        <v>0</v>
      </c>
      <c r="O530" s="637">
        <f t="shared" si="269"/>
        <v>50</v>
      </c>
    </row>
    <row r="531" spans="1:16" s="323" customFormat="1" x14ac:dyDescent="0.25">
      <c r="A531" s="321"/>
      <c r="B531" s="322" t="s">
        <v>1273</v>
      </c>
      <c r="C531" s="636">
        <f t="shared" ref="C531:O531" si="270">C416</f>
        <v>0</v>
      </c>
      <c r="D531" s="636">
        <f t="shared" si="270"/>
        <v>0</v>
      </c>
      <c r="E531" s="636">
        <f t="shared" si="270"/>
        <v>700</v>
      </c>
      <c r="F531" s="636">
        <f t="shared" si="270"/>
        <v>0</v>
      </c>
      <c r="G531" s="636">
        <f t="shared" si="270"/>
        <v>0</v>
      </c>
      <c r="H531" s="637">
        <f t="shared" si="270"/>
        <v>700</v>
      </c>
      <c r="I531" s="637">
        <f t="shared" si="270"/>
        <v>0</v>
      </c>
      <c r="J531" s="637">
        <f t="shared" si="270"/>
        <v>0</v>
      </c>
      <c r="K531" s="637">
        <f t="shared" si="270"/>
        <v>0</v>
      </c>
      <c r="L531" s="637">
        <f t="shared" si="270"/>
        <v>0</v>
      </c>
      <c r="M531" s="637">
        <f t="shared" si="270"/>
        <v>700</v>
      </c>
      <c r="N531" s="637">
        <f t="shared" si="270"/>
        <v>0</v>
      </c>
      <c r="O531" s="637">
        <f t="shared" si="270"/>
        <v>700</v>
      </c>
    </row>
    <row r="532" spans="1:16" s="323" customFormat="1" ht="31.5" x14ac:dyDescent="0.25">
      <c r="A532" s="321"/>
      <c r="B532" s="322" t="s">
        <v>1051</v>
      </c>
      <c r="C532" s="636">
        <f t="shared" ref="C532:O532" si="271">C384+C427+C437+C448+C458</f>
        <v>6000</v>
      </c>
      <c r="D532" s="636">
        <f t="shared" si="271"/>
        <v>945</v>
      </c>
      <c r="E532" s="636">
        <f t="shared" si="271"/>
        <v>-15202</v>
      </c>
      <c r="F532" s="636">
        <f t="shared" si="271"/>
        <v>0</v>
      </c>
      <c r="G532" s="636">
        <f t="shared" si="271"/>
        <v>0</v>
      </c>
      <c r="H532" s="637">
        <f t="shared" si="271"/>
        <v>-8257</v>
      </c>
      <c r="I532" s="637">
        <f t="shared" si="271"/>
        <v>8257</v>
      </c>
      <c r="J532" s="637">
        <f t="shared" si="271"/>
        <v>0</v>
      </c>
      <c r="K532" s="637">
        <f t="shared" si="271"/>
        <v>0</v>
      </c>
      <c r="L532" s="637">
        <f t="shared" si="271"/>
        <v>8257</v>
      </c>
      <c r="M532" s="637">
        <f t="shared" si="271"/>
        <v>0</v>
      </c>
      <c r="N532" s="637">
        <f t="shared" si="271"/>
        <v>0</v>
      </c>
      <c r="O532" s="637">
        <f t="shared" si="271"/>
        <v>0</v>
      </c>
    </row>
    <row r="533" spans="1:16" s="323" customFormat="1" ht="31.5" x14ac:dyDescent="0.25">
      <c r="A533" s="321"/>
      <c r="B533" s="322" t="s">
        <v>1153</v>
      </c>
      <c r="C533" s="636">
        <f t="shared" ref="C533:O533" si="272">C398+C417+C438+C459</f>
        <v>0</v>
      </c>
      <c r="D533" s="636">
        <f t="shared" si="272"/>
        <v>0</v>
      </c>
      <c r="E533" s="636">
        <f t="shared" si="272"/>
        <v>43636</v>
      </c>
      <c r="F533" s="636">
        <f t="shared" si="272"/>
        <v>0</v>
      </c>
      <c r="G533" s="636">
        <f t="shared" si="272"/>
        <v>0</v>
      </c>
      <c r="H533" s="637">
        <f t="shared" si="272"/>
        <v>43636</v>
      </c>
      <c r="I533" s="637">
        <f t="shared" si="272"/>
        <v>0</v>
      </c>
      <c r="J533" s="637">
        <f t="shared" si="272"/>
        <v>0</v>
      </c>
      <c r="K533" s="637">
        <f t="shared" si="272"/>
        <v>0</v>
      </c>
      <c r="L533" s="637">
        <f t="shared" si="272"/>
        <v>0</v>
      </c>
      <c r="M533" s="637">
        <f t="shared" si="272"/>
        <v>43636</v>
      </c>
      <c r="N533" s="637">
        <f t="shared" si="272"/>
        <v>0</v>
      </c>
      <c r="O533" s="637">
        <f t="shared" si="272"/>
        <v>43636</v>
      </c>
    </row>
    <row r="534" spans="1:16" s="323" customFormat="1" ht="31.5" x14ac:dyDescent="0.25">
      <c r="A534" s="321"/>
      <c r="B534" s="322" t="s">
        <v>1157</v>
      </c>
      <c r="C534" s="636">
        <f t="shared" ref="C534:O534" si="273">C495</f>
        <v>34</v>
      </c>
      <c r="D534" s="636">
        <f t="shared" si="273"/>
        <v>0</v>
      </c>
      <c r="E534" s="636">
        <f t="shared" si="273"/>
        <v>-34</v>
      </c>
      <c r="F534" s="636">
        <f t="shared" si="273"/>
        <v>0</v>
      </c>
      <c r="G534" s="636">
        <f t="shared" si="273"/>
        <v>0</v>
      </c>
      <c r="H534" s="637">
        <f t="shared" si="273"/>
        <v>0</v>
      </c>
      <c r="I534" s="637">
        <f t="shared" si="273"/>
        <v>0</v>
      </c>
      <c r="J534" s="637">
        <f t="shared" si="273"/>
        <v>0</v>
      </c>
      <c r="K534" s="637">
        <f t="shared" si="273"/>
        <v>0</v>
      </c>
      <c r="L534" s="637">
        <f t="shared" si="273"/>
        <v>0</v>
      </c>
      <c r="M534" s="637">
        <f t="shared" si="273"/>
        <v>0</v>
      </c>
      <c r="N534" s="637">
        <f t="shared" si="273"/>
        <v>0</v>
      </c>
      <c r="O534" s="637">
        <f t="shared" si="273"/>
        <v>0</v>
      </c>
    </row>
    <row r="535" spans="1:16" s="323" customFormat="1" ht="47.25" x14ac:dyDescent="0.25">
      <c r="A535" s="321"/>
      <c r="B535" s="322" t="s">
        <v>1305</v>
      </c>
      <c r="C535" s="636">
        <f t="shared" ref="C535:O535" si="274">C449</f>
        <v>0</v>
      </c>
      <c r="D535" s="636">
        <f t="shared" si="274"/>
        <v>0</v>
      </c>
      <c r="E535" s="636">
        <f t="shared" si="274"/>
        <v>33061</v>
      </c>
      <c r="F535" s="636">
        <f t="shared" si="274"/>
        <v>0</v>
      </c>
      <c r="G535" s="636">
        <f t="shared" si="274"/>
        <v>0</v>
      </c>
      <c r="H535" s="637">
        <f t="shared" si="274"/>
        <v>33061</v>
      </c>
      <c r="I535" s="637">
        <f t="shared" si="274"/>
        <v>0</v>
      </c>
      <c r="J535" s="637">
        <f t="shared" si="274"/>
        <v>0</v>
      </c>
      <c r="K535" s="637">
        <f t="shared" si="274"/>
        <v>0</v>
      </c>
      <c r="L535" s="637">
        <f t="shared" si="274"/>
        <v>0</v>
      </c>
      <c r="M535" s="637">
        <f t="shared" si="274"/>
        <v>33061</v>
      </c>
      <c r="N535" s="637">
        <f t="shared" si="274"/>
        <v>0</v>
      </c>
      <c r="O535" s="637">
        <f t="shared" si="274"/>
        <v>33061</v>
      </c>
    </row>
    <row r="536" spans="1:16" s="323" customFormat="1" ht="47.25" x14ac:dyDescent="0.25">
      <c r="A536" s="321"/>
      <c r="B536" s="322" t="s">
        <v>1306</v>
      </c>
      <c r="C536" s="636">
        <f>C496</f>
        <v>2119</v>
      </c>
      <c r="D536" s="636">
        <f t="shared" ref="D536:O536" si="275">D496</f>
        <v>147</v>
      </c>
      <c r="E536" s="636">
        <f t="shared" si="275"/>
        <v>-2266</v>
      </c>
      <c r="F536" s="636">
        <f t="shared" si="275"/>
        <v>0</v>
      </c>
      <c r="G536" s="636">
        <f t="shared" si="275"/>
        <v>0</v>
      </c>
      <c r="H536" s="637">
        <f t="shared" si="275"/>
        <v>0</v>
      </c>
      <c r="I536" s="637">
        <f t="shared" si="275"/>
        <v>0</v>
      </c>
      <c r="J536" s="637">
        <f t="shared" si="275"/>
        <v>0</v>
      </c>
      <c r="K536" s="637">
        <f t="shared" si="275"/>
        <v>0</v>
      </c>
      <c r="L536" s="637">
        <f t="shared" si="275"/>
        <v>0</v>
      </c>
      <c r="M536" s="637">
        <f t="shared" si="275"/>
        <v>0</v>
      </c>
      <c r="N536" s="637">
        <f t="shared" si="275"/>
        <v>0</v>
      </c>
      <c r="O536" s="637">
        <f t="shared" si="275"/>
        <v>0</v>
      </c>
    </row>
    <row r="537" spans="1:16" s="323" customFormat="1" x14ac:dyDescent="0.25">
      <c r="A537" s="321"/>
      <c r="B537" s="326" t="s">
        <v>563</v>
      </c>
      <c r="C537" s="636"/>
      <c r="D537" s="636"/>
      <c r="E537" s="636"/>
      <c r="F537" s="636"/>
      <c r="G537" s="636"/>
      <c r="H537" s="637"/>
      <c r="I537" s="637"/>
      <c r="J537" s="637"/>
      <c r="K537" s="637"/>
      <c r="L537" s="637"/>
      <c r="M537" s="637"/>
      <c r="N537" s="637"/>
      <c r="O537" s="637"/>
    </row>
    <row r="538" spans="1:16" s="323" customFormat="1" ht="32.25" thickBot="1" x14ac:dyDescent="0.3">
      <c r="A538" s="321"/>
      <c r="B538" s="322" t="s">
        <v>1157</v>
      </c>
      <c r="C538" s="636">
        <f t="shared" ref="C538:O538" si="276">C498</f>
        <v>0</v>
      </c>
      <c r="D538" s="636">
        <f t="shared" si="276"/>
        <v>0</v>
      </c>
      <c r="E538" s="636">
        <f t="shared" si="276"/>
        <v>-5010</v>
      </c>
      <c r="F538" s="636">
        <f t="shared" si="276"/>
        <v>0</v>
      </c>
      <c r="G538" s="636">
        <f t="shared" si="276"/>
        <v>0</v>
      </c>
      <c r="H538" s="637">
        <f t="shared" si="276"/>
        <v>-5010</v>
      </c>
      <c r="I538" s="637">
        <f t="shared" si="276"/>
        <v>5010</v>
      </c>
      <c r="J538" s="637">
        <f t="shared" si="276"/>
        <v>0</v>
      </c>
      <c r="K538" s="637">
        <f t="shared" si="276"/>
        <v>0</v>
      </c>
      <c r="L538" s="637">
        <f t="shared" si="276"/>
        <v>5010</v>
      </c>
      <c r="M538" s="637">
        <f t="shared" si="276"/>
        <v>0</v>
      </c>
      <c r="N538" s="637">
        <f t="shared" si="276"/>
        <v>0</v>
      </c>
      <c r="O538" s="637">
        <f t="shared" si="276"/>
        <v>0</v>
      </c>
    </row>
    <row r="539" spans="1:16" ht="17.25" thickTop="1" thickBot="1" x14ac:dyDescent="0.3">
      <c r="A539" s="275"/>
      <c r="B539" s="101" t="s">
        <v>176</v>
      </c>
      <c r="C539" s="103">
        <f t="shared" ref="C539:O539" si="277">SUM(C504:C538)</f>
        <v>8152520</v>
      </c>
      <c r="D539" s="103">
        <f t="shared" si="277"/>
        <v>1712937</v>
      </c>
      <c r="E539" s="103">
        <f t="shared" si="277"/>
        <v>5347662</v>
      </c>
      <c r="F539" s="103">
        <f t="shared" si="277"/>
        <v>26116</v>
      </c>
      <c r="G539" s="103">
        <f t="shared" si="277"/>
        <v>0</v>
      </c>
      <c r="H539" s="103">
        <f t="shared" si="277"/>
        <v>15239235</v>
      </c>
      <c r="I539" s="103">
        <f t="shared" si="277"/>
        <v>244191</v>
      </c>
      <c r="J539" s="103">
        <f t="shared" si="277"/>
        <v>18768</v>
      </c>
      <c r="K539" s="103">
        <f t="shared" si="277"/>
        <v>0</v>
      </c>
      <c r="L539" s="103">
        <f t="shared" si="277"/>
        <v>262959</v>
      </c>
      <c r="M539" s="103">
        <f t="shared" si="277"/>
        <v>15502194</v>
      </c>
      <c r="N539" s="103">
        <f t="shared" si="277"/>
        <v>0</v>
      </c>
      <c r="O539" s="103">
        <f t="shared" si="277"/>
        <v>15502194</v>
      </c>
      <c r="P539" s="254">
        <f>+O540+O541+O542</f>
        <v>15502194</v>
      </c>
    </row>
    <row r="540" spans="1:16" ht="17.25" thickTop="1" thickBot="1" x14ac:dyDescent="0.3">
      <c r="A540" s="275"/>
      <c r="B540" s="101" t="s">
        <v>1036</v>
      </c>
      <c r="C540" s="102">
        <f t="shared" ref="C540:O540" si="278">SUM(C19+C34+C51+C67+C85+C101+C116+C131+C148+C162+C176+C192+C208+C221+C237+C252+C267+C283+C298+C313+C332+C348+C361+C376+C400+C419+C481+C500)</f>
        <v>5898628</v>
      </c>
      <c r="D540" s="102">
        <f t="shared" si="278"/>
        <v>1248398</v>
      </c>
      <c r="E540" s="102">
        <f t="shared" si="278"/>
        <v>4118393</v>
      </c>
      <c r="F540" s="102">
        <f t="shared" si="278"/>
        <v>26116</v>
      </c>
      <c r="G540" s="102">
        <f t="shared" si="278"/>
        <v>0</v>
      </c>
      <c r="H540" s="102">
        <f t="shared" si="278"/>
        <v>11291535</v>
      </c>
      <c r="I540" s="102">
        <f t="shared" si="278"/>
        <v>158043</v>
      </c>
      <c r="J540" s="102">
        <f t="shared" si="278"/>
        <v>16935</v>
      </c>
      <c r="K540" s="102">
        <f t="shared" si="278"/>
        <v>0</v>
      </c>
      <c r="L540" s="102">
        <f t="shared" si="278"/>
        <v>174978</v>
      </c>
      <c r="M540" s="102">
        <f t="shared" si="278"/>
        <v>11466513</v>
      </c>
      <c r="N540" s="102">
        <f t="shared" si="278"/>
        <v>0</v>
      </c>
      <c r="O540" s="102">
        <f t="shared" si="278"/>
        <v>11466513</v>
      </c>
    </row>
    <row r="541" spans="1:16" ht="17.25" thickTop="1" thickBot="1" x14ac:dyDescent="0.3">
      <c r="A541" s="275"/>
      <c r="B541" s="101" t="s">
        <v>1037</v>
      </c>
      <c r="C541" s="102">
        <f t="shared" ref="C541:O541" si="279">SUM(C20+C35+C52+C68+C86+C102+C117+C132+C149+C163+C177+C193+C209+C222+C238+C253+C268+C284+C299+C314+C333+C349+C362+C377+C386+C401+C420+C440+C451+C482+C461+C501+C429)</f>
        <v>1611958</v>
      </c>
      <c r="D541" s="102">
        <f t="shared" si="279"/>
        <v>325629</v>
      </c>
      <c r="E541" s="102">
        <f t="shared" si="279"/>
        <v>1061600</v>
      </c>
      <c r="F541" s="102">
        <f t="shared" si="279"/>
        <v>0</v>
      </c>
      <c r="G541" s="102">
        <f t="shared" si="279"/>
        <v>0</v>
      </c>
      <c r="H541" s="102">
        <f t="shared" si="279"/>
        <v>2999187</v>
      </c>
      <c r="I541" s="102">
        <f t="shared" si="279"/>
        <v>45884</v>
      </c>
      <c r="J541" s="102">
        <f t="shared" si="279"/>
        <v>0</v>
      </c>
      <c r="K541" s="102">
        <f t="shared" si="279"/>
        <v>0</v>
      </c>
      <c r="L541" s="102">
        <f t="shared" si="279"/>
        <v>45884</v>
      </c>
      <c r="M541" s="102">
        <f t="shared" si="279"/>
        <v>3045071</v>
      </c>
      <c r="N541" s="102">
        <f t="shared" si="279"/>
        <v>0</v>
      </c>
      <c r="O541" s="102">
        <f t="shared" si="279"/>
        <v>3045071</v>
      </c>
    </row>
    <row r="542" spans="1:16" ht="33" thickTop="1" thickBot="1" x14ac:dyDescent="0.3">
      <c r="A542" s="275"/>
      <c r="B542" s="101" t="s">
        <v>1052</v>
      </c>
      <c r="C542" s="102">
        <f t="shared" ref="C542:O542" si="280">SUM(C502)</f>
        <v>641934</v>
      </c>
      <c r="D542" s="102">
        <f t="shared" si="280"/>
        <v>138910</v>
      </c>
      <c r="E542" s="102">
        <f t="shared" si="280"/>
        <v>167669</v>
      </c>
      <c r="F542" s="102">
        <f t="shared" si="280"/>
        <v>0</v>
      </c>
      <c r="G542" s="102">
        <f t="shared" si="280"/>
        <v>0</v>
      </c>
      <c r="H542" s="102">
        <f t="shared" si="280"/>
        <v>948513</v>
      </c>
      <c r="I542" s="102">
        <f t="shared" si="280"/>
        <v>40264</v>
      </c>
      <c r="J542" s="102">
        <f t="shared" si="280"/>
        <v>1833</v>
      </c>
      <c r="K542" s="102">
        <f t="shared" si="280"/>
        <v>0</v>
      </c>
      <c r="L542" s="102">
        <f t="shared" si="280"/>
        <v>42097</v>
      </c>
      <c r="M542" s="102">
        <f t="shared" si="280"/>
        <v>990610</v>
      </c>
      <c r="N542" s="102">
        <f t="shared" si="280"/>
        <v>0</v>
      </c>
      <c r="O542" s="102">
        <f t="shared" si="280"/>
        <v>990610</v>
      </c>
    </row>
    <row r="543" spans="1:16" ht="16.5" thickTop="1" x14ac:dyDescent="0.25"/>
    <row r="544" spans="1:16" x14ac:dyDescent="0.25">
      <c r="C544" s="254">
        <f t="shared" ref="C544:O544" si="281">SUM(C539-C504)</f>
        <v>181009</v>
      </c>
      <c r="D544" s="254">
        <f t="shared" si="281"/>
        <v>38549</v>
      </c>
      <c r="E544" s="254">
        <f t="shared" si="281"/>
        <v>72134</v>
      </c>
      <c r="F544" s="254">
        <f t="shared" si="281"/>
        <v>12</v>
      </c>
      <c r="G544" s="254">
        <f t="shared" si="281"/>
        <v>0</v>
      </c>
      <c r="H544" s="254">
        <f t="shared" si="281"/>
        <v>291704</v>
      </c>
      <c r="I544" s="254">
        <f t="shared" si="281"/>
        <v>54871</v>
      </c>
      <c r="J544" s="254">
        <f t="shared" si="281"/>
        <v>7082</v>
      </c>
      <c r="K544" s="254">
        <f t="shared" si="281"/>
        <v>0</v>
      </c>
      <c r="L544" s="254">
        <f t="shared" si="281"/>
        <v>61953</v>
      </c>
      <c r="M544" s="254">
        <f t="shared" si="281"/>
        <v>353657</v>
      </c>
      <c r="N544" s="254">
        <f t="shared" si="281"/>
        <v>0</v>
      </c>
      <c r="O544" s="254">
        <f t="shared" si="281"/>
        <v>353657</v>
      </c>
    </row>
    <row r="546" spans="2:15" x14ac:dyDescent="0.25">
      <c r="B546" s="147" t="s">
        <v>1054</v>
      </c>
      <c r="C546" s="254">
        <f t="shared" ref="C546:N549" si="282">+C539</f>
        <v>8152520</v>
      </c>
      <c r="D546" s="254">
        <f t="shared" si="282"/>
        <v>1712937</v>
      </c>
      <c r="E546" s="254">
        <f t="shared" si="282"/>
        <v>5347662</v>
      </c>
      <c r="F546" s="254">
        <f t="shared" si="282"/>
        <v>26116</v>
      </c>
      <c r="G546" s="254">
        <f t="shared" si="282"/>
        <v>0</v>
      </c>
      <c r="H546" s="254">
        <f t="shared" si="282"/>
        <v>15239235</v>
      </c>
      <c r="I546" s="254">
        <f t="shared" si="282"/>
        <v>244191</v>
      </c>
      <c r="J546" s="254">
        <f t="shared" si="282"/>
        <v>18768</v>
      </c>
      <c r="K546" s="254">
        <f t="shared" si="282"/>
        <v>0</v>
      </c>
      <c r="L546" s="254">
        <f t="shared" si="282"/>
        <v>262959</v>
      </c>
      <c r="M546" s="254">
        <f t="shared" si="282"/>
        <v>15502194</v>
      </c>
      <c r="N546" s="254">
        <f t="shared" si="282"/>
        <v>0</v>
      </c>
      <c r="O546" s="254">
        <f>+O539</f>
        <v>15502194</v>
      </c>
    </row>
    <row r="547" spans="2:15" x14ac:dyDescent="0.25">
      <c r="B547" s="147" t="s">
        <v>1067</v>
      </c>
      <c r="C547" s="254">
        <f t="shared" si="282"/>
        <v>5898628</v>
      </c>
      <c r="D547" s="254">
        <f t="shared" si="282"/>
        <v>1248398</v>
      </c>
      <c r="E547" s="254">
        <f t="shared" si="282"/>
        <v>4118393</v>
      </c>
      <c r="F547" s="254">
        <f t="shared" si="282"/>
        <v>26116</v>
      </c>
      <c r="G547" s="254">
        <f t="shared" si="282"/>
        <v>0</v>
      </c>
      <c r="H547" s="254">
        <f t="shared" si="282"/>
        <v>11291535</v>
      </c>
      <c r="I547" s="254">
        <f t="shared" si="282"/>
        <v>158043</v>
      </c>
      <c r="J547" s="254">
        <f t="shared" si="282"/>
        <v>16935</v>
      </c>
      <c r="K547" s="254">
        <f t="shared" si="282"/>
        <v>0</v>
      </c>
      <c r="L547" s="254">
        <f t="shared" si="282"/>
        <v>174978</v>
      </c>
      <c r="M547" s="254">
        <f t="shared" si="282"/>
        <v>11466513</v>
      </c>
      <c r="N547" s="254">
        <f t="shared" si="282"/>
        <v>0</v>
      </c>
      <c r="O547" s="254">
        <f>+O540</f>
        <v>11466513</v>
      </c>
    </row>
    <row r="548" spans="2:15" x14ac:dyDescent="0.25">
      <c r="B548" s="147" t="s">
        <v>1037</v>
      </c>
      <c r="C548" s="254">
        <f t="shared" si="282"/>
        <v>1611958</v>
      </c>
      <c r="D548" s="254">
        <f t="shared" si="282"/>
        <v>325629</v>
      </c>
      <c r="E548" s="254">
        <f t="shared" si="282"/>
        <v>1061600</v>
      </c>
      <c r="F548" s="254">
        <f t="shared" si="282"/>
        <v>0</v>
      </c>
      <c r="G548" s="254">
        <f t="shared" si="282"/>
        <v>0</v>
      </c>
      <c r="H548" s="254">
        <f t="shared" si="282"/>
        <v>2999187</v>
      </c>
      <c r="I548" s="254">
        <f t="shared" si="282"/>
        <v>45884</v>
      </c>
      <c r="J548" s="254">
        <f t="shared" si="282"/>
        <v>0</v>
      </c>
      <c r="K548" s="254">
        <f t="shared" si="282"/>
        <v>0</v>
      </c>
      <c r="L548" s="254">
        <f t="shared" si="282"/>
        <v>45884</v>
      </c>
      <c r="M548" s="254">
        <f t="shared" si="282"/>
        <v>3045071</v>
      </c>
      <c r="N548" s="254">
        <f t="shared" si="282"/>
        <v>0</v>
      </c>
      <c r="O548" s="254">
        <f>+O541</f>
        <v>3045071</v>
      </c>
    </row>
    <row r="549" spans="2:15" x14ac:dyDescent="0.25">
      <c r="B549" s="147" t="s">
        <v>1068</v>
      </c>
      <c r="C549" s="254">
        <f t="shared" si="282"/>
        <v>641934</v>
      </c>
      <c r="D549" s="254">
        <f t="shared" si="282"/>
        <v>138910</v>
      </c>
      <c r="E549" s="254">
        <f t="shared" si="282"/>
        <v>167669</v>
      </c>
      <c r="F549" s="254">
        <f t="shared" si="282"/>
        <v>0</v>
      </c>
      <c r="G549" s="254">
        <f t="shared" si="282"/>
        <v>0</v>
      </c>
      <c r="H549" s="254">
        <f t="shared" si="282"/>
        <v>948513</v>
      </c>
      <c r="I549" s="254">
        <f t="shared" si="282"/>
        <v>40264</v>
      </c>
      <c r="J549" s="254">
        <f t="shared" si="282"/>
        <v>1833</v>
      </c>
      <c r="K549" s="254">
        <f t="shared" si="282"/>
        <v>0</v>
      </c>
      <c r="L549" s="254">
        <f t="shared" si="282"/>
        <v>42097</v>
      </c>
      <c r="M549" s="254">
        <f t="shared" si="282"/>
        <v>990610</v>
      </c>
      <c r="N549" s="254">
        <f t="shared" si="282"/>
        <v>0</v>
      </c>
      <c r="O549" s="254">
        <f>+O542</f>
        <v>990610</v>
      </c>
    </row>
    <row r="550" spans="2:15" x14ac:dyDescent="0.25">
      <c r="C550" s="254">
        <f>SUM(C547:C549)-C544</f>
        <v>7971511</v>
      </c>
      <c r="D550" s="254">
        <f t="shared" ref="D550:O550" si="283">SUM(D547:D549)-D544</f>
        <v>1674388</v>
      </c>
      <c r="E550" s="254">
        <f t="shared" si="283"/>
        <v>5275528</v>
      </c>
      <c r="F550" s="254">
        <f t="shared" si="283"/>
        <v>26104</v>
      </c>
      <c r="G550" s="254">
        <f>SUM(G547:G549)-G544</f>
        <v>0</v>
      </c>
      <c r="H550" s="254">
        <f t="shared" si="283"/>
        <v>14947531</v>
      </c>
      <c r="I550" s="254">
        <f t="shared" si="283"/>
        <v>189320</v>
      </c>
      <c r="J550" s="254">
        <f t="shared" si="283"/>
        <v>11686</v>
      </c>
      <c r="K550" s="254">
        <f t="shared" si="283"/>
        <v>0</v>
      </c>
      <c r="L550" s="254">
        <f t="shared" si="283"/>
        <v>201006</v>
      </c>
      <c r="M550" s="254">
        <f t="shared" si="283"/>
        <v>15148537</v>
      </c>
      <c r="N550" s="254">
        <f t="shared" si="283"/>
        <v>0</v>
      </c>
      <c r="O550" s="254">
        <f t="shared" si="283"/>
        <v>15148537</v>
      </c>
    </row>
    <row r="551" spans="2:15" x14ac:dyDescent="0.25">
      <c r="C551" s="254"/>
      <c r="D551" s="254"/>
      <c r="E551" s="254"/>
      <c r="F551" s="254"/>
      <c r="G551" s="254"/>
      <c r="H551" s="254"/>
      <c r="I551" s="254"/>
      <c r="J551" s="254"/>
      <c r="K551" s="254"/>
      <c r="L551" s="254"/>
      <c r="M551" s="254"/>
      <c r="N551" s="254"/>
      <c r="O551" s="254"/>
    </row>
    <row r="552" spans="2:15" x14ac:dyDescent="0.25">
      <c r="C552" s="254">
        <f>SUM(C553:C555)</f>
        <v>181009</v>
      </c>
      <c r="D552" s="254">
        <f t="shared" ref="D552:O552" si="284">SUM(D553:D555)</f>
        <v>38549</v>
      </c>
      <c r="E552" s="254">
        <f t="shared" si="284"/>
        <v>72134</v>
      </c>
      <c r="F552" s="254">
        <f t="shared" si="284"/>
        <v>12</v>
      </c>
      <c r="G552" s="254">
        <f t="shared" si="284"/>
        <v>0</v>
      </c>
      <c r="H552" s="254">
        <f t="shared" si="284"/>
        <v>291704</v>
      </c>
      <c r="I552" s="254">
        <f t="shared" si="284"/>
        <v>54871</v>
      </c>
      <c r="J552" s="254">
        <f t="shared" si="284"/>
        <v>7082</v>
      </c>
      <c r="K552" s="254">
        <f t="shared" si="284"/>
        <v>0</v>
      </c>
      <c r="L552" s="254">
        <f t="shared" si="284"/>
        <v>61953</v>
      </c>
      <c r="M552" s="254">
        <f t="shared" si="284"/>
        <v>353657</v>
      </c>
      <c r="N552" s="254">
        <f t="shared" si="284"/>
        <v>0</v>
      </c>
      <c r="O552" s="254">
        <f t="shared" si="284"/>
        <v>353657</v>
      </c>
    </row>
    <row r="553" spans="2:15" x14ac:dyDescent="0.25">
      <c r="B553" s="147" t="s">
        <v>1067</v>
      </c>
      <c r="C553" s="254">
        <f t="shared" ref="C553:O553" si="285">SUM(C506:C521)</f>
        <v>117294</v>
      </c>
      <c r="D553" s="254">
        <f t="shared" si="285"/>
        <v>21403</v>
      </c>
      <c r="E553" s="254">
        <f t="shared" si="285"/>
        <v>13464</v>
      </c>
      <c r="F553" s="254">
        <f t="shared" si="285"/>
        <v>12</v>
      </c>
      <c r="G553" s="254">
        <f t="shared" si="285"/>
        <v>0</v>
      </c>
      <c r="H553" s="254">
        <f t="shared" si="285"/>
        <v>152173</v>
      </c>
      <c r="I553" s="254">
        <f t="shared" si="285"/>
        <v>41604</v>
      </c>
      <c r="J553" s="254">
        <f t="shared" si="285"/>
        <v>7082</v>
      </c>
      <c r="K553" s="254">
        <f t="shared" si="285"/>
        <v>0</v>
      </c>
      <c r="L553" s="254">
        <f t="shared" si="285"/>
        <v>48686</v>
      </c>
      <c r="M553" s="254">
        <f t="shared" si="285"/>
        <v>200859</v>
      </c>
      <c r="N553" s="254">
        <f t="shared" si="285"/>
        <v>0</v>
      </c>
      <c r="O553" s="254">
        <f t="shared" si="285"/>
        <v>200859</v>
      </c>
    </row>
    <row r="554" spans="2:15" x14ac:dyDescent="0.25">
      <c r="B554" s="147" t="s">
        <v>1037</v>
      </c>
      <c r="C554" s="254">
        <f>SUM(C523:C536)</f>
        <v>63715</v>
      </c>
      <c r="D554" s="254">
        <f t="shared" ref="D554:O554" si="286">SUM(D523:D536)</f>
        <v>17146</v>
      </c>
      <c r="E554" s="254">
        <f t="shared" si="286"/>
        <v>63680</v>
      </c>
      <c r="F554" s="254">
        <f t="shared" si="286"/>
        <v>0</v>
      </c>
      <c r="G554" s="254">
        <f t="shared" si="286"/>
        <v>0</v>
      </c>
      <c r="H554" s="254">
        <f t="shared" si="286"/>
        <v>144541</v>
      </c>
      <c r="I554" s="254">
        <f t="shared" si="286"/>
        <v>8257</v>
      </c>
      <c r="J554" s="254">
        <f t="shared" si="286"/>
        <v>0</v>
      </c>
      <c r="K554" s="254">
        <f t="shared" si="286"/>
        <v>0</v>
      </c>
      <c r="L554" s="254">
        <f t="shared" si="286"/>
        <v>8257</v>
      </c>
      <c r="M554" s="254">
        <f t="shared" si="286"/>
        <v>152798</v>
      </c>
      <c r="N554" s="254">
        <f t="shared" si="286"/>
        <v>0</v>
      </c>
      <c r="O554" s="254">
        <f t="shared" si="286"/>
        <v>152798</v>
      </c>
    </row>
    <row r="555" spans="2:15" x14ac:dyDescent="0.25">
      <c r="B555" s="147" t="s">
        <v>1068</v>
      </c>
      <c r="C555" s="254">
        <f t="shared" ref="C555:O555" si="287">SUM(C538)</f>
        <v>0</v>
      </c>
      <c r="D555" s="254">
        <f t="shared" si="287"/>
        <v>0</v>
      </c>
      <c r="E555" s="254">
        <f t="shared" si="287"/>
        <v>-5010</v>
      </c>
      <c r="F555" s="254">
        <f t="shared" si="287"/>
        <v>0</v>
      </c>
      <c r="G555" s="254">
        <f t="shared" si="287"/>
        <v>0</v>
      </c>
      <c r="H555" s="254">
        <f t="shared" si="287"/>
        <v>-5010</v>
      </c>
      <c r="I555" s="254">
        <f t="shared" si="287"/>
        <v>5010</v>
      </c>
      <c r="J555" s="254">
        <f t="shared" si="287"/>
        <v>0</v>
      </c>
      <c r="K555" s="254">
        <f t="shared" si="287"/>
        <v>0</v>
      </c>
      <c r="L555" s="254">
        <f t="shared" si="287"/>
        <v>5010</v>
      </c>
      <c r="M555" s="254">
        <f t="shared" si="287"/>
        <v>0</v>
      </c>
      <c r="N555" s="254">
        <f t="shared" si="287"/>
        <v>0</v>
      </c>
      <c r="O555" s="254">
        <f t="shared" si="287"/>
        <v>0</v>
      </c>
    </row>
    <row r="557" spans="2:15" x14ac:dyDescent="0.25">
      <c r="C557" s="254">
        <f>+C547-C553</f>
        <v>5781334</v>
      </c>
      <c r="D557" s="254">
        <f t="shared" ref="D557:O559" si="288">+D547-D553</f>
        <v>1226995</v>
      </c>
      <c r="E557" s="254">
        <f t="shared" si="288"/>
        <v>4104929</v>
      </c>
      <c r="F557" s="254">
        <f t="shared" si="288"/>
        <v>26104</v>
      </c>
      <c r="G557" s="254">
        <f t="shared" si="288"/>
        <v>0</v>
      </c>
      <c r="H557" s="254">
        <f t="shared" si="288"/>
        <v>11139362</v>
      </c>
      <c r="I557" s="254">
        <f t="shared" si="288"/>
        <v>116439</v>
      </c>
      <c r="J557" s="254">
        <f t="shared" si="288"/>
        <v>9853</v>
      </c>
      <c r="K557" s="254">
        <f t="shared" si="288"/>
        <v>0</v>
      </c>
      <c r="L557" s="254">
        <f t="shared" si="288"/>
        <v>126292</v>
      </c>
      <c r="M557" s="254">
        <f t="shared" si="288"/>
        <v>11265654</v>
      </c>
      <c r="N557" s="254">
        <f t="shared" si="288"/>
        <v>0</v>
      </c>
      <c r="O557" s="254">
        <f t="shared" si="288"/>
        <v>11265654</v>
      </c>
    </row>
    <row r="558" spans="2:15" x14ac:dyDescent="0.25">
      <c r="C558" s="254">
        <f>+C548-C554</f>
        <v>1548243</v>
      </c>
      <c r="D558" s="254">
        <f t="shared" si="288"/>
        <v>308483</v>
      </c>
      <c r="E558" s="254">
        <f t="shared" si="288"/>
        <v>997920</v>
      </c>
      <c r="F558" s="254">
        <f t="shared" si="288"/>
        <v>0</v>
      </c>
      <c r="G558" s="254">
        <f t="shared" si="288"/>
        <v>0</v>
      </c>
      <c r="H558" s="254">
        <f t="shared" si="288"/>
        <v>2854646</v>
      </c>
      <c r="I558" s="254">
        <f t="shared" si="288"/>
        <v>37627</v>
      </c>
      <c r="J558" s="254">
        <f t="shared" si="288"/>
        <v>0</v>
      </c>
      <c r="K558" s="254">
        <f t="shared" si="288"/>
        <v>0</v>
      </c>
      <c r="L558" s="254">
        <f t="shared" si="288"/>
        <v>37627</v>
      </c>
      <c r="M558" s="254">
        <f t="shared" si="288"/>
        <v>2892273</v>
      </c>
      <c r="N558" s="254">
        <f t="shared" si="288"/>
        <v>0</v>
      </c>
      <c r="O558" s="254">
        <f t="shared" si="288"/>
        <v>2892273</v>
      </c>
    </row>
    <row r="559" spans="2:15" x14ac:dyDescent="0.25">
      <c r="C559" s="254">
        <f>+C549-C555</f>
        <v>641934</v>
      </c>
      <c r="D559" s="254">
        <f t="shared" si="288"/>
        <v>138910</v>
      </c>
      <c r="E559" s="254">
        <f t="shared" si="288"/>
        <v>172679</v>
      </c>
      <c r="F559" s="254">
        <f t="shared" si="288"/>
        <v>0</v>
      </c>
      <c r="G559" s="254">
        <f t="shared" si="288"/>
        <v>0</v>
      </c>
      <c r="H559" s="254">
        <f t="shared" si="288"/>
        <v>953523</v>
      </c>
      <c r="I559" s="254">
        <f t="shared" si="288"/>
        <v>35254</v>
      </c>
      <c r="J559" s="254">
        <f t="shared" si="288"/>
        <v>1833</v>
      </c>
      <c r="K559" s="254">
        <f t="shared" si="288"/>
        <v>0</v>
      </c>
      <c r="L559" s="254">
        <f t="shared" si="288"/>
        <v>37087</v>
      </c>
      <c r="M559" s="254">
        <f t="shared" si="288"/>
        <v>990610</v>
      </c>
      <c r="N559" s="254">
        <f t="shared" si="288"/>
        <v>0</v>
      </c>
      <c r="O559" s="254">
        <f t="shared" si="288"/>
        <v>990610</v>
      </c>
    </row>
  </sheetData>
  <mergeCells count="2">
    <mergeCell ref="A1:O1"/>
    <mergeCell ref="A2:O2"/>
  </mergeCells>
  <pageMargins left="0.70866141732283472" right="0.70866141732283472" top="0.74803149606299213" bottom="0.74803149606299213" header="0.31496062992125984" footer="0.31496062992125984"/>
  <pageSetup paperSize="9" scale="50" fitToHeight="0" orientation="landscape" r:id="rId1"/>
  <headerFooter>
    <oddHeader>&amp;R8. melléklet
az 5/2019.(II.15.) önkormányzati rendelethez&amp;X7</oddHeader>
    <oddFooter>&amp;L&amp;X7&amp;XMódosította a  28/2019.(XII.13.) önkormányzati rendelet 8.§ (7) bekezdése, hatályos 2019. december 16-tól.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7D361-B255-420B-8733-FA065C1A21F6}">
  <sheetPr>
    <tabColor rgb="FF92D050"/>
    <pageSetUpPr fitToPage="1"/>
  </sheetPr>
  <dimension ref="A1:P2100"/>
  <sheetViews>
    <sheetView zoomScaleNormal="100" workbookViewId="0">
      <selection activeCell="E5" sqref="E5"/>
    </sheetView>
  </sheetViews>
  <sheetFormatPr defaultRowHeight="15" x14ac:dyDescent="0.25"/>
  <cols>
    <col min="1" max="1" width="31.125" style="641" customWidth="1"/>
    <col min="2" max="2" width="15.125" style="641" customWidth="1"/>
    <col min="3" max="3" width="15.75" style="641" customWidth="1"/>
    <col min="4" max="8" width="15.125" style="641" customWidth="1"/>
    <col min="9" max="10" width="15.75" style="641" customWidth="1"/>
    <col min="11" max="16" width="15.125" style="641" customWidth="1"/>
    <col min="17" max="16384" width="9" style="641"/>
  </cols>
  <sheetData>
    <row r="1" spans="1:16" ht="69" customHeight="1" thickTop="1" thickBot="1" x14ac:dyDescent="0.3">
      <c r="A1" s="327" t="s">
        <v>454</v>
      </c>
      <c r="B1" s="1057" t="s">
        <v>565</v>
      </c>
      <c r="C1" s="1058"/>
      <c r="D1" s="1059"/>
      <c r="E1" s="640" t="s">
        <v>1069</v>
      </c>
      <c r="F1" s="640" t="s">
        <v>565</v>
      </c>
      <c r="G1" s="640" t="s">
        <v>1070</v>
      </c>
      <c r="H1" s="640" t="s">
        <v>1071</v>
      </c>
      <c r="I1" s="1060" t="s">
        <v>565</v>
      </c>
      <c r="J1" s="1059"/>
      <c r="K1" s="640" t="s">
        <v>1158</v>
      </c>
      <c r="L1" s="640" t="s">
        <v>1071</v>
      </c>
      <c r="M1" s="640"/>
      <c r="N1" s="640" t="s">
        <v>1071</v>
      </c>
      <c r="O1" s="640"/>
      <c r="P1" s="640" t="s">
        <v>1071</v>
      </c>
    </row>
    <row r="2" spans="1:16" ht="17.25" thickTop="1" thickBot="1" x14ac:dyDescent="0.3">
      <c r="A2" s="110"/>
      <c r="B2" s="328" t="s">
        <v>846</v>
      </c>
      <c r="C2" s="328" t="s">
        <v>847</v>
      </c>
      <c r="D2" s="328" t="s">
        <v>848</v>
      </c>
      <c r="E2" s="329" t="s">
        <v>848</v>
      </c>
      <c r="F2" s="328" t="s">
        <v>848</v>
      </c>
      <c r="G2" s="328" t="s">
        <v>1072</v>
      </c>
      <c r="H2" s="328" t="s">
        <v>1072</v>
      </c>
      <c r="I2" s="115" t="s">
        <v>849</v>
      </c>
      <c r="J2" s="115" t="s">
        <v>850</v>
      </c>
      <c r="K2" s="642" t="s">
        <v>1159</v>
      </c>
      <c r="L2" s="642" t="s">
        <v>1159</v>
      </c>
      <c r="M2" s="328" t="s">
        <v>1160</v>
      </c>
      <c r="N2" s="328" t="s">
        <v>1160</v>
      </c>
      <c r="O2" s="642" t="s">
        <v>1161</v>
      </c>
      <c r="P2" s="642" t="s">
        <v>1161</v>
      </c>
    </row>
    <row r="3" spans="1:16" ht="16.5" thickTop="1" x14ac:dyDescent="0.25">
      <c r="A3" s="108" t="s">
        <v>393</v>
      </c>
      <c r="B3" s="643">
        <v>124.8</v>
      </c>
      <c r="C3" s="644">
        <v>124.8</v>
      </c>
      <c r="D3" s="645">
        <v>124.8</v>
      </c>
      <c r="E3" s="646"/>
      <c r="F3" s="644">
        <f>E3+D3</f>
        <v>124.8</v>
      </c>
      <c r="G3" s="644"/>
      <c r="H3" s="644">
        <f>G3+F3</f>
        <v>124.8</v>
      </c>
      <c r="I3" s="644">
        <v>124.8</v>
      </c>
      <c r="J3" s="644">
        <v>124.8</v>
      </c>
      <c r="K3" s="644"/>
      <c r="L3" s="644">
        <f>K3+J3</f>
        <v>124.8</v>
      </c>
      <c r="M3" s="644"/>
      <c r="N3" s="644">
        <f>M3+L3</f>
        <v>124.8</v>
      </c>
      <c r="O3" s="644"/>
      <c r="P3" s="644">
        <f>O3+N3</f>
        <v>124.8</v>
      </c>
    </row>
    <row r="4" spans="1:16" ht="32.25" thickBot="1" x14ac:dyDescent="0.3">
      <c r="A4" s="111" t="s">
        <v>394</v>
      </c>
      <c r="B4" s="643">
        <v>25.5</v>
      </c>
      <c r="C4" s="644">
        <v>25.5</v>
      </c>
      <c r="D4" s="647">
        <v>25.5</v>
      </c>
      <c r="E4" s="648"/>
      <c r="F4" s="644">
        <f>E4+D4</f>
        <v>25.5</v>
      </c>
      <c r="G4" s="644"/>
      <c r="H4" s="644">
        <f>G4+F4</f>
        <v>25.5</v>
      </c>
      <c r="I4" s="644">
        <v>25.5</v>
      </c>
      <c r="J4" s="644">
        <v>25.5</v>
      </c>
      <c r="K4" s="644"/>
      <c r="L4" s="644">
        <f>K4+J4</f>
        <v>25.5</v>
      </c>
      <c r="M4" s="644"/>
      <c r="N4" s="644">
        <f>M4+L4</f>
        <v>25.5</v>
      </c>
      <c r="O4" s="644"/>
      <c r="P4" s="644">
        <f>O4+N4</f>
        <v>25.5</v>
      </c>
    </row>
    <row r="5" spans="1:16" ht="17.25" thickTop="1" thickBot="1" x14ac:dyDescent="0.3">
      <c r="A5" s="110" t="s">
        <v>455</v>
      </c>
      <c r="B5" s="116">
        <f t="shared" ref="B5:P5" si="0">SUM(B3:B4)</f>
        <v>150.30000000000001</v>
      </c>
      <c r="C5" s="116">
        <f t="shared" si="0"/>
        <v>150.30000000000001</v>
      </c>
      <c r="D5" s="116">
        <f t="shared" si="0"/>
        <v>150.30000000000001</v>
      </c>
      <c r="E5" s="330">
        <f>SUM(E3:E4)</f>
        <v>0</v>
      </c>
      <c r="F5" s="116">
        <f t="shared" si="0"/>
        <v>150.30000000000001</v>
      </c>
      <c r="G5" s="116">
        <f>SUM(G3:G4)</f>
        <v>0</v>
      </c>
      <c r="H5" s="116">
        <f>SUM(H3:H4)</f>
        <v>150.30000000000001</v>
      </c>
      <c r="I5" s="116">
        <f t="shared" si="0"/>
        <v>150.30000000000001</v>
      </c>
      <c r="J5" s="116">
        <f t="shared" si="0"/>
        <v>150.30000000000001</v>
      </c>
      <c r="K5" s="116">
        <f t="shared" si="0"/>
        <v>0</v>
      </c>
      <c r="L5" s="116">
        <f t="shared" si="0"/>
        <v>150.30000000000001</v>
      </c>
      <c r="M5" s="116">
        <f t="shared" si="0"/>
        <v>0</v>
      </c>
      <c r="N5" s="116">
        <f t="shared" si="0"/>
        <v>150.30000000000001</v>
      </c>
      <c r="O5" s="116">
        <f t="shared" si="0"/>
        <v>0</v>
      </c>
      <c r="P5" s="116">
        <f t="shared" si="0"/>
        <v>150.30000000000001</v>
      </c>
    </row>
    <row r="6" spans="1:16" ht="16.5" thickTop="1" x14ac:dyDescent="0.25">
      <c r="A6" s="109" t="s">
        <v>396</v>
      </c>
      <c r="B6" s="643">
        <v>22.75</v>
      </c>
      <c r="C6" s="644">
        <v>22.75</v>
      </c>
      <c r="D6" s="644">
        <v>22.75</v>
      </c>
      <c r="E6" s="644"/>
      <c r="F6" s="644">
        <f>E6+D6</f>
        <v>22.75</v>
      </c>
      <c r="G6" s="644"/>
      <c r="H6" s="644">
        <f>G6+F6</f>
        <v>22.75</v>
      </c>
      <c r="I6" s="644">
        <v>22.75</v>
      </c>
      <c r="J6" s="644">
        <v>22.75</v>
      </c>
      <c r="K6" s="644"/>
      <c r="L6" s="644">
        <f>K6+J6</f>
        <v>22.75</v>
      </c>
      <c r="M6" s="644"/>
      <c r="N6" s="644">
        <f>M6+L6</f>
        <v>22.75</v>
      </c>
      <c r="O6" s="644"/>
      <c r="P6" s="644">
        <f>O6+N6</f>
        <v>22.75</v>
      </c>
    </row>
    <row r="7" spans="1:16" ht="15.75" x14ac:dyDescent="0.25">
      <c r="A7" s="109" t="s">
        <v>566</v>
      </c>
      <c r="B7" s="643">
        <v>22.75</v>
      </c>
      <c r="C7" s="644">
        <v>22.75</v>
      </c>
      <c r="D7" s="644">
        <v>22.75</v>
      </c>
      <c r="E7" s="644"/>
      <c r="F7" s="644">
        <f t="shared" ref="F7:F11" si="1">E7+D7</f>
        <v>22.75</v>
      </c>
      <c r="G7" s="644"/>
      <c r="H7" s="644">
        <f t="shared" ref="H7:H11" si="2">G7+F7</f>
        <v>22.75</v>
      </c>
      <c r="I7" s="644">
        <v>22.75</v>
      </c>
      <c r="J7" s="644">
        <v>22.75</v>
      </c>
      <c r="K7" s="644"/>
      <c r="L7" s="644">
        <f t="shared" ref="L7:L11" si="3">K7+J7</f>
        <v>22.75</v>
      </c>
      <c r="M7" s="644"/>
      <c r="N7" s="644">
        <f t="shared" ref="N7:N11" si="4">M7+L7</f>
        <v>22.75</v>
      </c>
      <c r="O7" s="644"/>
      <c r="P7" s="644">
        <f t="shared" ref="P7:P11" si="5">O7+N7</f>
        <v>22.75</v>
      </c>
    </row>
    <row r="8" spans="1:16" ht="15.75" x14ac:dyDescent="0.25">
      <c r="A8" s="109" t="s">
        <v>397</v>
      </c>
      <c r="B8" s="643">
        <v>22.75</v>
      </c>
      <c r="C8" s="644">
        <v>22.75</v>
      </c>
      <c r="D8" s="644">
        <v>22.75</v>
      </c>
      <c r="E8" s="644"/>
      <c r="F8" s="644">
        <f t="shared" si="1"/>
        <v>22.75</v>
      </c>
      <c r="G8" s="644"/>
      <c r="H8" s="644">
        <f t="shared" si="2"/>
        <v>22.75</v>
      </c>
      <c r="I8" s="644">
        <v>22.75</v>
      </c>
      <c r="J8" s="644">
        <v>22.75</v>
      </c>
      <c r="K8" s="644"/>
      <c r="L8" s="644">
        <f t="shared" si="3"/>
        <v>22.75</v>
      </c>
      <c r="M8" s="644"/>
      <c r="N8" s="644">
        <f t="shared" si="4"/>
        <v>22.75</v>
      </c>
      <c r="O8" s="644"/>
      <c r="P8" s="644">
        <f t="shared" si="5"/>
        <v>22.75</v>
      </c>
    </row>
    <row r="9" spans="1:16" ht="15.75" x14ac:dyDescent="0.25">
      <c r="A9" s="109" t="s">
        <v>513</v>
      </c>
      <c r="B9" s="643">
        <v>13</v>
      </c>
      <c r="C9" s="644">
        <v>13</v>
      </c>
      <c r="D9" s="644">
        <v>13</v>
      </c>
      <c r="E9" s="644"/>
      <c r="F9" s="644">
        <f t="shared" si="1"/>
        <v>13</v>
      </c>
      <c r="G9" s="644"/>
      <c r="H9" s="644">
        <f t="shared" si="2"/>
        <v>13</v>
      </c>
      <c r="I9" s="644">
        <v>13</v>
      </c>
      <c r="J9" s="644">
        <v>13</v>
      </c>
      <c r="K9" s="644"/>
      <c r="L9" s="644">
        <f t="shared" si="3"/>
        <v>13</v>
      </c>
      <c r="M9" s="644"/>
      <c r="N9" s="644">
        <f t="shared" si="4"/>
        <v>13</v>
      </c>
      <c r="O9" s="644"/>
      <c r="P9" s="644">
        <f t="shared" si="5"/>
        <v>13</v>
      </c>
    </row>
    <row r="10" spans="1:16" ht="15.75" x14ac:dyDescent="0.25">
      <c r="A10" s="109" t="s">
        <v>575</v>
      </c>
      <c r="B10" s="643">
        <v>27.75</v>
      </c>
      <c r="C10" s="644">
        <v>27.75</v>
      </c>
      <c r="D10" s="644">
        <v>27.75</v>
      </c>
      <c r="E10" s="644"/>
      <c r="F10" s="644">
        <f t="shared" si="1"/>
        <v>27.75</v>
      </c>
      <c r="G10" s="644"/>
      <c r="H10" s="644">
        <f t="shared" si="2"/>
        <v>27.75</v>
      </c>
      <c r="I10" s="644">
        <v>27.75</v>
      </c>
      <c r="J10" s="644">
        <v>27.75</v>
      </c>
      <c r="K10" s="644"/>
      <c r="L10" s="644">
        <f t="shared" si="3"/>
        <v>27.75</v>
      </c>
      <c r="M10" s="644"/>
      <c r="N10" s="644">
        <f t="shared" si="4"/>
        <v>27.75</v>
      </c>
      <c r="O10" s="644"/>
      <c r="P10" s="644">
        <f t="shared" si="5"/>
        <v>27.75</v>
      </c>
    </row>
    <row r="11" spans="1:16" ht="16.5" thickBot="1" x14ac:dyDescent="0.3">
      <c r="A11" s="109" t="s">
        <v>591</v>
      </c>
      <c r="B11" s="643">
        <v>22.75</v>
      </c>
      <c r="C11" s="644">
        <v>22.75</v>
      </c>
      <c r="D11" s="644">
        <v>22.75</v>
      </c>
      <c r="E11" s="644"/>
      <c r="F11" s="644">
        <f t="shared" si="1"/>
        <v>22.75</v>
      </c>
      <c r="G11" s="644"/>
      <c r="H11" s="644">
        <f t="shared" si="2"/>
        <v>22.75</v>
      </c>
      <c r="I11" s="644">
        <v>22.75</v>
      </c>
      <c r="J11" s="644">
        <v>22.75</v>
      </c>
      <c r="K11" s="644"/>
      <c r="L11" s="644">
        <f t="shared" si="3"/>
        <v>22.75</v>
      </c>
      <c r="M11" s="644"/>
      <c r="N11" s="644">
        <f t="shared" si="4"/>
        <v>22.75</v>
      </c>
      <c r="O11" s="644"/>
      <c r="P11" s="644">
        <f t="shared" si="5"/>
        <v>22.75</v>
      </c>
    </row>
    <row r="12" spans="1:16" ht="17.25" thickTop="1" thickBot="1" x14ac:dyDescent="0.3">
      <c r="A12" s="110" t="s">
        <v>398</v>
      </c>
      <c r="B12" s="116">
        <f t="shared" ref="B12:P12" si="6">SUM(B6:B11)</f>
        <v>131.75</v>
      </c>
      <c r="C12" s="116">
        <f t="shared" si="6"/>
        <v>131.75</v>
      </c>
      <c r="D12" s="116">
        <f t="shared" si="6"/>
        <v>131.75</v>
      </c>
      <c r="E12" s="116">
        <f>SUM(E6:E11)</f>
        <v>0</v>
      </c>
      <c r="F12" s="116">
        <f t="shared" si="6"/>
        <v>131.75</v>
      </c>
      <c r="G12" s="116">
        <f>SUM(G6:G11)</f>
        <v>0</v>
      </c>
      <c r="H12" s="116">
        <f>SUM(H6:H11)</f>
        <v>131.75</v>
      </c>
      <c r="I12" s="116">
        <f t="shared" si="6"/>
        <v>131.75</v>
      </c>
      <c r="J12" s="116">
        <f t="shared" si="6"/>
        <v>131.75</v>
      </c>
      <c r="K12" s="116">
        <f t="shared" si="6"/>
        <v>0</v>
      </c>
      <c r="L12" s="116">
        <f t="shared" si="6"/>
        <v>131.75</v>
      </c>
      <c r="M12" s="116">
        <f t="shared" si="6"/>
        <v>0</v>
      </c>
      <c r="N12" s="116">
        <f t="shared" si="6"/>
        <v>131.75</v>
      </c>
      <c r="O12" s="116">
        <f t="shared" si="6"/>
        <v>0</v>
      </c>
      <c r="P12" s="116">
        <f t="shared" si="6"/>
        <v>131.75</v>
      </c>
    </row>
    <row r="13" spans="1:16" ht="16.5" thickTop="1" x14ac:dyDescent="0.25">
      <c r="A13" s="109" t="s">
        <v>399</v>
      </c>
      <c r="B13" s="643">
        <v>47.25</v>
      </c>
      <c r="C13" s="644">
        <v>47.25</v>
      </c>
      <c r="D13" s="644">
        <v>47.25</v>
      </c>
      <c r="E13" s="644"/>
      <c r="F13" s="644">
        <f>E13+D13</f>
        <v>47.25</v>
      </c>
      <c r="G13" s="644"/>
      <c r="H13" s="644">
        <f>G13+F13</f>
        <v>47.25</v>
      </c>
      <c r="I13" s="644">
        <v>47.25</v>
      </c>
      <c r="J13" s="644">
        <v>47.25</v>
      </c>
      <c r="K13" s="644"/>
      <c r="L13" s="644">
        <f>K13+J13</f>
        <v>47.25</v>
      </c>
      <c r="M13" s="644">
        <v>0.5</v>
      </c>
      <c r="N13" s="644">
        <f>M13+L13</f>
        <v>47.75</v>
      </c>
      <c r="O13" s="644"/>
      <c r="P13" s="644">
        <f>O13+N13</f>
        <v>47.75</v>
      </c>
    </row>
    <row r="14" spans="1:16" ht="15.75" x14ac:dyDescent="0.25">
      <c r="A14" s="109" t="s">
        <v>592</v>
      </c>
      <c r="B14" s="643">
        <v>49</v>
      </c>
      <c r="C14" s="644">
        <v>49</v>
      </c>
      <c r="D14" s="644">
        <v>49</v>
      </c>
      <c r="E14" s="644"/>
      <c r="F14" s="644">
        <f t="shared" ref="F14:F24" si="7">E14+D14</f>
        <v>49</v>
      </c>
      <c r="G14" s="644"/>
      <c r="H14" s="644">
        <f t="shared" ref="H14:H24" si="8">G14+F14</f>
        <v>49</v>
      </c>
      <c r="I14" s="644">
        <v>49</v>
      </c>
      <c r="J14" s="644">
        <v>49</v>
      </c>
      <c r="K14" s="644"/>
      <c r="L14" s="644">
        <f t="shared" ref="L14:L24" si="9">K14+J14</f>
        <v>49</v>
      </c>
      <c r="M14" s="644">
        <v>2</v>
      </c>
      <c r="N14" s="644">
        <f t="shared" ref="N14:N24" si="10">M14+L14</f>
        <v>51</v>
      </c>
      <c r="O14" s="644"/>
      <c r="P14" s="644">
        <f t="shared" ref="P14:P24" si="11">O14+N14</f>
        <v>51</v>
      </c>
    </row>
    <row r="15" spans="1:16" ht="15.75" x14ac:dyDescent="0.25">
      <c r="A15" s="111" t="s">
        <v>593</v>
      </c>
      <c r="B15" s="643">
        <v>54.5</v>
      </c>
      <c r="C15" s="644">
        <v>54.5</v>
      </c>
      <c r="D15" s="644">
        <v>54.5</v>
      </c>
      <c r="E15" s="644"/>
      <c r="F15" s="644">
        <f t="shared" si="7"/>
        <v>54.5</v>
      </c>
      <c r="G15" s="644"/>
      <c r="H15" s="644">
        <f t="shared" si="8"/>
        <v>54.5</v>
      </c>
      <c r="I15" s="644">
        <v>54.5</v>
      </c>
      <c r="J15" s="644">
        <v>54.5</v>
      </c>
      <c r="K15" s="644"/>
      <c r="L15" s="644">
        <f t="shared" si="9"/>
        <v>54.5</v>
      </c>
      <c r="M15" s="644">
        <v>0.5</v>
      </c>
      <c r="N15" s="644">
        <f t="shared" si="10"/>
        <v>55</v>
      </c>
      <c r="O15" s="644"/>
      <c r="P15" s="644">
        <f t="shared" si="11"/>
        <v>55</v>
      </c>
    </row>
    <row r="16" spans="1:16" ht="15.75" x14ac:dyDescent="0.25">
      <c r="A16" s="109" t="s">
        <v>400</v>
      </c>
      <c r="B16" s="643">
        <v>33.5</v>
      </c>
      <c r="C16" s="644">
        <v>33.5</v>
      </c>
      <c r="D16" s="644">
        <v>33.5</v>
      </c>
      <c r="E16" s="644"/>
      <c r="F16" s="644">
        <f t="shared" si="7"/>
        <v>33.5</v>
      </c>
      <c r="G16" s="644"/>
      <c r="H16" s="644">
        <f t="shared" si="8"/>
        <v>33.5</v>
      </c>
      <c r="I16" s="644">
        <v>33.5</v>
      </c>
      <c r="J16" s="644">
        <v>33.5</v>
      </c>
      <c r="K16" s="644"/>
      <c r="L16" s="644">
        <f t="shared" si="9"/>
        <v>33.5</v>
      </c>
      <c r="M16" s="644">
        <v>0.5</v>
      </c>
      <c r="N16" s="644">
        <f t="shared" si="10"/>
        <v>34</v>
      </c>
      <c r="O16" s="644"/>
      <c r="P16" s="644">
        <f t="shared" si="11"/>
        <v>34</v>
      </c>
    </row>
    <row r="17" spans="1:16" ht="15.75" x14ac:dyDescent="0.25">
      <c r="A17" s="109" t="s">
        <v>401</v>
      </c>
      <c r="B17" s="643">
        <v>44</v>
      </c>
      <c r="C17" s="644">
        <v>44</v>
      </c>
      <c r="D17" s="644">
        <v>44</v>
      </c>
      <c r="E17" s="644"/>
      <c r="F17" s="644">
        <f t="shared" si="7"/>
        <v>44</v>
      </c>
      <c r="G17" s="644"/>
      <c r="H17" s="644">
        <f t="shared" si="8"/>
        <v>44</v>
      </c>
      <c r="I17" s="644">
        <v>44</v>
      </c>
      <c r="J17" s="644">
        <v>44</v>
      </c>
      <c r="K17" s="644"/>
      <c r="L17" s="644">
        <f t="shared" si="9"/>
        <v>44</v>
      </c>
      <c r="M17" s="644">
        <v>0.5</v>
      </c>
      <c r="N17" s="644">
        <f t="shared" si="10"/>
        <v>44.5</v>
      </c>
      <c r="O17" s="644"/>
      <c r="P17" s="644">
        <f t="shared" si="11"/>
        <v>44.5</v>
      </c>
    </row>
    <row r="18" spans="1:16" ht="15.75" x14ac:dyDescent="0.25">
      <c r="A18" s="109" t="s">
        <v>402</v>
      </c>
      <c r="B18" s="643">
        <v>37</v>
      </c>
      <c r="C18" s="644">
        <v>37</v>
      </c>
      <c r="D18" s="644">
        <v>37</v>
      </c>
      <c r="E18" s="644"/>
      <c r="F18" s="644">
        <f t="shared" si="7"/>
        <v>37</v>
      </c>
      <c r="G18" s="644"/>
      <c r="H18" s="644">
        <f t="shared" si="8"/>
        <v>37</v>
      </c>
      <c r="I18" s="644">
        <v>37</v>
      </c>
      <c r="J18" s="644">
        <v>37</v>
      </c>
      <c r="K18" s="644"/>
      <c r="L18" s="644">
        <f t="shared" si="9"/>
        <v>37</v>
      </c>
      <c r="M18" s="644"/>
      <c r="N18" s="644">
        <f t="shared" si="10"/>
        <v>37</v>
      </c>
      <c r="O18" s="644"/>
      <c r="P18" s="644">
        <f t="shared" si="11"/>
        <v>37</v>
      </c>
    </row>
    <row r="19" spans="1:16" ht="15.75" x14ac:dyDescent="0.25">
      <c r="A19" s="109" t="s">
        <v>31</v>
      </c>
      <c r="B19" s="643">
        <v>42.5</v>
      </c>
      <c r="C19" s="644">
        <v>42.5</v>
      </c>
      <c r="D19" s="644">
        <v>42.5</v>
      </c>
      <c r="E19" s="644"/>
      <c r="F19" s="644">
        <f t="shared" si="7"/>
        <v>42.5</v>
      </c>
      <c r="G19" s="644"/>
      <c r="H19" s="644">
        <f t="shared" si="8"/>
        <v>42.5</v>
      </c>
      <c r="I19" s="644">
        <v>42.5</v>
      </c>
      <c r="J19" s="644">
        <v>42.5</v>
      </c>
      <c r="K19" s="644"/>
      <c r="L19" s="644">
        <f t="shared" si="9"/>
        <v>42.5</v>
      </c>
      <c r="M19" s="644">
        <v>1.5</v>
      </c>
      <c r="N19" s="644">
        <f t="shared" si="10"/>
        <v>44</v>
      </c>
      <c r="O19" s="644"/>
      <c r="P19" s="644">
        <f t="shared" si="11"/>
        <v>44</v>
      </c>
    </row>
    <row r="20" spans="1:16" ht="15.75" x14ac:dyDescent="0.25">
      <c r="A20" s="109" t="s">
        <v>514</v>
      </c>
      <c r="B20" s="643">
        <v>46</v>
      </c>
      <c r="C20" s="644">
        <v>46</v>
      </c>
      <c r="D20" s="644">
        <v>46</v>
      </c>
      <c r="E20" s="644"/>
      <c r="F20" s="644">
        <f t="shared" si="7"/>
        <v>46</v>
      </c>
      <c r="G20" s="644"/>
      <c r="H20" s="644">
        <f t="shared" si="8"/>
        <v>46</v>
      </c>
      <c r="I20" s="644">
        <v>46</v>
      </c>
      <c r="J20" s="644">
        <v>46</v>
      </c>
      <c r="K20" s="644"/>
      <c r="L20" s="644">
        <f t="shared" si="9"/>
        <v>46</v>
      </c>
      <c r="M20" s="644"/>
      <c r="N20" s="644">
        <f t="shared" si="10"/>
        <v>46</v>
      </c>
      <c r="O20" s="644"/>
      <c r="P20" s="644">
        <f t="shared" si="11"/>
        <v>46</v>
      </c>
    </row>
    <row r="21" spans="1:16" ht="15.75" x14ac:dyDescent="0.25">
      <c r="A21" s="109" t="s">
        <v>403</v>
      </c>
      <c r="B21" s="643">
        <v>15</v>
      </c>
      <c r="C21" s="644">
        <v>15</v>
      </c>
      <c r="D21" s="644">
        <v>15</v>
      </c>
      <c r="E21" s="644"/>
      <c r="F21" s="644">
        <f t="shared" si="7"/>
        <v>15</v>
      </c>
      <c r="G21" s="644"/>
      <c r="H21" s="644">
        <f t="shared" si="8"/>
        <v>15</v>
      </c>
      <c r="I21" s="644">
        <v>15</v>
      </c>
      <c r="J21" s="644">
        <v>15</v>
      </c>
      <c r="K21" s="644"/>
      <c r="L21" s="644">
        <f t="shared" si="9"/>
        <v>15</v>
      </c>
      <c r="M21" s="644"/>
      <c r="N21" s="644">
        <f t="shared" si="10"/>
        <v>15</v>
      </c>
      <c r="O21" s="644"/>
      <c r="P21" s="644">
        <f t="shared" si="11"/>
        <v>15</v>
      </c>
    </row>
    <row r="22" spans="1:16" ht="15.75" x14ac:dyDescent="0.25">
      <c r="A22" s="109" t="s">
        <v>515</v>
      </c>
      <c r="B22" s="643">
        <v>54.5</v>
      </c>
      <c r="C22" s="644">
        <v>54.5</v>
      </c>
      <c r="D22" s="644">
        <v>54.5</v>
      </c>
      <c r="E22" s="644"/>
      <c r="F22" s="644">
        <f t="shared" si="7"/>
        <v>54.5</v>
      </c>
      <c r="G22" s="644"/>
      <c r="H22" s="644">
        <f t="shared" si="8"/>
        <v>54.5</v>
      </c>
      <c r="I22" s="644">
        <v>54.5</v>
      </c>
      <c r="J22" s="644">
        <v>54.5</v>
      </c>
      <c r="K22" s="644"/>
      <c r="L22" s="644">
        <f t="shared" si="9"/>
        <v>54.5</v>
      </c>
      <c r="M22" s="644"/>
      <c r="N22" s="644">
        <f t="shared" si="10"/>
        <v>54.5</v>
      </c>
      <c r="O22" s="644"/>
      <c r="P22" s="644">
        <f t="shared" si="11"/>
        <v>54.5</v>
      </c>
    </row>
    <row r="23" spans="1:16" ht="15.75" x14ac:dyDescent="0.25">
      <c r="A23" s="109" t="s">
        <v>404</v>
      </c>
      <c r="B23" s="643">
        <v>35.5</v>
      </c>
      <c r="C23" s="644">
        <v>35.5</v>
      </c>
      <c r="D23" s="644">
        <v>35.5</v>
      </c>
      <c r="E23" s="644"/>
      <c r="F23" s="644">
        <f t="shared" si="7"/>
        <v>35.5</v>
      </c>
      <c r="G23" s="644"/>
      <c r="H23" s="644">
        <f t="shared" si="8"/>
        <v>35.5</v>
      </c>
      <c r="I23" s="644">
        <v>35.5</v>
      </c>
      <c r="J23" s="644">
        <v>35.5</v>
      </c>
      <c r="K23" s="644"/>
      <c r="L23" s="644">
        <f t="shared" si="9"/>
        <v>35.5</v>
      </c>
      <c r="M23" s="644">
        <v>1</v>
      </c>
      <c r="N23" s="644">
        <f t="shared" si="10"/>
        <v>36.5</v>
      </c>
      <c r="O23" s="644"/>
      <c r="P23" s="644">
        <f t="shared" si="11"/>
        <v>36.5</v>
      </c>
    </row>
    <row r="24" spans="1:16" ht="16.5" thickBot="1" x14ac:dyDescent="0.3">
      <c r="A24" s="109" t="s">
        <v>32</v>
      </c>
      <c r="B24" s="643">
        <v>44.5</v>
      </c>
      <c r="C24" s="644">
        <v>44.5</v>
      </c>
      <c r="D24" s="644">
        <v>44.5</v>
      </c>
      <c r="E24" s="644"/>
      <c r="F24" s="644">
        <f t="shared" si="7"/>
        <v>44.5</v>
      </c>
      <c r="G24" s="644"/>
      <c r="H24" s="644">
        <f t="shared" si="8"/>
        <v>44.5</v>
      </c>
      <c r="I24" s="644">
        <v>44.5</v>
      </c>
      <c r="J24" s="644">
        <v>44.5</v>
      </c>
      <c r="K24" s="644"/>
      <c r="L24" s="644">
        <f t="shared" si="9"/>
        <v>44.5</v>
      </c>
      <c r="M24" s="644"/>
      <c r="N24" s="644">
        <f t="shared" si="10"/>
        <v>44.5</v>
      </c>
      <c r="O24" s="644"/>
      <c r="P24" s="644">
        <f t="shared" si="11"/>
        <v>44.5</v>
      </c>
    </row>
    <row r="25" spans="1:16" ht="17.25" thickTop="1" thickBot="1" x14ac:dyDescent="0.3">
      <c r="A25" s="110" t="s">
        <v>405</v>
      </c>
      <c r="B25" s="116">
        <f t="shared" ref="B25:P25" si="12">SUM(B13:B24)</f>
        <v>503.25</v>
      </c>
      <c r="C25" s="116">
        <f t="shared" si="12"/>
        <v>503.25</v>
      </c>
      <c r="D25" s="116">
        <f t="shared" si="12"/>
        <v>503.25</v>
      </c>
      <c r="E25" s="116">
        <f>SUM(E13:E24)</f>
        <v>0</v>
      </c>
      <c r="F25" s="116">
        <f t="shared" si="12"/>
        <v>503.25</v>
      </c>
      <c r="G25" s="116">
        <f>SUM(G13:G24)</f>
        <v>0</v>
      </c>
      <c r="H25" s="116">
        <f>SUM(H13:H24)</f>
        <v>503.25</v>
      </c>
      <c r="I25" s="116">
        <f t="shared" si="12"/>
        <v>503.25</v>
      </c>
      <c r="J25" s="116">
        <f t="shared" si="12"/>
        <v>503.25</v>
      </c>
      <c r="K25" s="116">
        <f t="shared" si="12"/>
        <v>0</v>
      </c>
      <c r="L25" s="116">
        <f t="shared" si="12"/>
        <v>503.25</v>
      </c>
      <c r="M25" s="116">
        <f t="shared" si="12"/>
        <v>6.5</v>
      </c>
      <c r="N25" s="116">
        <f t="shared" si="12"/>
        <v>509.75</v>
      </c>
      <c r="O25" s="116">
        <f t="shared" si="12"/>
        <v>0</v>
      </c>
      <c r="P25" s="116">
        <f t="shared" si="12"/>
        <v>509.75</v>
      </c>
    </row>
    <row r="26" spans="1:16" ht="17.25" thickTop="1" thickBot="1" x14ac:dyDescent="0.3">
      <c r="A26" s="110" t="s">
        <v>431</v>
      </c>
      <c r="B26" s="331">
        <f t="shared" ref="B26:P26" si="13">B25+B12+B5</f>
        <v>785.3</v>
      </c>
      <c r="C26" s="116">
        <f t="shared" si="13"/>
        <v>785.3</v>
      </c>
      <c r="D26" s="331">
        <f t="shared" si="13"/>
        <v>785.3</v>
      </c>
      <c r="E26" s="331">
        <f>E25+E12+E5</f>
        <v>0</v>
      </c>
      <c r="F26" s="331">
        <f t="shared" si="13"/>
        <v>785.3</v>
      </c>
      <c r="G26" s="116">
        <f>G25+G12+G5</f>
        <v>0</v>
      </c>
      <c r="H26" s="331">
        <f>H25+H12+H5</f>
        <v>785.3</v>
      </c>
      <c r="I26" s="116">
        <f t="shared" si="13"/>
        <v>785.3</v>
      </c>
      <c r="J26" s="116">
        <f t="shared" si="13"/>
        <v>785.3</v>
      </c>
      <c r="K26" s="116">
        <f t="shared" si="13"/>
        <v>0</v>
      </c>
      <c r="L26" s="331">
        <f t="shared" si="13"/>
        <v>785.3</v>
      </c>
      <c r="M26" s="116">
        <f t="shared" si="13"/>
        <v>6.5</v>
      </c>
      <c r="N26" s="331">
        <f t="shared" si="13"/>
        <v>791.8</v>
      </c>
      <c r="O26" s="116">
        <f t="shared" si="13"/>
        <v>0</v>
      </c>
      <c r="P26" s="331">
        <f t="shared" si="13"/>
        <v>791.8</v>
      </c>
    </row>
    <row r="27" spans="1:16" ht="16.5" thickTop="1" x14ac:dyDescent="0.25">
      <c r="A27" s="332" t="s">
        <v>33</v>
      </c>
      <c r="B27" s="646">
        <v>215.5</v>
      </c>
      <c r="C27" s="645">
        <v>215.5</v>
      </c>
      <c r="D27" s="646">
        <v>215.5</v>
      </c>
      <c r="E27" s="646"/>
      <c r="F27" s="649">
        <f>E27+D27</f>
        <v>215.5</v>
      </c>
      <c r="G27" s="650"/>
      <c r="H27" s="651">
        <f>G27+F27</f>
        <v>215.5</v>
      </c>
      <c r="I27" s="644">
        <v>215.5</v>
      </c>
      <c r="J27" s="644">
        <v>215.5</v>
      </c>
      <c r="K27" s="650"/>
      <c r="L27" s="651">
        <f>K27+J27</f>
        <v>215.5</v>
      </c>
      <c r="M27" s="650"/>
      <c r="N27" s="651">
        <f>M27+L27</f>
        <v>215.5</v>
      </c>
      <c r="O27" s="650"/>
      <c r="P27" s="651">
        <f>O27+N27</f>
        <v>215.5</v>
      </c>
    </row>
    <row r="28" spans="1:16" ht="31.5" x14ac:dyDescent="0.25">
      <c r="A28" s="333" t="s">
        <v>561</v>
      </c>
      <c r="B28" s="652">
        <v>74</v>
      </c>
      <c r="C28" s="645">
        <v>74</v>
      </c>
      <c r="D28" s="652">
        <v>74</v>
      </c>
      <c r="E28" s="652"/>
      <c r="F28" s="653">
        <f t="shared" ref="F28:F29" si="14">E28+D28</f>
        <v>74</v>
      </c>
      <c r="G28" s="647"/>
      <c r="H28" s="654">
        <f t="shared" ref="H28:H29" si="15">G28+F28</f>
        <v>74</v>
      </c>
      <c r="I28" s="644">
        <v>74</v>
      </c>
      <c r="J28" s="644">
        <v>74</v>
      </c>
      <c r="K28" s="647"/>
      <c r="L28" s="654">
        <f t="shared" ref="L28:L29" si="16">K28+J28</f>
        <v>74</v>
      </c>
      <c r="M28" s="647"/>
      <c r="N28" s="654">
        <f t="shared" ref="N28:N29" si="17">M28+L28</f>
        <v>74</v>
      </c>
      <c r="O28" s="647"/>
      <c r="P28" s="654">
        <f t="shared" ref="P28:P29" si="18">O28+N28</f>
        <v>74</v>
      </c>
    </row>
    <row r="29" spans="1:16" ht="16.5" thickBot="1" x14ac:dyDescent="0.3">
      <c r="A29" s="655" t="s">
        <v>407</v>
      </c>
      <c r="B29" s="648">
        <v>49</v>
      </c>
      <c r="C29" s="645">
        <v>49</v>
      </c>
      <c r="D29" s="648">
        <v>49</v>
      </c>
      <c r="E29" s="648"/>
      <c r="F29" s="656">
        <f t="shared" si="14"/>
        <v>49</v>
      </c>
      <c r="G29" s="657"/>
      <c r="H29" s="658">
        <f t="shared" si="15"/>
        <v>49</v>
      </c>
      <c r="I29" s="644">
        <v>49</v>
      </c>
      <c r="J29" s="644">
        <v>49</v>
      </c>
      <c r="K29" s="657"/>
      <c r="L29" s="658">
        <f t="shared" si="16"/>
        <v>49</v>
      </c>
      <c r="M29" s="657"/>
      <c r="N29" s="658">
        <f t="shared" si="17"/>
        <v>49</v>
      </c>
      <c r="O29" s="657"/>
      <c r="P29" s="658">
        <f t="shared" si="18"/>
        <v>49</v>
      </c>
    </row>
    <row r="30" spans="1:16" ht="17.25" thickTop="1" thickBot="1" x14ac:dyDescent="0.3">
      <c r="A30" s="110" t="s">
        <v>408</v>
      </c>
      <c r="B30" s="330">
        <f t="shared" ref="B30:J30" si="19">SUM(B27:B29)</f>
        <v>338.5</v>
      </c>
      <c r="C30" s="116">
        <f t="shared" si="19"/>
        <v>338.5</v>
      </c>
      <c r="D30" s="330">
        <f t="shared" si="19"/>
        <v>338.5</v>
      </c>
      <c r="E30" s="330">
        <f>SUM(E27:E29)</f>
        <v>0</v>
      </c>
      <c r="F30" s="330">
        <f>SUM(F27:F29)</f>
        <v>338.5</v>
      </c>
      <c r="G30" s="116">
        <f>SUM(G27:G29)</f>
        <v>0</v>
      </c>
      <c r="H30" s="116">
        <f>SUM(H27:H29)</f>
        <v>338.5</v>
      </c>
      <c r="I30" s="116">
        <f t="shared" si="19"/>
        <v>338.5</v>
      </c>
      <c r="J30" s="116">
        <f t="shared" si="19"/>
        <v>338.5</v>
      </c>
      <c r="K30" s="116">
        <f t="shared" ref="K30:P30" si="20">SUM(K27:K29)</f>
        <v>0</v>
      </c>
      <c r="L30" s="116">
        <f t="shared" si="20"/>
        <v>338.5</v>
      </c>
      <c r="M30" s="116">
        <f t="shared" si="20"/>
        <v>0</v>
      </c>
      <c r="N30" s="116">
        <f t="shared" si="20"/>
        <v>338.5</v>
      </c>
      <c r="O30" s="116">
        <f t="shared" si="20"/>
        <v>0</v>
      </c>
      <c r="P30" s="116">
        <f t="shared" si="20"/>
        <v>338.5</v>
      </c>
    </row>
    <row r="31" spans="1:16" ht="17.25" thickTop="1" thickBot="1" x14ac:dyDescent="0.3">
      <c r="A31" s="110" t="s">
        <v>434</v>
      </c>
      <c r="B31" s="116">
        <v>60.5</v>
      </c>
      <c r="C31" s="116">
        <v>61.5</v>
      </c>
      <c r="D31" s="116">
        <v>61.5</v>
      </c>
      <c r="E31" s="331">
        <v>0</v>
      </c>
      <c r="F31" s="116">
        <f>E31+D31</f>
        <v>61.5</v>
      </c>
      <c r="G31" s="116">
        <v>0</v>
      </c>
      <c r="H31" s="331">
        <f>G31+F31</f>
        <v>61.5</v>
      </c>
      <c r="I31" s="116">
        <v>61.5</v>
      </c>
      <c r="J31" s="116">
        <v>61.5</v>
      </c>
      <c r="K31" s="116">
        <v>0</v>
      </c>
      <c r="L31" s="331">
        <f>K31+J31</f>
        <v>61.5</v>
      </c>
      <c r="M31" s="116">
        <v>0</v>
      </c>
      <c r="N31" s="331">
        <f>M31+L31</f>
        <v>61.5</v>
      </c>
      <c r="O31" s="116">
        <v>0</v>
      </c>
      <c r="P31" s="331">
        <f>O31+N31</f>
        <v>61.5</v>
      </c>
    </row>
    <row r="32" spans="1:16" ht="16.5" thickTop="1" x14ac:dyDescent="0.25">
      <c r="A32" s="109" t="s">
        <v>410</v>
      </c>
      <c r="B32" s="651">
        <v>11</v>
      </c>
      <c r="C32" s="644">
        <v>11</v>
      </c>
      <c r="D32" s="651">
        <v>11</v>
      </c>
      <c r="E32" s="651"/>
      <c r="F32" s="651">
        <f>E32+D32</f>
        <v>11</v>
      </c>
      <c r="G32" s="651"/>
      <c r="H32" s="651">
        <f>G32+F32</f>
        <v>11</v>
      </c>
      <c r="I32" s="659">
        <v>11</v>
      </c>
      <c r="J32" s="651">
        <v>11</v>
      </c>
      <c r="K32" s="651"/>
      <c r="L32" s="651">
        <f>K32+J32</f>
        <v>11</v>
      </c>
      <c r="M32" s="651"/>
      <c r="N32" s="651">
        <f>M32+L32</f>
        <v>11</v>
      </c>
      <c r="O32" s="651"/>
      <c r="P32" s="651">
        <f>O32+N32</f>
        <v>11</v>
      </c>
    </row>
    <row r="33" spans="1:16" ht="15.75" x14ac:dyDescent="0.25">
      <c r="A33" s="109" t="s">
        <v>258</v>
      </c>
      <c r="B33" s="654">
        <v>82</v>
      </c>
      <c r="C33" s="644">
        <v>82</v>
      </c>
      <c r="D33" s="654">
        <v>82</v>
      </c>
      <c r="E33" s="654"/>
      <c r="F33" s="654">
        <f t="shared" ref="F33:F39" si="21">E33+D33</f>
        <v>82</v>
      </c>
      <c r="G33" s="654"/>
      <c r="H33" s="654">
        <f t="shared" ref="H33:H39" si="22">G33+F33</f>
        <v>82</v>
      </c>
      <c r="I33" s="644">
        <v>82</v>
      </c>
      <c r="J33" s="654">
        <v>82</v>
      </c>
      <c r="K33" s="654">
        <v>4</v>
      </c>
      <c r="L33" s="654">
        <f t="shared" ref="L33:L39" si="23">K33+J33</f>
        <v>86</v>
      </c>
      <c r="M33" s="654"/>
      <c r="N33" s="654">
        <f t="shared" ref="N33:N39" si="24">M33+L33</f>
        <v>86</v>
      </c>
      <c r="O33" s="654"/>
      <c r="P33" s="654">
        <f t="shared" ref="P33:P39" si="25">O33+N33</f>
        <v>86</v>
      </c>
    </row>
    <row r="34" spans="1:16" ht="15.75" x14ac:dyDescent="0.25">
      <c r="A34" s="109" t="s">
        <v>411</v>
      </c>
      <c r="B34" s="654">
        <v>113.13</v>
      </c>
      <c r="C34" s="644">
        <v>113.13</v>
      </c>
      <c r="D34" s="654">
        <v>113.13</v>
      </c>
      <c r="E34" s="654"/>
      <c r="F34" s="654">
        <f t="shared" si="21"/>
        <v>113.13</v>
      </c>
      <c r="G34" s="654"/>
      <c r="H34" s="654">
        <f t="shared" si="22"/>
        <v>113.13</v>
      </c>
      <c r="I34" s="644">
        <v>115.13</v>
      </c>
      <c r="J34" s="654">
        <v>115.13</v>
      </c>
      <c r="K34" s="654"/>
      <c r="L34" s="654">
        <f t="shared" si="23"/>
        <v>115.13</v>
      </c>
      <c r="M34" s="654"/>
      <c r="N34" s="654">
        <f t="shared" si="24"/>
        <v>115.13</v>
      </c>
      <c r="O34" s="654">
        <v>3</v>
      </c>
      <c r="P34" s="654">
        <f t="shared" si="25"/>
        <v>118.13</v>
      </c>
    </row>
    <row r="35" spans="1:16" ht="31.5" x14ac:dyDescent="0.25">
      <c r="A35" s="111" t="s">
        <v>844</v>
      </c>
      <c r="B35" s="654">
        <v>5</v>
      </c>
      <c r="C35" s="644">
        <v>5</v>
      </c>
      <c r="D35" s="654">
        <v>5</v>
      </c>
      <c r="E35" s="654"/>
      <c r="F35" s="654">
        <f t="shared" si="21"/>
        <v>5</v>
      </c>
      <c r="G35" s="654"/>
      <c r="H35" s="654">
        <f t="shared" si="22"/>
        <v>5</v>
      </c>
      <c r="I35" s="644">
        <v>5</v>
      </c>
      <c r="J35" s="654">
        <v>5</v>
      </c>
      <c r="K35" s="654"/>
      <c r="L35" s="654">
        <f t="shared" si="23"/>
        <v>5</v>
      </c>
      <c r="M35" s="654"/>
      <c r="N35" s="654">
        <f t="shared" si="24"/>
        <v>5</v>
      </c>
      <c r="O35" s="654"/>
      <c r="P35" s="654">
        <f t="shared" si="25"/>
        <v>5</v>
      </c>
    </row>
    <row r="36" spans="1:16" ht="15.75" x14ac:dyDescent="0.25">
      <c r="A36" s="109" t="s">
        <v>516</v>
      </c>
      <c r="B36" s="654">
        <v>28</v>
      </c>
      <c r="C36" s="644">
        <v>28</v>
      </c>
      <c r="D36" s="654">
        <v>36</v>
      </c>
      <c r="E36" s="654"/>
      <c r="F36" s="654">
        <f t="shared" si="21"/>
        <v>36</v>
      </c>
      <c r="G36" s="654"/>
      <c r="H36" s="654">
        <f t="shared" si="22"/>
        <v>36</v>
      </c>
      <c r="I36" s="644">
        <v>36</v>
      </c>
      <c r="J36" s="654">
        <v>43.5</v>
      </c>
      <c r="K36" s="654"/>
      <c r="L36" s="654">
        <f t="shared" si="23"/>
        <v>43.5</v>
      </c>
      <c r="M36" s="654"/>
      <c r="N36" s="654">
        <f t="shared" si="24"/>
        <v>43.5</v>
      </c>
      <c r="O36" s="654"/>
      <c r="P36" s="654">
        <f t="shared" si="25"/>
        <v>43.5</v>
      </c>
    </row>
    <row r="37" spans="1:16" ht="15.75" x14ac:dyDescent="0.25">
      <c r="A37" s="109" t="s">
        <v>412</v>
      </c>
      <c r="B37" s="654">
        <v>107.25</v>
      </c>
      <c r="C37" s="644">
        <v>107.25</v>
      </c>
      <c r="D37" s="654">
        <v>107.25</v>
      </c>
      <c r="E37" s="654"/>
      <c r="F37" s="654">
        <f t="shared" si="21"/>
        <v>107.25</v>
      </c>
      <c r="G37" s="654"/>
      <c r="H37" s="654">
        <f t="shared" si="22"/>
        <v>107.25</v>
      </c>
      <c r="I37" s="644">
        <v>107.25</v>
      </c>
      <c r="J37" s="654">
        <v>107.25</v>
      </c>
      <c r="K37" s="654"/>
      <c r="L37" s="654">
        <f t="shared" si="23"/>
        <v>107.25</v>
      </c>
      <c r="M37" s="654"/>
      <c r="N37" s="654">
        <f t="shared" si="24"/>
        <v>107.25</v>
      </c>
      <c r="O37" s="654"/>
      <c r="P37" s="654">
        <f t="shared" si="25"/>
        <v>107.25</v>
      </c>
    </row>
    <row r="38" spans="1:16" ht="15.75" x14ac:dyDescent="0.25">
      <c r="A38" s="109" t="s">
        <v>845</v>
      </c>
      <c r="B38" s="654">
        <v>21</v>
      </c>
      <c r="C38" s="644">
        <v>21</v>
      </c>
      <c r="D38" s="654">
        <v>21</v>
      </c>
      <c r="E38" s="654"/>
      <c r="F38" s="654">
        <f t="shared" si="21"/>
        <v>21</v>
      </c>
      <c r="G38" s="654"/>
      <c r="H38" s="654">
        <f t="shared" si="22"/>
        <v>21</v>
      </c>
      <c r="I38" s="644">
        <v>21</v>
      </c>
      <c r="J38" s="654">
        <v>21</v>
      </c>
      <c r="K38" s="654">
        <v>1</v>
      </c>
      <c r="L38" s="654">
        <f t="shared" si="23"/>
        <v>22</v>
      </c>
      <c r="M38" s="654"/>
      <c r="N38" s="654">
        <f t="shared" si="24"/>
        <v>22</v>
      </c>
      <c r="O38" s="654"/>
      <c r="P38" s="654">
        <f t="shared" si="25"/>
        <v>22</v>
      </c>
    </row>
    <row r="39" spans="1:16" ht="16.5" thickBot="1" x14ac:dyDescent="0.3">
      <c r="A39" s="109" t="s">
        <v>413</v>
      </c>
      <c r="B39" s="658">
        <v>30.75</v>
      </c>
      <c r="C39" s="644">
        <v>30.75</v>
      </c>
      <c r="D39" s="658">
        <v>30.75</v>
      </c>
      <c r="E39" s="658">
        <v>2.5</v>
      </c>
      <c r="F39" s="658">
        <f t="shared" si="21"/>
        <v>33.25</v>
      </c>
      <c r="G39" s="658">
        <v>1</v>
      </c>
      <c r="H39" s="658">
        <f t="shared" si="22"/>
        <v>34.25</v>
      </c>
      <c r="I39" s="660">
        <v>34.25</v>
      </c>
      <c r="J39" s="658">
        <v>34.25</v>
      </c>
      <c r="K39" s="658"/>
      <c r="L39" s="658">
        <f t="shared" si="23"/>
        <v>34.25</v>
      </c>
      <c r="M39" s="658"/>
      <c r="N39" s="658">
        <f t="shared" si="24"/>
        <v>34.25</v>
      </c>
      <c r="O39" s="658"/>
      <c r="P39" s="658">
        <f t="shared" si="25"/>
        <v>34.25</v>
      </c>
    </row>
    <row r="40" spans="1:16" ht="17.25" thickTop="1" thickBot="1" x14ac:dyDescent="0.3">
      <c r="A40" s="110" t="s">
        <v>414</v>
      </c>
      <c r="B40" s="116">
        <f t="shared" ref="B40:P40" si="26">SUM(B32:B39)</f>
        <v>398.13</v>
      </c>
      <c r="C40" s="116">
        <f t="shared" si="26"/>
        <v>398.13</v>
      </c>
      <c r="D40" s="116">
        <f t="shared" si="26"/>
        <v>406.13</v>
      </c>
      <c r="E40" s="116">
        <f>SUM(E32:E39)</f>
        <v>2.5</v>
      </c>
      <c r="F40" s="116">
        <f t="shared" si="26"/>
        <v>408.63</v>
      </c>
      <c r="G40" s="116">
        <f>SUM(G32:G39)</f>
        <v>1</v>
      </c>
      <c r="H40" s="116">
        <f>SUM(H32:H39)</f>
        <v>409.63</v>
      </c>
      <c r="I40" s="116">
        <f t="shared" si="26"/>
        <v>411.63</v>
      </c>
      <c r="J40" s="116">
        <f t="shared" si="26"/>
        <v>419.13</v>
      </c>
      <c r="K40" s="116">
        <f t="shared" si="26"/>
        <v>5</v>
      </c>
      <c r="L40" s="116">
        <f t="shared" si="26"/>
        <v>424.13</v>
      </c>
      <c r="M40" s="116">
        <f t="shared" si="26"/>
        <v>0</v>
      </c>
      <c r="N40" s="116">
        <f t="shared" si="26"/>
        <v>424.13</v>
      </c>
      <c r="O40" s="116">
        <f t="shared" si="26"/>
        <v>3</v>
      </c>
      <c r="P40" s="116">
        <f t="shared" si="26"/>
        <v>427.13</v>
      </c>
    </row>
    <row r="41" spans="1:16" ht="17.25" thickTop="1" thickBot="1" x14ac:dyDescent="0.3">
      <c r="A41" s="117" t="s">
        <v>415</v>
      </c>
      <c r="B41" s="116">
        <f t="shared" ref="B41:P41" si="27">B40+B31+B30+B26</f>
        <v>1582.4299999999998</v>
      </c>
      <c r="C41" s="116">
        <f t="shared" si="27"/>
        <v>1583.4299999999998</v>
      </c>
      <c r="D41" s="116">
        <f t="shared" si="27"/>
        <v>1591.4299999999998</v>
      </c>
      <c r="E41" s="116">
        <f>E40+E31+E30+E26</f>
        <v>2.5</v>
      </c>
      <c r="F41" s="116">
        <f>F40+F31+F30+F26</f>
        <v>1593.9299999999998</v>
      </c>
      <c r="G41" s="116">
        <f>G40+G31+G30+G26</f>
        <v>1</v>
      </c>
      <c r="H41" s="116">
        <f>H40+H31+H30+H26</f>
        <v>1594.9299999999998</v>
      </c>
      <c r="I41" s="116">
        <f t="shared" si="27"/>
        <v>1596.9299999999998</v>
      </c>
      <c r="J41" s="116">
        <f t="shared" si="27"/>
        <v>1604.4299999999998</v>
      </c>
      <c r="K41" s="116">
        <f t="shared" si="27"/>
        <v>5</v>
      </c>
      <c r="L41" s="116">
        <f t="shared" si="27"/>
        <v>1609.4299999999998</v>
      </c>
      <c r="M41" s="116">
        <f t="shared" si="27"/>
        <v>6.5</v>
      </c>
      <c r="N41" s="116">
        <f t="shared" si="27"/>
        <v>1615.9299999999998</v>
      </c>
      <c r="O41" s="116">
        <f t="shared" si="27"/>
        <v>3</v>
      </c>
      <c r="P41" s="116">
        <f t="shared" si="27"/>
        <v>1618.9299999999998</v>
      </c>
    </row>
    <row r="42" spans="1:16" ht="17.25" thickTop="1" thickBot="1" x14ac:dyDescent="0.3">
      <c r="A42" s="661" t="s">
        <v>34</v>
      </c>
      <c r="B42" s="662">
        <v>350</v>
      </c>
      <c r="C42" s="662">
        <v>350</v>
      </c>
      <c r="D42" s="662">
        <v>350</v>
      </c>
      <c r="E42" s="662">
        <v>0</v>
      </c>
      <c r="F42" s="662">
        <f>E42+D42</f>
        <v>350</v>
      </c>
      <c r="G42" s="662">
        <v>0</v>
      </c>
      <c r="H42" s="662">
        <f>G42+F42</f>
        <v>350</v>
      </c>
      <c r="I42" s="662">
        <v>350</v>
      </c>
      <c r="J42" s="662">
        <v>350</v>
      </c>
      <c r="K42" s="662">
        <v>0</v>
      </c>
      <c r="L42" s="662">
        <f>K42+J42</f>
        <v>350</v>
      </c>
      <c r="M42" s="662">
        <v>0</v>
      </c>
      <c r="N42" s="662">
        <f>M42+L42</f>
        <v>350</v>
      </c>
      <c r="O42" s="662">
        <v>0</v>
      </c>
      <c r="P42" s="662">
        <f>O42+N42</f>
        <v>350</v>
      </c>
    </row>
    <row r="43" spans="1:16" ht="17.25" thickTop="1" thickBot="1" x14ac:dyDescent="0.3">
      <c r="A43" s="110" t="s">
        <v>450</v>
      </c>
      <c r="B43" s="116">
        <f t="shared" ref="B43:P43" si="28">B42+B41</f>
        <v>1932.4299999999998</v>
      </c>
      <c r="C43" s="116">
        <f t="shared" si="28"/>
        <v>1933.4299999999998</v>
      </c>
      <c r="D43" s="116">
        <f t="shared" si="28"/>
        <v>1941.4299999999998</v>
      </c>
      <c r="E43" s="116">
        <f>E42+E41</f>
        <v>2.5</v>
      </c>
      <c r="F43" s="116">
        <f>F42+F41</f>
        <v>1943.9299999999998</v>
      </c>
      <c r="G43" s="116">
        <f>G42+G41</f>
        <v>1</v>
      </c>
      <c r="H43" s="116">
        <f>H42+H41</f>
        <v>1944.9299999999998</v>
      </c>
      <c r="I43" s="116">
        <f t="shared" si="28"/>
        <v>1946.9299999999998</v>
      </c>
      <c r="J43" s="116">
        <f t="shared" si="28"/>
        <v>1954.4299999999998</v>
      </c>
      <c r="K43" s="116">
        <f t="shared" si="28"/>
        <v>5</v>
      </c>
      <c r="L43" s="116">
        <f t="shared" si="28"/>
        <v>1959.4299999999998</v>
      </c>
      <c r="M43" s="116">
        <f t="shared" si="28"/>
        <v>6.5</v>
      </c>
      <c r="N43" s="116">
        <f t="shared" si="28"/>
        <v>1965.9299999999998</v>
      </c>
      <c r="O43" s="116">
        <f t="shared" si="28"/>
        <v>3</v>
      </c>
      <c r="P43" s="116">
        <f t="shared" si="28"/>
        <v>1968.9299999999998</v>
      </c>
    </row>
    <row r="44" spans="1:16" ht="16.5" thickTop="1" x14ac:dyDescent="0.25">
      <c r="A44" s="663"/>
      <c r="B44" s="189"/>
      <c r="C44" s="189"/>
      <c r="D44" s="189"/>
      <c r="E44" s="189"/>
      <c r="F44" s="189"/>
      <c r="G44" s="189"/>
      <c r="H44" s="189"/>
      <c r="I44" s="189"/>
      <c r="J44" s="189"/>
      <c r="K44" s="189"/>
      <c r="L44" s="189"/>
      <c r="M44" s="189"/>
      <c r="N44" s="189"/>
      <c r="O44" s="189"/>
      <c r="P44" s="189"/>
    </row>
    <row r="45" spans="1:16" ht="15.75" x14ac:dyDescent="0.25">
      <c r="A45" s="663"/>
      <c r="B45" s="189"/>
      <c r="C45" s="189"/>
      <c r="D45" s="189"/>
      <c r="E45" s="189"/>
      <c r="F45" s="189"/>
      <c r="G45" s="189"/>
      <c r="H45" s="189"/>
      <c r="I45" s="189"/>
      <c r="J45" s="189"/>
      <c r="K45" s="189"/>
      <c r="L45" s="189"/>
      <c r="M45" s="189"/>
      <c r="N45" s="189"/>
      <c r="O45" s="189"/>
      <c r="P45" s="189"/>
    </row>
    <row r="46" spans="1:16" ht="15.75" x14ac:dyDescent="0.25">
      <c r="A46" s="663"/>
      <c r="B46" s="189"/>
      <c r="C46" s="189"/>
      <c r="D46" s="189"/>
      <c r="E46" s="189"/>
      <c r="F46" s="189"/>
      <c r="G46" s="189"/>
      <c r="H46" s="189"/>
      <c r="I46" s="189"/>
      <c r="J46" s="189"/>
      <c r="K46" s="189"/>
      <c r="L46" s="189"/>
      <c r="M46" s="189"/>
      <c r="N46" s="189"/>
      <c r="O46" s="189"/>
      <c r="P46" s="664"/>
    </row>
    <row r="47" spans="1:16" ht="15.75" x14ac:dyDescent="0.25">
      <c r="A47" s="663"/>
      <c r="B47" s="189"/>
      <c r="C47" s="189"/>
      <c r="D47" s="189"/>
      <c r="E47" s="189"/>
      <c r="F47" s="189"/>
      <c r="G47" s="189"/>
      <c r="H47" s="189"/>
      <c r="I47" s="189"/>
      <c r="J47" s="189"/>
      <c r="K47" s="189"/>
      <c r="L47" s="189"/>
      <c r="M47" s="189"/>
      <c r="N47" s="189"/>
      <c r="O47" s="189"/>
      <c r="P47" s="189"/>
    </row>
    <row r="48" spans="1:16" ht="15.75" x14ac:dyDescent="0.25">
      <c r="A48" s="663"/>
      <c r="B48" s="189"/>
      <c r="C48" s="189"/>
      <c r="D48" s="189"/>
      <c r="E48" s="189"/>
      <c r="F48" s="189"/>
      <c r="G48" s="189"/>
      <c r="H48" s="189"/>
      <c r="I48" s="189"/>
      <c r="J48" s="189"/>
      <c r="K48" s="189"/>
      <c r="L48" s="189"/>
      <c r="M48" s="189"/>
      <c r="N48" s="189"/>
      <c r="O48" s="189"/>
      <c r="P48" s="189"/>
    </row>
    <row r="49" spans="1:16" ht="15.75" x14ac:dyDescent="0.25">
      <c r="A49" s="663"/>
      <c r="B49" s="189"/>
      <c r="C49" s="189"/>
      <c r="D49" s="189"/>
      <c r="E49" s="189"/>
      <c r="F49" s="189"/>
      <c r="G49" s="189"/>
      <c r="H49" s="189"/>
      <c r="I49" s="189"/>
      <c r="J49" s="189"/>
      <c r="K49" s="189"/>
      <c r="L49" s="189"/>
      <c r="M49" s="189"/>
      <c r="N49" s="189"/>
      <c r="O49" s="189"/>
      <c r="P49" s="189"/>
    </row>
    <row r="50" spans="1:16" ht="15.75" x14ac:dyDescent="0.25">
      <c r="A50" s="663"/>
      <c r="B50" s="189"/>
      <c r="C50" s="189"/>
      <c r="D50" s="189"/>
      <c r="E50" s="189"/>
      <c r="F50" s="189"/>
      <c r="G50" s="189"/>
      <c r="H50" s="189"/>
      <c r="I50" s="189"/>
      <c r="J50" s="189"/>
      <c r="K50" s="189"/>
      <c r="L50" s="189"/>
      <c r="M50" s="189"/>
      <c r="N50" s="189"/>
      <c r="O50" s="189"/>
      <c r="P50" s="189"/>
    </row>
    <row r="51" spans="1:16" ht="15.75" x14ac:dyDescent="0.25">
      <c r="A51" s="663"/>
    </row>
    <row r="52" spans="1:16" ht="15.75" x14ac:dyDescent="0.25">
      <c r="A52" s="663"/>
    </row>
    <row r="53" spans="1:16" ht="15.75" x14ac:dyDescent="0.25">
      <c r="A53" s="663"/>
    </row>
    <row r="54" spans="1:16" ht="15.75" x14ac:dyDescent="0.25">
      <c r="A54" s="663"/>
    </row>
    <row r="55" spans="1:16" ht="15.75" x14ac:dyDescent="0.25">
      <c r="A55" s="663"/>
    </row>
    <row r="56" spans="1:16" ht="15.75" x14ac:dyDescent="0.25">
      <c r="A56" s="663"/>
    </row>
    <row r="57" spans="1:16" ht="15.75" x14ac:dyDescent="0.25">
      <c r="A57" s="663"/>
    </row>
    <row r="58" spans="1:16" ht="15.75" x14ac:dyDescent="0.25">
      <c r="A58" s="663"/>
    </row>
    <row r="59" spans="1:16" ht="15.75" x14ac:dyDescent="0.25">
      <c r="A59" s="663"/>
    </row>
    <row r="60" spans="1:16" ht="15.75" x14ac:dyDescent="0.25">
      <c r="A60" s="663"/>
    </row>
    <row r="61" spans="1:16" ht="15.75" x14ac:dyDescent="0.25">
      <c r="A61" s="663"/>
    </row>
    <row r="62" spans="1:16" ht="15.75" x14ac:dyDescent="0.25">
      <c r="A62" s="663"/>
    </row>
    <row r="63" spans="1:16" ht="15.75" x14ac:dyDescent="0.25">
      <c r="A63" s="663"/>
    </row>
    <row r="64" spans="1:16" ht="15.75" x14ac:dyDescent="0.25">
      <c r="A64" s="663"/>
    </row>
    <row r="65" spans="1:1" ht="15.75" x14ac:dyDescent="0.25">
      <c r="A65" s="663"/>
    </row>
    <row r="66" spans="1:1" ht="15.75" x14ac:dyDescent="0.25">
      <c r="A66" s="663"/>
    </row>
    <row r="67" spans="1:1" ht="15.75" x14ac:dyDescent="0.25">
      <c r="A67" s="663"/>
    </row>
    <row r="68" spans="1:1" ht="15.75" x14ac:dyDescent="0.25">
      <c r="A68" s="663"/>
    </row>
    <row r="69" spans="1:1" ht="15.75" x14ac:dyDescent="0.25">
      <c r="A69" s="663"/>
    </row>
    <row r="70" spans="1:1" ht="15.75" x14ac:dyDescent="0.25">
      <c r="A70" s="663"/>
    </row>
    <row r="71" spans="1:1" ht="15.75" x14ac:dyDescent="0.25">
      <c r="A71" s="663"/>
    </row>
    <row r="72" spans="1:1" ht="15.75" x14ac:dyDescent="0.25">
      <c r="A72" s="663"/>
    </row>
    <row r="73" spans="1:1" ht="15.75" x14ac:dyDescent="0.25">
      <c r="A73" s="663"/>
    </row>
    <row r="74" spans="1:1" ht="15.75" x14ac:dyDescent="0.25">
      <c r="A74" s="663"/>
    </row>
    <row r="75" spans="1:1" ht="15.75" x14ac:dyDescent="0.25">
      <c r="A75" s="663"/>
    </row>
    <row r="76" spans="1:1" ht="15.75" x14ac:dyDescent="0.25">
      <c r="A76" s="663"/>
    </row>
    <row r="77" spans="1:1" ht="15.75" x14ac:dyDescent="0.25">
      <c r="A77" s="663"/>
    </row>
    <row r="78" spans="1:1" ht="15.75" x14ac:dyDescent="0.25">
      <c r="A78" s="663"/>
    </row>
    <row r="79" spans="1:1" ht="15.75" x14ac:dyDescent="0.25">
      <c r="A79" s="663"/>
    </row>
    <row r="80" spans="1:1" ht="15.75" x14ac:dyDescent="0.25">
      <c r="A80" s="663"/>
    </row>
    <row r="81" spans="1:1" ht="15.75" x14ac:dyDescent="0.25">
      <c r="A81" s="663"/>
    </row>
    <row r="82" spans="1:1" ht="15.75" x14ac:dyDescent="0.25">
      <c r="A82" s="663"/>
    </row>
    <row r="83" spans="1:1" ht="15.75" x14ac:dyDescent="0.25">
      <c r="A83" s="663"/>
    </row>
    <row r="84" spans="1:1" ht="15.75" x14ac:dyDescent="0.25">
      <c r="A84" s="663"/>
    </row>
    <row r="85" spans="1:1" ht="15.75" x14ac:dyDescent="0.25">
      <c r="A85" s="663"/>
    </row>
    <row r="86" spans="1:1" ht="15.75" x14ac:dyDescent="0.25">
      <c r="A86" s="663"/>
    </row>
    <row r="87" spans="1:1" ht="15.75" x14ac:dyDescent="0.25">
      <c r="A87" s="663"/>
    </row>
    <row r="88" spans="1:1" ht="15.75" x14ac:dyDescent="0.25">
      <c r="A88" s="663"/>
    </row>
    <row r="89" spans="1:1" ht="15.75" x14ac:dyDescent="0.25">
      <c r="A89" s="663"/>
    </row>
    <row r="90" spans="1:1" ht="15.75" x14ac:dyDescent="0.25">
      <c r="A90" s="663"/>
    </row>
    <row r="91" spans="1:1" ht="15.75" x14ac:dyDescent="0.25">
      <c r="A91" s="663"/>
    </row>
    <row r="92" spans="1:1" ht="15.75" x14ac:dyDescent="0.25">
      <c r="A92" s="663"/>
    </row>
    <row r="93" spans="1:1" ht="15.75" x14ac:dyDescent="0.25">
      <c r="A93" s="663"/>
    </row>
    <row r="94" spans="1:1" ht="15.75" x14ac:dyDescent="0.25">
      <c r="A94" s="663"/>
    </row>
    <row r="95" spans="1:1" ht="15.75" x14ac:dyDescent="0.25">
      <c r="A95" s="663"/>
    </row>
    <row r="96" spans="1:1" ht="15.75" x14ac:dyDescent="0.25">
      <c r="A96" s="663"/>
    </row>
    <row r="97" spans="1:1" ht="15.75" x14ac:dyDescent="0.25">
      <c r="A97" s="663"/>
    </row>
    <row r="98" spans="1:1" ht="15.75" x14ac:dyDescent="0.25">
      <c r="A98" s="663"/>
    </row>
    <row r="99" spans="1:1" ht="15.75" x14ac:dyDescent="0.25">
      <c r="A99" s="663"/>
    </row>
    <row r="100" spans="1:1" ht="15.75" x14ac:dyDescent="0.25">
      <c r="A100" s="663"/>
    </row>
    <row r="101" spans="1:1" ht="15.75" x14ac:dyDescent="0.25">
      <c r="A101" s="663"/>
    </row>
    <row r="102" spans="1:1" ht="15.75" x14ac:dyDescent="0.25">
      <c r="A102" s="663"/>
    </row>
    <row r="103" spans="1:1" ht="15.75" x14ac:dyDescent="0.25">
      <c r="A103" s="663"/>
    </row>
    <row r="104" spans="1:1" ht="15.75" x14ac:dyDescent="0.25">
      <c r="A104" s="663"/>
    </row>
    <row r="105" spans="1:1" ht="15.75" x14ac:dyDescent="0.25">
      <c r="A105" s="663"/>
    </row>
    <row r="106" spans="1:1" ht="15.75" x14ac:dyDescent="0.25">
      <c r="A106" s="663"/>
    </row>
    <row r="107" spans="1:1" ht="15.75" x14ac:dyDescent="0.25">
      <c r="A107" s="663"/>
    </row>
    <row r="108" spans="1:1" ht="15.75" x14ac:dyDescent="0.25">
      <c r="A108" s="663"/>
    </row>
    <row r="109" spans="1:1" ht="15.75" x14ac:dyDescent="0.25">
      <c r="A109" s="663"/>
    </row>
    <row r="110" spans="1:1" ht="15.75" x14ac:dyDescent="0.25">
      <c r="A110" s="663"/>
    </row>
    <row r="111" spans="1:1" ht="15.75" x14ac:dyDescent="0.25">
      <c r="A111" s="663"/>
    </row>
    <row r="112" spans="1:1" ht="15.75" x14ac:dyDescent="0.25">
      <c r="A112" s="663"/>
    </row>
    <row r="113" spans="1:1" ht="15.75" x14ac:dyDescent="0.25">
      <c r="A113" s="663"/>
    </row>
    <row r="114" spans="1:1" ht="15.75" x14ac:dyDescent="0.25">
      <c r="A114" s="663"/>
    </row>
    <row r="115" spans="1:1" ht="15.75" x14ac:dyDescent="0.25">
      <c r="A115" s="663"/>
    </row>
    <row r="116" spans="1:1" ht="15.75" x14ac:dyDescent="0.25">
      <c r="A116" s="663"/>
    </row>
    <row r="117" spans="1:1" ht="15.75" x14ac:dyDescent="0.25">
      <c r="A117" s="663"/>
    </row>
    <row r="118" spans="1:1" ht="15.75" x14ac:dyDescent="0.25">
      <c r="A118" s="663"/>
    </row>
    <row r="119" spans="1:1" ht="15.75" x14ac:dyDescent="0.25">
      <c r="A119" s="663"/>
    </row>
    <row r="120" spans="1:1" ht="15.75" x14ac:dyDescent="0.25">
      <c r="A120" s="663"/>
    </row>
    <row r="121" spans="1:1" ht="15.75" x14ac:dyDescent="0.25">
      <c r="A121" s="663"/>
    </row>
    <row r="122" spans="1:1" ht="15.75" x14ac:dyDescent="0.25">
      <c r="A122" s="663"/>
    </row>
    <row r="123" spans="1:1" ht="15.75" x14ac:dyDescent="0.25">
      <c r="A123" s="663"/>
    </row>
    <row r="124" spans="1:1" ht="15.75" x14ac:dyDescent="0.25">
      <c r="A124" s="663"/>
    </row>
    <row r="125" spans="1:1" ht="15.75" x14ac:dyDescent="0.25">
      <c r="A125" s="663"/>
    </row>
    <row r="126" spans="1:1" ht="15.75" x14ac:dyDescent="0.25">
      <c r="A126" s="663"/>
    </row>
    <row r="127" spans="1:1" ht="15.75" x14ac:dyDescent="0.25">
      <c r="A127" s="663"/>
    </row>
    <row r="128" spans="1:1" ht="15.75" x14ac:dyDescent="0.25">
      <c r="A128" s="663"/>
    </row>
    <row r="129" spans="1:1" ht="15.75" x14ac:dyDescent="0.25">
      <c r="A129" s="663"/>
    </row>
    <row r="130" spans="1:1" ht="15.75" x14ac:dyDescent="0.25">
      <c r="A130" s="663"/>
    </row>
    <row r="131" spans="1:1" ht="15.75" x14ac:dyDescent="0.25">
      <c r="A131" s="663"/>
    </row>
    <row r="132" spans="1:1" ht="15.75" x14ac:dyDescent="0.25">
      <c r="A132" s="663"/>
    </row>
    <row r="133" spans="1:1" ht="15.75" x14ac:dyDescent="0.25">
      <c r="A133" s="663"/>
    </row>
    <row r="134" spans="1:1" ht="15.75" x14ac:dyDescent="0.25">
      <c r="A134" s="663"/>
    </row>
    <row r="135" spans="1:1" ht="15.75" x14ac:dyDescent="0.25">
      <c r="A135" s="663"/>
    </row>
    <row r="136" spans="1:1" ht="15.75" x14ac:dyDescent="0.25">
      <c r="A136" s="663"/>
    </row>
    <row r="137" spans="1:1" ht="15.75" x14ac:dyDescent="0.25">
      <c r="A137" s="663"/>
    </row>
    <row r="138" spans="1:1" ht="15.75" x14ac:dyDescent="0.25">
      <c r="A138" s="663"/>
    </row>
    <row r="139" spans="1:1" ht="15.75" x14ac:dyDescent="0.25">
      <c r="A139" s="663"/>
    </row>
    <row r="140" spans="1:1" ht="15.75" x14ac:dyDescent="0.25">
      <c r="A140" s="663"/>
    </row>
    <row r="141" spans="1:1" ht="15.75" x14ac:dyDescent="0.25">
      <c r="A141" s="663"/>
    </row>
    <row r="142" spans="1:1" ht="15.75" x14ac:dyDescent="0.25">
      <c r="A142" s="663"/>
    </row>
    <row r="143" spans="1:1" ht="15.75" x14ac:dyDescent="0.25">
      <c r="A143" s="663"/>
    </row>
    <row r="144" spans="1:1" ht="15.75" x14ac:dyDescent="0.25">
      <c r="A144" s="663"/>
    </row>
    <row r="145" spans="1:1" ht="15.75" x14ac:dyDescent="0.25">
      <c r="A145" s="663"/>
    </row>
    <row r="146" spans="1:1" ht="15.75" x14ac:dyDescent="0.25">
      <c r="A146" s="663"/>
    </row>
    <row r="147" spans="1:1" ht="15.75" x14ac:dyDescent="0.25">
      <c r="A147" s="663"/>
    </row>
    <row r="148" spans="1:1" ht="15.75" x14ac:dyDescent="0.25">
      <c r="A148" s="663"/>
    </row>
    <row r="149" spans="1:1" ht="15.75" x14ac:dyDescent="0.25">
      <c r="A149" s="663"/>
    </row>
    <row r="150" spans="1:1" ht="15.75" x14ac:dyDescent="0.25">
      <c r="A150" s="663"/>
    </row>
    <row r="151" spans="1:1" ht="15.75" x14ac:dyDescent="0.25">
      <c r="A151" s="663"/>
    </row>
    <row r="152" spans="1:1" ht="15.75" x14ac:dyDescent="0.25">
      <c r="A152" s="663"/>
    </row>
    <row r="153" spans="1:1" ht="15.75" x14ac:dyDescent="0.25">
      <c r="A153" s="663"/>
    </row>
    <row r="154" spans="1:1" ht="15.75" x14ac:dyDescent="0.25">
      <c r="A154" s="663"/>
    </row>
    <row r="155" spans="1:1" ht="15.75" x14ac:dyDescent="0.25">
      <c r="A155" s="663"/>
    </row>
    <row r="156" spans="1:1" ht="15.75" x14ac:dyDescent="0.25">
      <c r="A156" s="663"/>
    </row>
    <row r="157" spans="1:1" ht="15.75" x14ac:dyDescent="0.25">
      <c r="A157" s="663"/>
    </row>
    <row r="158" spans="1:1" ht="15.75" x14ac:dyDescent="0.25">
      <c r="A158" s="663"/>
    </row>
    <row r="159" spans="1:1" ht="15.75" x14ac:dyDescent="0.25">
      <c r="A159" s="663"/>
    </row>
    <row r="160" spans="1:1" ht="15.75" x14ac:dyDescent="0.25">
      <c r="A160" s="663"/>
    </row>
    <row r="161" spans="1:1" ht="15.75" x14ac:dyDescent="0.25">
      <c r="A161" s="663"/>
    </row>
    <row r="162" spans="1:1" ht="15.75" x14ac:dyDescent="0.25">
      <c r="A162" s="663"/>
    </row>
    <row r="163" spans="1:1" ht="15.75" x14ac:dyDescent="0.25">
      <c r="A163" s="663"/>
    </row>
    <row r="164" spans="1:1" ht="15.75" x14ac:dyDescent="0.25">
      <c r="A164" s="663"/>
    </row>
    <row r="165" spans="1:1" ht="15.75" x14ac:dyDescent="0.25">
      <c r="A165" s="663"/>
    </row>
    <row r="166" spans="1:1" ht="15.75" x14ac:dyDescent="0.25">
      <c r="A166" s="663"/>
    </row>
    <row r="167" spans="1:1" ht="15.75" x14ac:dyDescent="0.25">
      <c r="A167" s="663"/>
    </row>
    <row r="168" spans="1:1" ht="15.75" x14ac:dyDescent="0.25">
      <c r="A168" s="663"/>
    </row>
    <row r="169" spans="1:1" ht="15.75" x14ac:dyDescent="0.25">
      <c r="A169" s="663"/>
    </row>
    <row r="170" spans="1:1" ht="15.75" x14ac:dyDescent="0.25">
      <c r="A170" s="663"/>
    </row>
    <row r="171" spans="1:1" ht="15.75" x14ac:dyDescent="0.25">
      <c r="A171" s="663"/>
    </row>
    <row r="172" spans="1:1" ht="15.75" x14ac:dyDescent="0.25">
      <c r="A172" s="663"/>
    </row>
    <row r="173" spans="1:1" ht="15.75" x14ac:dyDescent="0.25">
      <c r="A173" s="663"/>
    </row>
    <row r="174" spans="1:1" ht="15.75" x14ac:dyDescent="0.25">
      <c r="A174" s="663"/>
    </row>
    <row r="175" spans="1:1" ht="15.75" x14ac:dyDescent="0.25">
      <c r="A175" s="663"/>
    </row>
    <row r="176" spans="1:1" ht="15.75" x14ac:dyDescent="0.25">
      <c r="A176" s="663"/>
    </row>
    <row r="177" spans="1:1" ht="15.75" x14ac:dyDescent="0.25">
      <c r="A177" s="663"/>
    </row>
    <row r="178" spans="1:1" ht="15.75" x14ac:dyDescent="0.25">
      <c r="A178" s="663"/>
    </row>
    <row r="179" spans="1:1" ht="15.75" x14ac:dyDescent="0.25">
      <c r="A179" s="663"/>
    </row>
    <row r="180" spans="1:1" ht="15.75" x14ac:dyDescent="0.25">
      <c r="A180" s="663"/>
    </row>
    <row r="181" spans="1:1" ht="15.75" x14ac:dyDescent="0.25">
      <c r="A181" s="663"/>
    </row>
    <row r="182" spans="1:1" ht="15.75" x14ac:dyDescent="0.25">
      <c r="A182" s="663"/>
    </row>
    <row r="183" spans="1:1" ht="15.75" x14ac:dyDescent="0.25">
      <c r="A183" s="663"/>
    </row>
    <row r="184" spans="1:1" ht="15.75" x14ac:dyDescent="0.25">
      <c r="A184" s="663"/>
    </row>
    <row r="185" spans="1:1" ht="15.75" x14ac:dyDescent="0.25">
      <c r="A185" s="663"/>
    </row>
    <row r="186" spans="1:1" ht="15.75" x14ac:dyDescent="0.25">
      <c r="A186" s="663"/>
    </row>
    <row r="187" spans="1:1" ht="15.75" x14ac:dyDescent="0.25">
      <c r="A187" s="663"/>
    </row>
    <row r="188" spans="1:1" ht="15.75" x14ac:dyDescent="0.25">
      <c r="A188" s="663"/>
    </row>
    <row r="189" spans="1:1" ht="15.75" x14ac:dyDescent="0.25">
      <c r="A189" s="663"/>
    </row>
    <row r="190" spans="1:1" ht="15.75" x14ac:dyDescent="0.25">
      <c r="A190" s="663"/>
    </row>
    <row r="191" spans="1:1" ht="15.75" x14ac:dyDescent="0.25">
      <c r="A191" s="663"/>
    </row>
    <row r="192" spans="1:1" ht="15.75" x14ac:dyDescent="0.25">
      <c r="A192" s="663"/>
    </row>
    <row r="193" spans="1:1" ht="15.75" x14ac:dyDescent="0.25">
      <c r="A193" s="663"/>
    </row>
    <row r="194" spans="1:1" ht="15.75" x14ac:dyDescent="0.25">
      <c r="A194" s="663"/>
    </row>
    <row r="195" spans="1:1" ht="15.75" x14ac:dyDescent="0.25">
      <c r="A195" s="663"/>
    </row>
    <row r="196" spans="1:1" ht="15.75" x14ac:dyDescent="0.25">
      <c r="A196" s="663"/>
    </row>
    <row r="197" spans="1:1" ht="15.75" x14ac:dyDescent="0.25">
      <c r="A197" s="663"/>
    </row>
    <row r="198" spans="1:1" ht="15.75" x14ac:dyDescent="0.25">
      <c r="A198" s="663"/>
    </row>
    <row r="199" spans="1:1" ht="15.75" x14ac:dyDescent="0.25">
      <c r="A199" s="663"/>
    </row>
    <row r="200" spans="1:1" ht="15.75" x14ac:dyDescent="0.25">
      <c r="A200" s="663"/>
    </row>
    <row r="201" spans="1:1" ht="15.75" x14ac:dyDescent="0.25">
      <c r="A201" s="663"/>
    </row>
    <row r="202" spans="1:1" ht="15.75" x14ac:dyDescent="0.25">
      <c r="A202" s="663"/>
    </row>
    <row r="203" spans="1:1" ht="15.75" x14ac:dyDescent="0.25">
      <c r="A203" s="663"/>
    </row>
    <row r="204" spans="1:1" ht="15.75" x14ac:dyDescent="0.25">
      <c r="A204" s="663"/>
    </row>
    <row r="205" spans="1:1" ht="15.75" x14ac:dyDescent="0.25">
      <c r="A205" s="663"/>
    </row>
    <row r="206" spans="1:1" ht="15.75" x14ac:dyDescent="0.25">
      <c r="A206" s="663"/>
    </row>
    <row r="207" spans="1:1" ht="15.75" x14ac:dyDescent="0.25">
      <c r="A207" s="663"/>
    </row>
    <row r="208" spans="1:1" ht="15.75" x14ac:dyDescent="0.25">
      <c r="A208" s="663"/>
    </row>
    <row r="209" spans="1:1" ht="15.75" x14ac:dyDescent="0.25">
      <c r="A209" s="663"/>
    </row>
    <row r="210" spans="1:1" ht="15.75" x14ac:dyDescent="0.25">
      <c r="A210" s="663"/>
    </row>
    <row r="211" spans="1:1" ht="15.75" x14ac:dyDescent="0.25">
      <c r="A211" s="663"/>
    </row>
    <row r="212" spans="1:1" ht="15.75" x14ac:dyDescent="0.25">
      <c r="A212" s="663"/>
    </row>
    <row r="213" spans="1:1" ht="15.75" x14ac:dyDescent="0.25">
      <c r="A213" s="663"/>
    </row>
    <row r="214" spans="1:1" ht="15.75" x14ac:dyDescent="0.25">
      <c r="A214" s="663"/>
    </row>
    <row r="215" spans="1:1" ht="15.75" x14ac:dyDescent="0.25">
      <c r="A215" s="663"/>
    </row>
    <row r="216" spans="1:1" ht="15.75" x14ac:dyDescent="0.25">
      <c r="A216" s="663"/>
    </row>
    <row r="217" spans="1:1" ht="15.75" x14ac:dyDescent="0.25">
      <c r="A217" s="663"/>
    </row>
    <row r="218" spans="1:1" ht="15.75" x14ac:dyDescent="0.25">
      <c r="A218" s="663"/>
    </row>
    <row r="219" spans="1:1" ht="15.75" x14ac:dyDescent="0.25">
      <c r="A219" s="663"/>
    </row>
    <row r="220" spans="1:1" ht="15.75" x14ac:dyDescent="0.25">
      <c r="A220" s="663"/>
    </row>
    <row r="221" spans="1:1" ht="15.75" x14ac:dyDescent="0.25">
      <c r="A221" s="663"/>
    </row>
    <row r="222" spans="1:1" ht="15.75" x14ac:dyDescent="0.25">
      <c r="A222" s="663"/>
    </row>
    <row r="223" spans="1:1" ht="15.75" x14ac:dyDescent="0.25">
      <c r="A223" s="663"/>
    </row>
    <row r="224" spans="1:1" ht="15.75" x14ac:dyDescent="0.25">
      <c r="A224" s="663"/>
    </row>
    <row r="225" spans="1:1" ht="15.75" x14ac:dyDescent="0.25">
      <c r="A225" s="663"/>
    </row>
    <row r="226" spans="1:1" ht="15.75" x14ac:dyDescent="0.25">
      <c r="A226" s="663"/>
    </row>
    <row r="227" spans="1:1" ht="15.75" x14ac:dyDescent="0.25">
      <c r="A227" s="663"/>
    </row>
    <row r="228" spans="1:1" ht="15.75" x14ac:dyDescent="0.25">
      <c r="A228" s="663"/>
    </row>
    <row r="229" spans="1:1" ht="15.75" x14ac:dyDescent="0.25">
      <c r="A229" s="663"/>
    </row>
    <row r="230" spans="1:1" ht="15.75" x14ac:dyDescent="0.25">
      <c r="A230" s="663"/>
    </row>
    <row r="231" spans="1:1" ht="15.75" x14ac:dyDescent="0.25">
      <c r="A231" s="663"/>
    </row>
    <row r="232" spans="1:1" ht="15.75" x14ac:dyDescent="0.25">
      <c r="A232" s="663"/>
    </row>
    <row r="233" spans="1:1" ht="15.75" x14ac:dyDescent="0.25">
      <c r="A233" s="663"/>
    </row>
    <row r="234" spans="1:1" ht="15.75" x14ac:dyDescent="0.25">
      <c r="A234" s="663"/>
    </row>
    <row r="235" spans="1:1" ht="15.75" x14ac:dyDescent="0.25">
      <c r="A235" s="663"/>
    </row>
    <row r="236" spans="1:1" ht="15.75" x14ac:dyDescent="0.25">
      <c r="A236" s="663"/>
    </row>
    <row r="237" spans="1:1" ht="15.75" x14ac:dyDescent="0.25">
      <c r="A237" s="663"/>
    </row>
    <row r="238" spans="1:1" ht="15.75" x14ac:dyDescent="0.25">
      <c r="A238" s="663"/>
    </row>
    <row r="239" spans="1:1" ht="15.75" x14ac:dyDescent="0.25">
      <c r="A239" s="663"/>
    </row>
    <row r="240" spans="1:1" ht="15.75" x14ac:dyDescent="0.25">
      <c r="A240" s="663"/>
    </row>
    <row r="241" spans="1:1" ht="15.75" x14ac:dyDescent="0.25">
      <c r="A241" s="663"/>
    </row>
    <row r="242" spans="1:1" ht="15.75" x14ac:dyDescent="0.25">
      <c r="A242" s="663"/>
    </row>
    <row r="243" spans="1:1" ht="15.75" x14ac:dyDescent="0.25">
      <c r="A243" s="663"/>
    </row>
    <row r="244" spans="1:1" ht="15.75" x14ac:dyDescent="0.25">
      <c r="A244" s="663"/>
    </row>
    <row r="245" spans="1:1" ht="15.75" x14ac:dyDescent="0.25">
      <c r="A245" s="663"/>
    </row>
    <row r="246" spans="1:1" ht="15.75" x14ac:dyDescent="0.25">
      <c r="A246" s="663"/>
    </row>
    <row r="247" spans="1:1" ht="15.75" x14ac:dyDescent="0.25">
      <c r="A247" s="663"/>
    </row>
    <row r="248" spans="1:1" ht="15.75" x14ac:dyDescent="0.25">
      <c r="A248" s="663"/>
    </row>
    <row r="249" spans="1:1" ht="15.75" x14ac:dyDescent="0.25">
      <c r="A249" s="663"/>
    </row>
    <row r="250" spans="1:1" ht="15.75" x14ac:dyDescent="0.25">
      <c r="A250" s="663"/>
    </row>
    <row r="251" spans="1:1" ht="15.75" x14ac:dyDescent="0.25">
      <c r="A251" s="663"/>
    </row>
    <row r="252" spans="1:1" ht="15.75" x14ac:dyDescent="0.25">
      <c r="A252" s="663"/>
    </row>
    <row r="253" spans="1:1" ht="15.75" x14ac:dyDescent="0.25">
      <c r="A253" s="663"/>
    </row>
    <row r="254" spans="1:1" ht="15.75" x14ac:dyDescent="0.25">
      <c r="A254" s="663"/>
    </row>
    <row r="255" spans="1:1" ht="15.75" x14ac:dyDescent="0.25">
      <c r="A255" s="663"/>
    </row>
    <row r="256" spans="1:1" ht="15.75" x14ac:dyDescent="0.25">
      <c r="A256" s="663"/>
    </row>
    <row r="257" spans="1:1" ht="15.75" x14ac:dyDescent="0.25">
      <c r="A257" s="663"/>
    </row>
    <row r="258" spans="1:1" ht="15.75" x14ac:dyDescent="0.25">
      <c r="A258" s="663"/>
    </row>
    <row r="259" spans="1:1" ht="15.75" x14ac:dyDescent="0.25">
      <c r="A259" s="663"/>
    </row>
    <row r="260" spans="1:1" ht="15.75" x14ac:dyDescent="0.25">
      <c r="A260" s="663"/>
    </row>
    <row r="261" spans="1:1" ht="15.75" x14ac:dyDescent="0.25">
      <c r="A261" s="663"/>
    </row>
    <row r="262" spans="1:1" ht="15.75" x14ac:dyDescent="0.25">
      <c r="A262" s="663"/>
    </row>
    <row r="263" spans="1:1" ht="15.75" x14ac:dyDescent="0.25">
      <c r="A263" s="663"/>
    </row>
    <row r="264" spans="1:1" ht="15.75" x14ac:dyDescent="0.25">
      <c r="A264" s="663"/>
    </row>
    <row r="265" spans="1:1" ht="15.75" x14ac:dyDescent="0.25">
      <c r="A265" s="663"/>
    </row>
    <row r="266" spans="1:1" ht="15.75" x14ac:dyDescent="0.25">
      <c r="A266" s="663"/>
    </row>
    <row r="267" spans="1:1" ht="15.75" x14ac:dyDescent="0.25">
      <c r="A267" s="663"/>
    </row>
    <row r="268" spans="1:1" ht="15.75" x14ac:dyDescent="0.25">
      <c r="A268" s="663"/>
    </row>
    <row r="269" spans="1:1" ht="15.75" x14ac:dyDescent="0.25">
      <c r="A269" s="663"/>
    </row>
    <row r="270" spans="1:1" ht="15.75" x14ac:dyDescent="0.25">
      <c r="A270" s="663"/>
    </row>
    <row r="271" spans="1:1" ht="15.75" x14ac:dyDescent="0.25">
      <c r="A271" s="663"/>
    </row>
    <row r="272" spans="1:1" ht="15.75" x14ac:dyDescent="0.25">
      <c r="A272" s="663"/>
    </row>
    <row r="273" spans="1:1" ht="15.75" x14ac:dyDescent="0.25">
      <c r="A273" s="663"/>
    </row>
    <row r="274" spans="1:1" ht="15.75" x14ac:dyDescent="0.25">
      <c r="A274" s="663"/>
    </row>
    <row r="275" spans="1:1" ht="15.75" x14ac:dyDescent="0.25">
      <c r="A275" s="663"/>
    </row>
    <row r="276" spans="1:1" ht="15.75" x14ac:dyDescent="0.25">
      <c r="A276" s="663"/>
    </row>
    <row r="277" spans="1:1" ht="15.75" x14ac:dyDescent="0.25">
      <c r="A277" s="663"/>
    </row>
    <row r="278" spans="1:1" ht="15.75" x14ac:dyDescent="0.25">
      <c r="A278" s="663"/>
    </row>
    <row r="279" spans="1:1" ht="15.75" x14ac:dyDescent="0.25">
      <c r="A279" s="663"/>
    </row>
    <row r="280" spans="1:1" ht="15.75" x14ac:dyDescent="0.25">
      <c r="A280" s="663"/>
    </row>
    <row r="281" spans="1:1" ht="15.75" x14ac:dyDescent="0.25">
      <c r="A281" s="663"/>
    </row>
    <row r="282" spans="1:1" ht="15.75" x14ac:dyDescent="0.25">
      <c r="A282" s="663"/>
    </row>
    <row r="283" spans="1:1" ht="15.75" x14ac:dyDescent="0.25">
      <c r="A283" s="663"/>
    </row>
    <row r="284" spans="1:1" ht="15.75" x14ac:dyDescent="0.25">
      <c r="A284" s="663"/>
    </row>
    <row r="285" spans="1:1" ht="15.75" x14ac:dyDescent="0.25">
      <c r="A285" s="663"/>
    </row>
    <row r="286" spans="1:1" ht="15.75" x14ac:dyDescent="0.25">
      <c r="A286" s="663"/>
    </row>
    <row r="287" spans="1:1" ht="15.75" x14ac:dyDescent="0.25">
      <c r="A287" s="663"/>
    </row>
    <row r="288" spans="1:1" ht="15.75" x14ac:dyDescent="0.25">
      <c r="A288" s="663"/>
    </row>
    <row r="289" spans="1:1" ht="15.75" x14ac:dyDescent="0.25">
      <c r="A289" s="663"/>
    </row>
    <row r="290" spans="1:1" ht="15.75" x14ac:dyDescent="0.25">
      <c r="A290" s="663"/>
    </row>
    <row r="291" spans="1:1" ht="15.75" x14ac:dyDescent="0.25">
      <c r="A291" s="663"/>
    </row>
    <row r="292" spans="1:1" ht="15.75" x14ac:dyDescent="0.25">
      <c r="A292" s="663"/>
    </row>
    <row r="293" spans="1:1" ht="15.75" x14ac:dyDescent="0.25">
      <c r="A293" s="663"/>
    </row>
    <row r="294" spans="1:1" ht="15.75" x14ac:dyDescent="0.25">
      <c r="A294" s="663"/>
    </row>
    <row r="295" spans="1:1" ht="15.75" x14ac:dyDescent="0.25">
      <c r="A295" s="663"/>
    </row>
    <row r="296" spans="1:1" ht="15.75" x14ac:dyDescent="0.25">
      <c r="A296" s="663"/>
    </row>
    <row r="297" spans="1:1" ht="15.75" x14ac:dyDescent="0.25">
      <c r="A297" s="663"/>
    </row>
    <row r="298" spans="1:1" ht="15.75" x14ac:dyDescent="0.25">
      <c r="A298" s="663"/>
    </row>
    <row r="299" spans="1:1" ht="15.75" x14ac:dyDescent="0.25">
      <c r="A299" s="663"/>
    </row>
    <row r="300" spans="1:1" ht="15.75" x14ac:dyDescent="0.25">
      <c r="A300" s="663"/>
    </row>
    <row r="301" spans="1:1" ht="15.75" x14ac:dyDescent="0.25">
      <c r="A301" s="663"/>
    </row>
    <row r="302" spans="1:1" ht="15.75" x14ac:dyDescent="0.25">
      <c r="A302" s="663"/>
    </row>
    <row r="303" spans="1:1" ht="15.75" x14ac:dyDescent="0.25">
      <c r="A303" s="663"/>
    </row>
    <row r="304" spans="1:1" ht="15.75" x14ac:dyDescent="0.25">
      <c r="A304" s="663"/>
    </row>
    <row r="305" spans="1:1" ht="15.75" x14ac:dyDescent="0.25">
      <c r="A305" s="663"/>
    </row>
    <row r="306" spans="1:1" ht="15.75" x14ac:dyDescent="0.25">
      <c r="A306" s="663"/>
    </row>
    <row r="307" spans="1:1" ht="15.75" x14ac:dyDescent="0.25">
      <c r="A307" s="663"/>
    </row>
    <row r="308" spans="1:1" ht="15.75" x14ac:dyDescent="0.25">
      <c r="A308" s="663"/>
    </row>
    <row r="309" spans="1:1" ht="15.75" x14ac:dyDescent="0.25">
      <c r="A309" s="663"/>
    </row>
    <row r="310" spans="1:1" ht="15.75" x14ac:dyDescent="0.25">
      <c r="A310" s="663"/>
    </row>
    <row r="311" spans="1:1" ht="15.75" x14ac:dyDescent="0.25">
      <c r="A311" s="663"/>
    </row>
    <row r="312" spans="1:1" ht="15.75" x14ac:dyDescent="0.25">
      <c r="A312" s="663"/>
    </row>
    <row r="313" spans="1:1" ht="15.75" x14ac:dyDescent="0.25">
      <c r="A313" s="663"/>
    </row>
    <row r="314" spans="1:1" ht="15.75" x14ac:dyDescent="0.25">
      <c r="A314" s="663"/>
    </row>
    <row r="315" spans="1:1" ht="15.75" x14ac:dyDescent="0.25">
      <c r="A315" s="663"/>
    </row>
    <row r="316" spans="1:1" ht="15.75" x14ac:dyDescent="0.25">
      <c r="A316" s="663"/>
    </row>
    <row r="317" spans="1:1" ht="15.75" x14ac:dyDescent="0.25">
      <c r="A317" s="663"/>
    </row>
    <row r="318" spans="1:1" ht="15.75" x14ac:dyDescent="0.25">
      <c r="A318" s="663"/>
    </row>
    <row r="319" spans="1:1" ht="15.75" x14ac:dyDescent="0.25">
      <c r="A319" s="663"/>
    </row>
    <row r="320" spans="1:1" ht="15.75" x14ac:dyDescent="0.25">
      <c r="A320" s="663"/>
    </row>
    <row r="321" spans="1:1" ht="15.75" x14ac:dyDescent="0.25">
      <c r="A321" s="663"/>
    </row>
    <row r="322" spans="1:1" ht="15.75" x14ac:dyDescent="0.25">
      <c r="A322" s="663"/>
    </row>
    <row r="323" spans="1:1" ht="15.75" x14ac:dyDescent="0.25">
      <c r="A323" s="663"/>
    </row>
    <row r="324" spans="1:1" ht="15.75" x14ac:dyDescent="0.25">
      <c r="A324" s="663"/>
    </row>
    <row r="325" spans="1:1" ht="15.75" x14ac:dyDescent="0.25">
      <c r="A325" s="663"/>
    </row>
    <row r="326" spans="1:1" ht="15.75" x14ac:dyDescent="0.25">
      <c r="A326" s="663"/>
    </row>
    <row r="327" spans="1:1" ht="15.75" x14ac:dyDescent="0.25">
      <c r="A327" s="663"/>
    </row>
    <row r="328" spans="1:1" ht="15.75" x14ac:dyDescent="0.25">
      <c r="A328" s="663"/>
    </row>
    <row r="329" spans="1:1" ht="15.75" x14ac:dyDescent="0.25">
      <c r="A329" s="663"/>
    </row>
    <row r="330" spans="1:1" ht="15.75" x14ac:dyDescent="0.25">
      <c r="A330" s="663"/>
    </row>
    <row r="331" spans="1:1" ht="15.75" x14ac:dyDescent="0.25">
      <c r="A331" s="663"/>
    </row>
    <row r="332" spans="1:1" ht="15.75" x14ac:dyDescent="0.25">
      <c r="A332" s="663"/>
    </row>
    <row r="333" spans="1:1" ht="15.75" x14ac:dyDescent="0.25">
      <c r="A333" s="663"/>
    </row>
    <row r="334" spans="1:1" ht="15.75" x14ac:dyDescent="0.25">
      <c r="A334" s="663"/>
    </row>
    <row r="335" spans="1:1" ht="15.75" x14ac:dyDescent="0.25">
      <c r="A335" s="663"/>
    </row>
    <row r="336" spans="1:1" ht="15.75" x14ac:dyDescent="0.25">
      <c r="A336" s="663"/>
    </row>
    <row r="337" spans="1:1" ht="15.75" x14ac:dyDescent="0.25">
      <c r="A337" s="663"/>
    </row>
    <row r="338" spans="1:1" ht="15.75" x14ac:dyDescent="0.25">
      <c r="A338" s="663"/>
    </row>
    <row r="339" spans="1:1" ht="15.75" x14ac:dyDescent="0.25">
      <c r="A339" s="663"/>
    </row>
    <row r="340" spans="1:1" ht="15.75" x14ac:dyDescent="0.25">
      <c r="A340" s="663"/>
    </row>
    <row r="341" spans="1:1" ht="15.75" x14ac:dyDescent="0.25">
      <c r="A341" s="663"/>
    </row>
    <row r="342" spans="1:1" ht="15.75" x14ac:dyDescent="0.25">
      <c r="A342" s="663"/>
    </row>
    <row r="343" spans="1:1" ht="15.75" x14ac:dyDescent="0.25">
      <c r="A343" s="663"/>
    </row>
    <row r="344" spans="1:1" ht="15.75" x14ac:dyDescent="0.25">
      <c r="A344" s="663"/>
    </row>
    <row r="345" spans="1:1" ht="15.75" x14ac:dyDescent="0.25">
      <c r="A345" s="663"/>
    </row>
    <row r="346" spans="1:1" ht="15.75" x14ac:dyDescent="0.25">
      <c r="A346" s="663"/>
    </row>
    <row r="347" spans="1:1" ht="15.75" x14ac:dyDescent="0.25">
      <c r="A347" s="663"/>
    </row>
    <row r="348" spans="1:1" ht="15.75" x14ac:dyDescent="0.25">
      <c r="A348" s="663"/>
    </row>
    <row r="349" spans="1:1" ht="15.75" x14ac:dyDescent="0.25">
      <c r="A349" s="663"/>
    </row>
    <row r="350" spans="1:1" ht="15.75" x14ac:dyDescent="0.25">
      <c r="A350" s="663"/>
    </row>
    <row r="351" spans="1:1" ht="15.75" x14ac:dyDescent="0.25">
      <c r="A351" s="663"/>
    </row>
    <row r="352" spans="1:1" ht="15.75" x14ac:dyDescent="0.25">
      <c r="A352" s="663"/>
    </row>
    <row r="353" spans="1:1" ht="15.75" x14ac:dyDescent="0.25">
      <c r="A353" s="663"/>
    </row>
    <row r="354" spans="1:1" ht="15.75" x14ac:dyDescent="0.25">
      <c r="A354" s="663"/>
    </row>
    <row r="355" spans="1:1" ht="15.75" x14ac:dyDescent="0.25">
      <c r="A355" s="663"/>
    </row>
    <row r="356" spans="1:1" ht="15.75" x14ac:dyDescent="0.25">
      <c r="A356" s="663"/>
    </row>
    <row r="357" spans="1:1" ht="15.75" x14ac:dyDescent="0.25">
      <c r="A357" s="663"/>
    </row>
    <row r="358" spans="1:1" ht="15.75" x14ac:dyDescent="0.25">
      <c r="A358" s="663"/>
    </row>
    <row r="359" spans="1:1" ht="15.75" x14ac:dyDescent="0.25">
      <c r="A359" s="663"/>
    </row>
    <row r="360" spans="1:1" ht="15.75" x14ac:dyDescent="0.25">
      <c r="A360" s="663"/>
    </row>
    <row r="361" spans="1:1" ht="15.75" x14ac:dyDescent="0.25">
      <c r="A361" s="663"/>
    </row>
    <row r="362" spans="1:1" ht="15.75" x14ac:dyDescent="0.25">
      <c r="A362" s="663"/>
    </row>
    <row r="363" spans="1:1" ht="15.75" x14ac:dyDescent="0.25">
      <c r="A363" s="663"/>
    </row>
    <row r="364" spans="1:1" ht="15.75" x14ac:dyDescent="0.25">
      <c r="A364" s="663"/>
    </row>
    <row r="365" spans="1:1" ht="15.75" x14ac:dyDescent="0.25">
      <c r="A365" s="663"/>
    </row>
    <row r="366" spans="1:1" ht="15.75" x14ac:dyDescent="0.25">
      <c r="A366" s="663"/>
    </row>
    <row r="367" spans="1:1" ht="15.75" x14ac:dyDescent="0.25">
      <c r="A367" s="663"/>
    </row>
    <row r="368" spans="1:1" ht="15.75" x14ac:dyDescent="0.25">
      <c r="A368" s="663"/>
    </row>
    <row r="369" spans="1:1" ht="15.75" x14ac:dyDescent="0.25">
      <c r="A369" s="663"/>
    </row>
    <row r="370" spans="1:1" ht="15.75" x14ac:dyDescent="0.25">
      <c r="A370" s="663"/>
    </row>
    <row r="371" spans="1:1" ht="15.75" x14ac:dyDescent="0.25">
      <c r="A371" s="663"/>
    </row>
    <row r="372" spans="1:1" ht="15.75" x14ac:dyDescent="0.25">
      <c r="A372" s="663"/>
    </row>
    <row r="373" spans="1:1" ht="15.75" x14ac:dyDescent="0.25">
      <c r="A373" s="663"/>
    </row>
    <row r="374" spans="1:1" ht="15.75" x14ac:dyDescent="0.25">
      <c r="A374" s="663"/>
    </row>
    <row r="375" spans="1:1" ht="15.75" x14ac:dyDescent="0.25">
      <c r="A375" s="663"/>
    </row>
    <row r="376" spans="1:1" ht="15.75" x14ac:dyDescent="0.25">
      <c r="A376" s="663"/>
    </row>
    <row r="377" spans="1:1" ht="15.75" x14ac:dyDescent="0.25">
      <c r="A377" s="663"/>
    </row>
    <row r="378" spans="1:1" ht="15.75" x14ac:dyDescent="0.25">
      <c r="A378" s="663"/>
    </row>
    <row r="379" spans="1:1" ht="15.75" x14ac:dyDescent="0.25">
      <c r="A379" s="663"/>
    </row>
    <row r="380" spans="1:1" ht="15.75" x14ac:dyDescent="0.25">
      <c r="A380" s="663"/>
    </row>
    <row r="381" spans="1:1" ht="15.75" x14ac:dyDescent="0.25">
      <c r="A381" s="663"/>
    </row>
    <row r="382" spans="1:1" ht="15.75" x14ac:dyDescent="0.25">
      <c r="A382" s="663"/>
    </row>
    <row r="383" spans="1:1" ht="15.75" x14ac:dyDescent="0.25">
      <c r="A383" s="663"/>
    </row>
    <row r="384" spans="1:1" ht="15.75" x14ac:dyDescent="0.25">
      <c r="A384" s="663"/>
    </row>
    <row r="385" spans="1:1" ht="15.75" x14ac:dyDescent="0.25">
      <c r="A385" s="663"/>
    </row>
    <row r="386" spans="1:1" ht="15.75" x14ac:dyDescent="0.25">
      <c r="A386" s="663"/>
    </row>
    <row r="387" spans="1:1" ht="15.75" x14ac:dyDescent="0.25">
      <c r="A387" s="663"/>
    </row>
    <row r="388" spans="1:1" ht="15.75" x14ac:dyDescent="0.25">
      <c r="A388" s="663"/>
    </row>
    <row r="389" spans="1:1" ht="15.75" x14ac:dyDescent="0.25">
      <c r="A389" s="663"/>
    </row>
    <row r="390" spans="1:1" ht="15.75" x14ac:dyDescent="0.25">
      <c r="A390" s="663"/>
    </row>
    <row r="391" spans="1:1" ht="15.75" x14ac:dyDescent="0.25">
      <c r="A391" s="663"/>
    </row>
    <row r="392" spans="1:1" ht="15.75" x14ac:dyDescent="0.25">
      <c r="A392" s="663"/>
    </row>
    <row r="393" spans="1:1" ht="15.75" x14ac:dyDescent="0.25">
      <c r="A393" s="663"/>
    </row>
    <row r="394" spans="1:1" ht="15.75" x14ac:dyDescent="0.25">
      <c r="A394" s="663"/>
    </row>
    <row r="395" spans="1:1" ht="15.75" x14ac:dyDescent="0.25">
      <c r="A395" s="663"/>
    </row>
    <row r="396" spans="1:1" ht="15.75" x14ac:dyDescent="0.25">
      <c r="A396" s="663"/>
    </row>
    <row r="397" spans="1:1" ht="15.75" x14ac:dyDescent="0.25">
      <c r="A397" s="663"/>
    </row>
    <row r="398" spans="1:1" ht="15.75" x14ac:dyDescent="0.25">
      <c r="A398" s="663"/>
    </row>
    <row r="399" spans="1:1" ht="15.75" x14ac:dyDescent="0.25">
      <c r="A399" s="663"/>
    </row>
    <row r="400" spans="1:1" ht="15.75" x14ac:dyDescent="0.25">
      <c r="A400" s="663"/>
    </row>
    <row r="401" spans="1:1" ht="15.75" x14ac:dyDescent="0.25">
      <c r="A401" s="663"/>
    </row>
    <row r="402" spans="1:1" ht="15.75" x14ac:dyDescent="0.25">
      <c r="A402" s="663"/>
    </row>
    <row r="403" spans="1:1" ht="15.75" x14ac:dyDescent="0.25">
      <c r="A403" s="663"/>
    </row>
    <row r="404" spans="1:1" ht="15.75" x14ac:dyDescent="0.25">
      <c r="A404" s="663"/>
    </row>
    <row r="405" spans="1:1" ht="15.75" x14ac:dyDescent="0.25">
      <c r="A405" s="663"/>
    </row>
    <row r="406" spans="1:1" ht="15.75" x14ac:dyDescent="0.25">
      <c r="A406" s="663"/>
    </row>
    <row r="407" spans="1:1" ht="15.75" x14ac:dyDescent="0.25">
      <c r="A407" s="663"/>
    </row>
    <row r="408" spans="1:1" ht="15.75" x14ac:dyDescent="0.25">
      <c r="A408" s="663"/>
    </row>
    <row r="409" spans="1:1" ht="15.75" x14ac:dyDescent="0.25">
      <c r="A409" s="663"/>
    </row>
    <row r="410" spans="1:1" ht="15.75" x14ac:dyDescent="0.25">
      <c r="A410" s="663"/>
    </row>
    <row r="411" spans="1:1" ht="15.75" x14ac:dyDescent="0.25">
      <c r="A411" s="663"/>
    </row>
    <row r="412" spans="1:1" ht="15.75" x14ac:dyDescent="0.25">
      <c r="A412" s="663"/>
    </row>
    <row r="413" spans="1:1" ht="15.75" x14ac:dyDescent="0.25">
      <c r="A413" s="663"/>
    </row>
    <row r="414" spans="1:1" ht="15.75" x14ac:dyDescent="0.25">
      <c r="A414" s="663"/>
    </row>
    <row r="415" spans="1:1" ht="15.75" x14ac:dyDescent="0.25">
      <c r="A415" s="663"/>
    </row>
    <row r="416" spans="1:1" ht="15.75" x14ac:dyDescent="0.25">
      <c r="A416" s="663"/>
    </row>
    <row r="417" spans="1:1" ht="15.75" x14ac:dyDescent="0.25">
      <c r="A417" s="663"/>
    </row>
    <row r="418" spans="1:1" ht="15.75" x14ac:dyDescent="0.25">
      <c r="A418" s="663"/>
    </row>
    <row r="419" spans="1:1" ht="15.75" x14ac:dyDescent="0.25">
      <c r="A419" s="663"/>
    </row>
    <row r="420" spans="1:1" ht="15.75" x14ac:dyDescent="0.25">
      <c r="A420" s="663"/>
    </row>
    <row r="421" spans="1:1" ht="15.75" x14ac:dyDescent="0.25">
      <c r="A421" s="663"/>
    </row>
    <row r="422" spans="1:1" ht="15.75" x14ac:dyDescent="0.25">
      <c r="A422" s="663"/>
    </row>
    <row r="423" spans="1:1" ht="15.75" x14ac:dyDescent="0.25">
      <c r="A423" s="663"/>
    </row>
    <row r="424" spans="1:1" ht="15.75" x14ac:dyDescent="0.25">
      <c r="A424" s="663"/>
    </row>
    <row r="425" spans="1:1" ht="15.75" x14ac:dyDescent="0.25">
      <c r="A425" s="663"/>
    </row>
    <row r="426" spans="1:1" ht="15.75" x14ac:dyDescent="0.25">
      <c r="A426" s="663"/>
    </row>
    <row r="427" spans="1:1" ht="15.75" x14ac:dyDescent="0.25">
      <c r="A427" s="663"/>
    </row>
    <row r="428" spans="1:1" ht="15.75" x14ac:dyDescent="0.25">
      <c r="A428" s="663"/>
    </row>
    <row r="429" spans="1:1" ht="15.75" x14ac:dyDescent="0.25">
      <c r="A429" s="663"/>
    </row>
    <row r="430" spans="1:1" ht="15.75" x14ac:dyDescent="0.25">
      <c r="A430" s="663"/>
    </row>
    <row r="431" spans="1:1" ht="15.75" x14ac:dyDescent="0.25">
      <c r="A431" s="663"/>
    </row>
    <row r="432" spans="1:1" ht="15.75" x14ac:dyDescent="0.25">
      <c r="A432" s="663"/>
    </row>
    <row r="433" spans="1:1" ht="15.75" x14ac:dyDescent="0.25">
      <c r="A433" s="663"/>
    </row>
    <row r="434" spans="1:1" ht="15.75" x14ac:dyDescent="0.25">
      <c r="A434" s="663"/>
    </row>
    <row r="435" spans="1:1" ht="15.75" x14ac:dyDescent="0.25">
      <c r="A435" s="663"/>
    </row>
    <row r="436" spans="1:1" ht="15.75" x14ac:dyDescent="0.25">
      <c r="A436" s="663"/>
    </row>
    <row r="437" spans="1:1" ht="15.75" x14ac:dyDescent="0.25">
      <c r="A437" s="663"/>
    </row>
    <row r="438" spans="1:1" ht="15.75" x14ac:dyDescent="0.25">
      <c r="A438" s="663"/>
    </row>
    <row r="439" spans="1:1" ht="15.75" x14ac:dyDescent="0.25">
      <c r="A439" s="663"/>
    </row>
    <row r="440" spans="1:1" ht="15.75" x14ac:dyDescent="0.25">
      <c r="A440" s="663"/>
    </row>
    <row r="441" spans="1:1" ht="15.75" x14ac:dyDescent="0.25">
      <c r="A441" s="663"/>
    </row>
    <row r="442" spans="1:1" ht="15.75" x14ac:dyDescent="0.25">
      <c r="A442" s="663"/>
    </row>
    <row r="443" spans="1:1" ht="15.75" x14ac:dyDescent="0.25">
      <c r="A443" s="663"/>
    </row>
    <row r="444" spans="1:1" ht="15.75" x14ac:dyDescent="0.25">
      <c r="A444" s="663"/>
    </row>
    <row r="445" spans="1:1" ht="15.75" x14ac:dyDescent="0.25">
      <c r="A445" s="663"/>
    </row>
    <row r="446" spans="1:1" ht="15.75" x14ac:dyDescent="0.25">
      <c r="A446" s="663"/>
    </row>
    <row r="447" spans="1:1" ht="15.75" x14ac:dyDescent="0.25">
      <c r="A447" s="663"/>
    </row>
    <row r="448" spans="1:1" ht="15.75" x14ac:dyDescent="0.25">
      <c r="A448" s="663"/>
    </row>
    <row r="449" spans="1:1" ht="15.75" x14ac:dyDescent="0.25">
      <c r="A449" s="663"/>
    </row>
    <row r="450" spans="1:1" ht="15.75" x14ac:dyDescent="0.25">
      <c r="A450" s="663"/>
    </row>
    <row r="451" spans="1:1" ht="15.75" x14ac:dyDescent="0.25">
      <c r="A451" s="663"/>
    </row>
    <row r="452" spans="1:1" ht="15.75" x14ac:dyDescent="0.25">
      <c r="A452" s="663"/>
    </row>
    <row r="453" spans="1:1" ht="15.75" x14ac:dyDescent="0.25">
      <c r="A453" s="663"/>
    </row>
    <row r="454" spans="1:1" ht="15.75" x14ac:dyDescent="0.25">
      <c r="A454" s="663"/>
    </row>
    <row r="455" spans="1:1" ht="15.75" x14ac:dyDescent="0.25">
      <c r="A455" s="663"/>
    </row>
    <row r="456" spans="1:1" ht="15.75" x14ac:dyDescent="0.25">
      <c r="A456" s="663"/>
    </row>
    <row r="457" spans="1:1" ht="15.75" x14ac:dyDescent="0.25">
      <c r="A457" s="663"/>
    </row>
    <row r="458" spans="1:1" ht="15.75" x14ac:dyDescent="0.25">
      <c r="A458" s="663"/>
    </row>
    <row r="459" spans="1:1" ht="15.75" x14ac:dyDescent="0.25">
      <c r="A459" s="663"/>
    </row>
    <row r="460" spans="1:1" ht="15.75" x14ac:dyDescent="0.25">
      <c r="A460" s="663"/>
    </row>
    <row r="461" spans="1:1" ht="15.75" x14ac:dyDescent="0.25">
      <c r="A461" s="663"/>
    </row>
    <row r="462" spans="1:1" ht="15.75" x14ac:dyDescent="0.25">
      <c r="A462" s="663"/>
    </row>
    <row r="463" spans="1:1" ht="15.75" x14ac:dyDescent="0.25">
      <c r="A463" s="663"/>
    </row>
    <row r="464" spans="1:1" ht="15.75" x14ac:dyDescent="0.25">
      <c r="A464" s="663"/>
    </row>
    <row r="465" spans="1:1" ht="15.75" x14ac:dyDescent="0.25">
      <c r="A465" s="663"/>
    </row>
    <row r="466" spans="1:1" ht="15.75" x14ac:dyDescent="0.25">
      <c r="A466" s="663"/>
    </row>
    <row r="467" spans="1:1" ht="15.75" x14ac:dyDescent="0.25">
      <c r="A467" s="663"/>
    </row>
    <row r="468" spans="1:1" ht="15.75" x14ac:dyDescent="0.25">
      <c r="A468" s="663"/>
    </row>
    <row r="469" spans="1:1" ht="15.75" x14ac:dyDescent="0.25">
      <c r="A469" s="663"/>
    </row>
    <row r="470" spans="1:1" ht="15.75" x14ac:dyDescent="0.25">
      <c r="A470" s="663"/>
    </row>
    <row r="471" spans="1:1" ht="15.75" x14ac:dyDescent="0.25">
      <c r="A471" s="663"/>
    </row>
    <row r="472" spans="1:1" ht="15.75" x14ac:dyDescent="0.25">
      <c r="A472" s="663"/>
    </row>
    <row r="473" spans="1:1" ht="15.75" x14ac:dyDescent="0.25">
      <c r="A473" s="663"/>
    </row>
    <row r="474" spans="1:1" ht="15.75" x14ac:dyDescent="0.25">
      <c r="A474" s="663"/>
    </row>
    <row r="475" spans="1:1" ht="15.75" x14ac:dyDescent="0.25">
      <c r="A475" s="663"/>
    </row>
    <row r="476" spans="1:1" ht="15.75" x14ac:dyDescent="0.25">
      <c r="A476" s="663"/>
    </row>
    <row r="477" spans="1:1" ht="15.75" x14ac:dyDescent="0.25">
      <c r="A477" s="663"/>
    </row>
    <row r="478" spans="1:1" ht="15.75" x14ac:dyDescent="0.25">
      <c r="A478" s="663"/>
    </row>
    <row r="479" spans="1:1" ht="15.75" x14ac:dyDescent="0.25">
      <c r="A479" s="663"/>
    </row>
    <row r="480" spans="1:1" ht="15.75" x14ac:dyDescent="0.25">
      <c r="A480" s="663"/>
    </row>
    <row r="481" spans="1:1" ht="15.75" x14ac:dyDescent="0.25">
      <c r="A481" s="663"/>
    </row>
    <row r="482" spans="1:1" ht="15.75" x14ac:dyDescent="0.25">
      <c r="A482" s="663"/>
    </row>
    <row r="483" spans="1:1" ht="15.75" x14ac:dyDescent="0.25">
      <c r="A483" s="663"/>
    </row>
    <row r="484" spans="1:1" ht="15.75" x14ac:dyDescent="0.25">
      <c r="A484" s="663"/>
    </row>
    <row r="485" spans="1:1" ht="15.75" x14ac:dyDescent="0.25">
      <c r="A485" s="663"/>
    </row>
    <row r="486" spans="1:1" ht="15.75" x14ac:dyDescent="0.25">
      <c r="A486" s="663"/>
    </row>
    <row r="487" spans="1:1" ht="15.75" x14ac:dyDescent="0.25">
      <c r="A487" s="663"/>
    </row>
    <row r="488" spans="1:1" ht="15.75" x14ac:dyDescent="0.25">
      <c r="A488" s="663"/>
    </row>
    <row r="489" spans="1:1" ht="15.75" x14ac:dyDescent="0.25">
      <c r="A489" s="663"/>
    </row>
    <row r="490" spans="1:1" ht="15.75" x14ac:dyDescent="0.25">
      <c r="A490" s="663"/>
    </row>
    <row r="491" spans="1:1" ht="15.75" x14ac:dyDescent="0.25">
      <c r="A491" s="663"/>
    </row>
    <row r="492" spans="1:1" ht="15.75" x14ac:dyDescent="0.25">
      <c r="A492" s="663"/>
    </row>
    <row r="493" spans="1:1" ht="15.75" x14ac:dyDescent="0.25">
      <c r="A493" s="663"/>
    </row>
    <row r="494" spans="1:1" ht="15.75" x14ac:dyDescent="0.25">
      <c r="A494" s="663"/>
    </row>
    <row r="495" spans="1:1" ht="15.75" x14ac:dyDescent="0.25">
      <c r="A495" s="663"/>
    </row>
    <row r="496" spans="1:1" ht="15.75" x14ac:dyDescent="0.25">
      <c r="A496" s="663"/>
    </row>
    <row r="497" spans="1:1" ht="15.75" x14ac:dyDescent="0.25">
      <c r="A497" s="663"/>
    </row>
    <row r="498" spans="1:1" ht="15.75" x14ac:dyDescent="0.25">
      <c r="A498" s="663"/>
    </row>
    <row r="499" spans="1:1" ht="15.75" x14ac:dyDescent="0.25">
      <c r="A499" s="663"/>
    </row>
    <row r="500" spans="1:1" ht="15.75" x14ac:dyDescent="0.25">
      <c r="A500" s="663"/>
    </row>
    <row r="501" spans="1:1" ht="15.75" x14ac:dyDescent="0.25">
      <c r="A501" s="663"/>
    </row>
    <row r="502" spans="1:1" ht="15.75" x14ac:dyDescent="0.25">
      <c r="A502" s="663"/>
    </row>
    <row r="503" spans="1:1" ht="15.75" x14ac:dyDescent="0.25">
      <c r="A503" s="663"/>
    </row>
    <row r="504" spans="1:1" ht="15.75" x14ac:dyDescent="0.25">
      <c r="A504" s="663"/>
    </row>
    <row r="505" spans="1:1" ht="15.75" x14ac:dyDescent="0.25">
      <c r="A505" s="663"/>
    </row>
    <row r="506" spans="1:1" ht="15.75" x14ac:dyDescent="0.25">
      <c r="A506" s="663"/>
    </row>
    <row r="507" spans="1:1" ht="15.75" x14ac:dyDescent="0.25">
      <c r="A507" s="663"/>
    </row>
    <row r="508" spans="1:1" ht="15.75" x14ac:dyDescent="0.25">
      <c r="A508" s="663"/>
    </row>
    <row r="509" spans="1:1" ht="15.75" x14ac:dyDescent="0.25">
      <c r="A509" s="663"/>
    </row>
    <row r="510" spans="1:1" ht="15.75" x14ac:dyDescent="0.25">
      <c r="A510" s="663"/>
    </row>
    <row r="511" spans="1:1" ht="15.75" x14ac:dyDescent="0.25">
      <c r="A511" s="663"/>
    </row>
    <row r="512" spans="1:1" ht="15.75" x14ac:dyDescent="0.25">
      <c r="A512" s="663"/>
    </row>
    <row r="513" spans="1:1" ht="15.75" x14ac:dyDescent="0.25">
      <c r="A513" s="663"/>
    </row>
    <row r="514" spans="1:1" ht="15.75" x14ac:dyDescent="0.25">
      <c r="A514" s="663"/>
    </row>
    <row r="515" spans="1:1" ht="15.75" x14ac:dyDescent="0.25">
      <c r="A515" s="663"/>
    </row>
    <row r="516" spans="1:1" ht="15.75" x14ac:dyDescent="0.25">
      <c r="A516" s="663"/>
    </row>
    <row r="517" spans="1:1" ht="15.75" x14ac:dyDescent="0.25">
      <c r="A517" s="663"/>
    </row>
    <row r="518" spans="1:1" ht="15.75" x14ac:dyDescent="0.25">
      <c r="A518" s="663"/>
    </row>
    <row r="519" spans="1:1" ht="15.75" x14ac:dyDescent="0.25">
      <c r="A519" s="663"/>
    </row>
    <row r="520" spans="1:1" ht="15.75" x14ac:dyDescent="0.25">
      <c r="A520" s="663"/>
    </row>
    <row r="521" spans="1:1" ht="15.75" x14ac:dyDescent="0.25">
      <c r="A521" s="663"/>
    </row>
    <row r="522" spans="1:1" ht="15.75" x14ac:dyDescent="0.25">
      <c r="A522" s="663"/>
    </row>
    <row r="523" spans="1:1" ht="15.75" x14ac:dyDescent="0.25">
      <c r="A523" s="663"/>
    </row>
    <row r="524" spans="1:1" ht="15.75" x14ac:dyDescent="0.25">
      <c r="A524" s="663"/>
    </row>
    <row r="525" spans="1:1" ht="15.75" x14ac:dyDescent="0.25">
      <c r="A525" s="663"/>
    </row>
    <row r="526" spans="1:1" ht="15.75" x14ac:dyDescent="0.25">
      <c r="A526" s="663"/>
    </row>
    <row r="527" spans="1:1" ht="15.75" x14ac:dyDescent="0.25">
      <c r="A527" s="663"/>
    </row>
    <row r="528" spans="1:1" ht="15.75" x14ac:dyDescent="0.25">
      <c r="A528" s="663"/>
    </row>
    <row r="529" spans="1:1" ht="15.75" x14ac:dyDescent="0.25">
      <c r="A529" s="663"/>
    </row>
    <row r="530" spans="1:1" ht="15.75" x14ac:dyDescent="0.25">
      <c r="A530" s="663"/>
    </row>
    <row r="531" spans="1:1" ht="15.75" x14ac:dyDescent="0.25">
      <c r="A531" s="663"/>
    </row>
    <row r="532" spans="1:1" ht="15.75" x14ac:dyDescent="0.25">
      <c r="A532" s="663"/>
    </row>
    <row r="533" spans="1:1" ht="15.75" x14ac:dyDescent="0.25">
      <c r="A533" s="663"/>
    </row>
    <row r="534" spans="1:1" ht="15.75" x14ac:dyDescent="0.25">
      <c r="A534" s="663"/>
    </row>
    <row r="535" spans="1:1" ht="15.75" x14ac:dyDescent="0.25">
      <c r="A535" s="663"/>
    </row>
    <row r="536" spans="1:1" ht="15.75" x14ac:dyDescent="0.25">
      <c r="A536" s="663"/>
    </row>
    <row r="537" spans="1:1" ht="15.75" x14ac:dyDescent="0.25">
      <c r="A537" s="663"/>
    </row>
    <row r="538" spans="1:1" ht="15.75" x14ac:dyDescent="0.25">
      <c r="A538" s="663"/>
    </row>
    <row r="539" spans="1:1" ht="15.75" x14ac:dyDescent="0.25">
      <c r="A539" s="663"/>
    </row>
    <row r="540" spans="1:1" ht="15.75" x14ac:dyDescent="0.25">
      <c r="A540" s="663"/>
    </row>
    <row r="541" spans="1:1" ht="15.75" x14ac:dyDescent="0.25">
      <c r="A541" s="663"/>
    </row>
    <row r="542" spans="1:1" ht="15.75" x14ac:dyDescent="0.25">
      <c r="A542" s="663"/>
    </row>
    <row r="543" spans="1:1" ht="15.75" x14ac:dyDescent="0.25">
      <c r="A543" s="663"/>
    </row>
    <row r="544" spans="1:1" ht="15.75" x14ac:dyDescent="0.25">
      <c r="A544" s="663"/>
    </row>
    <row r="545" spans="1:1" ht="15.75" x14ac:dyDescent="0.25">
      <c r="A545" s="663"/>
    </row>
    <row r="546" spans="1:1" ht="15.75" x14ac:dyDescent="0.25">
      <c r="A546" s="663"/>
    </row>
    <row r="547" spans="1:1" ht="15.75" x14ac:dyDescent="0.25">
      <c r="A547" s="663"/>
    </row>
    <row r="548" spans="1:1" ht="15.75" x14ac:dyDescent="0.25">
      <c r="A548" s="663"/>
    </row>
    <row r="549" spans="1:1" ht="15.75" x14ac:dyDescent="0.25">
      <c r="A549" s="663"/>
    </row>
    <row r="550" spans="1:1" ht="15.75" x14ac:dyDescent="0.25">
      <c r="A550" s="663"/>
    </row>
    <row r="551" spans="1:1" ht="15.75" x14ac:dyDescent="0.25">
      <c r="A551" s="663"/>
    </row>
    <row r="552" spans="1:1" ht="15.75" x14ac:dyDescent="0.25">
      <c r="A552" s="663"/>
    </row>
    <row r="553" spans="1:1" ht="15.75" x14ac:dyDescent="0.25">
      <c r="A553" s="663"/>
    </row>
    <row r="554" spans="1:1" ht="15.75" x14ac:dyDescent="0.25">
      <c r="A554" s="663"/>
    </row>
    <row r="555" spans="1:1" ht="15.75" x14ac:dyDescent="0.25">
      <c r="A555" s="663"/>
    </row>
    <row r="556" spans="1:1" ht="15.75" x14ac:dyDescent="0.25">
      <c r="A556" s="663"/>
    </row>
    <row r="557" spans="1:1" ht="15.75" x14ac:dyDescent="0.25">
      <c r="A557" s="663"/>
    </row>
    <row r="558" spans="1:1" ht="15.75" x14ac:dyDescent="0.25">
      <c r="A558" s="663"/>
    </row>
    <row r="559" spans="1:1" ht="15.75" x14ac:dyDescent="0.25">
      <c r="A559" s="663"/>
    </row>
    <row r="560" spans="1:1" ht="15.75" x14ac:dyDescent="0.25">
      <c r="A560" s="663"/>
    </row>
    <row r="561" spans="1:1" ht="15.75" x14ac:dyDescent="0.25">
      <c r="A561" s="663"/>
    </row>
    <row r="562" spans="1:1" ht="15.75" x14ac:dyDescent="0.25">
      <c r="A562" s="663"/>
    </row>
    <row r="563" spans="1:1" ht="15.75" x14ac:dyDescent="0.25">
      <c r="A563" s="663"/>
    </row>
    <row r="564" spans="1:1" ht="15.75" x14ac:dyDescent="0.25">
      <c r="A564" s="663"/>
    </row>
    <row r="565" spans="1:1" ht="15.75" x14ac:dyDescent="0.25">
      <c r="A565" s="663"/>
    </row>
    <row r="566" spans="1:1" ht="15.75" x14ac:dyDescent="0.25">
      <c r="A566" s="663"/>
    </row>
    <row r="567" spans="1:1" ht="15.75" x14ac:dyDescent="0.25">
      <c r="A567" s="663"/>
    </row>
    <row r="568" spans="1:1" ht="15.75" x14ac:dyDescent="0.25">
      <c r="A568" s="663"/>
    </row>
    <row r="569" spans="1:1" ht="15.75" x14ac:dyDescent="0.25">
      <c r="A569" s="663"/>
    </row>
    <row r="570" spans="1:1" ht="15.75" x14ac:dyDescent="0.25">
      <c r="A570" s="663"/>
    </row>
    <row r="571" spans="1:1" ht="15.75" x14ac:dyDescent="0.25">
      <c r="A571" s="663"/>
    </row>
    <row r="572" spans="1:1" ht="15.75" x14ac:dyDescent="0.25">
      <c r="A572" s="663"/>
    </row>
    <row r="573" spans="1:1" ht="15.75" x14ac:dyDescent="0.25">
      <c r="A573" s="663"/>
    </row>
    <row r="574" spans="1:1" ht="15.75" x14ac:dyDescent="0.25">
      <c r="A574" s="663"/>
    </row>
    <row r="575" spans="1:1" ht="15.75" x14ac:dyDescent="0.25">
      <c r="A575" s="663"/>
    </row>
    <row r="576" spans="1:1" ht="15.75" x14ac:dyDescent="0.25">
      <c r="A576" s="663"/>
    </row>
    <row r="577" spans="1:1" ht="15.75" x14ac:dyDescent="0.25">
      <c r="A577" s="663"/>
    </row>
    <row r="578" spans="1:1" ht="15.75" x14ac:dyDescent="0.25">
      <c r="A578" s="663"/>
    </row>
    <row r="579" spans="1:1" ht="15.75" x14ac:dyDescent="0.25">
      <c r="A579" s="663"/>
    </row>
    <row r="580" spans="1:1" ht="15.75" x14ac:dyDescent="0.25">
      <c r="A580" s="663"/>
    </row>
    <row r="581" spans="1:1" ht="15.75" x14ac:dyDescent="0.25">
      <c r="A581" s="663"/>
    </row>
    <row r="582" spans="1:1" ht="15.75" x14ac:dyDescent="0.25">
      <c r="A582" s="663"/>
    </row>
    <row r="583" spans="1:1" ht="15.75" x14ac:dyDescent="0.25">
      <c r="A583" s="663"/>
    </row>
    <row r="584" spans="1:1" ht="15.75" x14ac:dyDescent="0.25">
      <c r="A584" s="663"/>
    </row>
    <row r="585" spans="1:1" ht="15.75" x14ac:dyDescent="0.25">
      <c r="A585" s="663"/>
    </row>
    <row r="586" spans="1:1" ht="15.75" x14ac:dyDescent="0.25">
      <c r="A586" s="663"/>
    </row>
    <row r="587" spans="1:1" ht="15.75" x14ac:dyDescent="0.25">
      <c r="A587" s="663"/>
    </row>
    <row r="588" spans="1:1" ht="15.75" x14ac:dyDescent="0.25">
      <c r="A588" s="663"/>
    </row>
    <row r="589" spans="1:1" ht="15.75" x14ac:dyDescent="0.25">
      <c r="A589" s="663"/>
    </row>
    <row r="590" spans="1:1" ht="15.75" x14ac:dyDescent="0.25">
      <c r="A590" s="663"/>
    </row>
    <row r="591" spans="1:1" ht="15.75" x14ac:dyDescent="0.25">
      <c r="A591" s="663"/>
    </row>
    <row r="592" spans="1:1" ht="15.75" x14ac:dyDescent="0.25">
      <c r="A592" s="663"/>
    </row>
    <row r="593" spans="1:1" ht="15.75" x14ac:dyDescent="0.25">
      <c r="A593" s="663"/>
    </row>
    <row r="594" spans="1:1" ht="15.75" x14ac:dyDescent="0.25">
      <c r="A594" s="663"/>
    </row>
    <row r="595" spans="1:1" ht="15.75" x14ac:dyDescent="0.25">
      <c r="A595" s="663"/>
    </row>
    <row r="596" spans="1:1" ht="15.75" x14ac:dyDescent="0.25">
      <c r="A596" s="663"/>
    </row>
    <row r="597" spans="1:1" ht="15.75" x14ac:dyDescent="0.25">
      <c r="A597" s="663"/>
    </row>
    <row r="598" spans="1:1" ht="15.75" x14ac:dyDescent="0.25">
      <c r="A598" s="663"/>
    </row>
    <row r="599" spans="1:1" ht="15.75" x14ac:dyDescent="0.25">
      <c r="A599" s="663"/>
    </row>
    <row r="600" spans="1:1" ht="15.75" x14ac:dyDescent="0.25">
      <c r="A600" s="663"/>
    </row>
    <row r="601" spans="1:1" ht="15.75" x14ac:dyDescent="0.25">
      <c r="A601" s="663"/>
    </row>
    <row r="602" spans="1:1" ht="15.75" x14ac:dyDescent="0.25">
      <c r="A602" s="663"/>
    </row>
    <row r="603" spans="1:1" ht="15.75" x14ac:dyDescent="0.25">
      <c r="A603" s="663"/>
    </row>
    <row r="604" spans="1:1" ht="15.75" x14ac:dyDescent="0.25">
      <c r="A604" s="663"/>
    </row>
    <row r="605" spans="1:1" ht="15.75" x14ac:dyDescent="0.25">
      <c r="A605" s="663"/>
    </row>
    <row r="606" spans="1:1" ht="15.75" x14ac:dyDescent="0.25">
      <c r="A606" s="663"/>
    </row>
    <row r="607" spans="1:1" ht="15.75" x14ac:dyDescent="0.25">
      <c r="A607" s="663"/>
    </row>
    <row r="608" spans="1:1" ht="15.75" x14ac:dyDescent="0.25">
      <c r="A608" s="663"/>
    </row>
    <row r="609" spans="1:1" ht="15.75" x14ac:dyDescent="0.25">
      <c r="A609" s="663"/>
    </row>
    <row r="610" spans="1:1" ht="15.75" x14ac:dyDescent="0.25">
      <c r="A610" s="663"/>
    </row>
    <row r="611" spans="1:1" ht="15.75" x14ac:dyDescent="0.25">
      <c r="A611" s="663"/>
    </row>
    <row r="612" spans="1:1" ht="15.75" x14ac:dyDescent="0.25">
      <c r="A612" s="663"/>
    </row>
    <row r="613" spans="1:1" ht="15.75" x14ac:dyDescent="0.25">
      <c r="A613" s="663"/>
    </row>
    <row r="614" spans="1:1" ht="15.75" x14ac:dyDescent="0.25">
      <c r="A614" s="663"/>
    </row>
    <row r="615" spans="1:1" ht="15.75" x14ac:dyDescent="0.25">
      <c r="A615" s="663"/>
    </row>
    <row r="616" spans="1:1" ht="15.75" x14ac:dyDescent="0.25">
      <c r="A616" s="663"/>
    </row>
    <row r="617" spans="1:1" ht="15.75" x14ac:dyDescent="0.25">
      <c r="A617" s="663"/>
    </row>
    <row r="618" spans="1:1" ht="15.75" x14ac:dyDescent="0.25">
      <c r="A618" s="663"/>
    </row>
    <row r="619" spans="1:1" ht="15.75" x14ac:dyDescent="0.25">
      <c r="A619" s="663"/>
    </row>
    <row r="620" spans="1:1" ht="15.75" x14ac:dyDescent="0.25">
      <c r="A620" s="663"/>
    </row>
    <row r="621" spans="1:1" ht="15.75" x14ac:dyDescent="0.25">
      <c r="A621" s="663"/>
    </row>
    <row r="622" spans="1:1" ht="15.75" x14ac:dyDescent="0.25">
      <c r="A622" s="663"/>
    </row>
    <row r="623" spans="1:1" ht="15.75" x14ac:dyDescent="0.25">
      <c r="A623" s="663"/>
    </row>
    <row r="624" spans="1:1" ht="15.75" x14ac:dyDescent="0.25">
      <c r="A624" s="663"/>
    </row>
    <row r="625" spans="1:1" ht="15.75" x14ac:dyDescent="0.25">
      <c r="A625" s="663"/>
    </row>
    <row r="626" spans="1:1" ht="15.75" x14ac:dyDescent="0.25">
      <c r="A626" s="663"/>
    </row>
    <row r="627" spans="1:1" ht="15.75" x14ac:dyDescent="0.25">
      <c r="A627" s="663"/>
    </row>
    <row r="628" spans="1:1" ht="15.75" x14ac:dyDescent="0.25">
      <c r="A628" s="663"/>
    </row>
    <row r="629" spans="1:1" ht="15.75" x14ac:dyDescent="0.25">
      <c r="A629" s="663"/>
    </row>
    <row r="630" spans="1:1" ht="15.75" x14ac:dyDescent="0.25">
      <c r="A630" s="663"/>
    </row>
    <row r="631" spans="1:1" ht="15.75" x14ac:dyDescent="0.25">
      <c r="A631" s="663"/>
    </row>
    <row r="632" spans="1:1" ht="15.75" x14ac:dyDescent="0.25">
      <c r="A632" s="663"/>
    </row>
    <row r="633" spans="1:1" ht="15.75" x14ac:dyDescent="0.25">
      <c r="A633" s="663"/>
    </row>
    <row r="634" spans="1:1" ht="15.75" x14ac:dyDescent="0.25">
      <c r="A634" s="663"/>
    </row>
    <row r="635" spans="1:1" ht="15.75" x14ac:dyDescent="0.25">
      <c r="A635" s="663"/>
    </row>
    <row r="636" spans="1:1" ht="15.75" x14ac:dyDescent="0.25">
      <c r="A636" s="663"/>
    </row>
    <row r="637" spans="1:1" ht="15.75" x14ac:dyDescent="0.25">
      <c r="A637" s="663"/>
    </row>
    <row r="638" spans="1:1" ht="15.75" x14ac:dyDescent="0.25">
      <c r="A638" s="663"/>
    </row>
    <row r="639" spans="1:1" ht="15.75" x14ac:dyDescent="0.25">
      <c r="A639" s="663"/>
    </row>
    <row r="640" spans="1:1" ht="15.75" x14ac:dyDescent="0.25">
      <c r="A640" s="663"/>
    </row>
    <row r="641" spans="1:1" ht="15.75" x14ac:dyDescent="0.25">
      <c r="A641" s="663"/>
    </row>
    <row r="642" spans="1:1" ht="15.75" x14ac:dyDescent="0.25">
      <c r="A642" s="663"/>
    </row>
    <row r="643" spans="1:1" ht="15.75" x14ac:dyDescent="0.25">
      <c r="A643" s="663"/>
    </row>
    <row r="644" spans="1:1" ht="15.75" x14ac:dyDescent="0.25">
      <c r="A644" s="663"/>
    </row>
    <row r="645" spans="1:1" ht="15.75" x14ac:dyDescent="0.25">
      <c r="A645" s="663"/>
    </row>
    <row r="646" spans="1:1" ht="15.75" x14ac:dyDescent="0.25">
      <c r="A646" s="663"/>
    </row>
    <row r="647" spans="1:1" ht="15.75" x14ac:dyDescent="0.25">
      <c r="A647" s="663"/>
    </row>
    <row r="648" spans="1:1" ht="15.75" x14ac:dyDescent="0.25">
      <c r="A648" s="663"/>
    </row>
    <row r="649" spans="1:1" ht="15.75" x14ac:dyDescent="0.25">
      <c r="A649" s="663"/>
    </row>
    <row r="650" spans="1:1" ht="15.75" x14ac:dyDescent="0.25">
      <c r="A650" s="663"/>
    </row>
    <row r="651" spans="1:1" ht="15.75" x14ac:dyDescent="0.25">
      <c r="A651" s="663"/>
    </row>
    <row r="652" spans="1:1" ht="15.75" x14ac:dyDescent="0.25">
      <c r="A652" s="663"/>
    </row>
    <row r="653" spans="1:1" ht="15.75" x14ac:dyDescent="0.25">
      <c r="A653" s="663"/>
    </row>
    <row r="654" spans="1:1" ht="15.75" x14ac:dyDescent="0.25">
      <c r="A654" s="663"/>
    </row>
    <row r="655" spans="1:1" ht="15.75" x14ac:dyDescent="0.25">
      <c r="A655" s="663"/>
    </row>
    <row r="656" spans="1:1" ht="15.75" x14ac:dyDescent="0.25">
      <c r="A656" s="663"/>
    </row>
    <row r="657" spans="1:1" ht="15.75" x14ac:dyDescent="0.25">
      <c r="A657" s="663"/>
    </row>
    <row r="658" spans="1:1" ht="15.75" x14ac:dyDescent="0.25">
      <c r="A658" s="663"/>
    </row>
    <row r="659" spans="1:1" ht="15.75" x14ac:dyDescent="0.25">
      <c r="A659" s="663"/>
    </row>
    <row r="660" spans="1:1" ht="15.75" x14ac:dyDescent="0.25">
      <c r="A660" s="663"/>
    </row>
    <row r="661" spans="1:1" ht="15.75" x14ac:dyDescent="0.25">
      <c r="A661" s="663"/>
    </row>
    <row r="662" spans="1:1" ht="15.75" x14ac:dyDescent="0.25">
      <c r="A662" s="663"/>
    </row>
    <row r="663" spans="1:1" ht="15.75" x14ac:dyDescent="0.25">
      <c r="A663" s="663"/>
    </row>
    <row r="664" spans="1:1" ht="15.75" x14ac:dyDescent="0.25">
      <c r="A664" s="663"/>
    </row>
    <row r="665" spans="1:1" ht="15.75" x14ac:dyDescent="0.25">
      <c r="A665" s="663"/>
    </row>
    <row r="666" spans="1:1" ht="15.75" x14ac:dyDescent="0.25">
      <c r="A666" s="663"/>
    </row>
    <row r="667" spans="1:1" ht="15.75" x14ac:dyDescent="0.25">
      <c r="A667" s="663"/>
    </row>
    <row r="668" spans="1:1" ht="15.75" x14ac:dyDescent="0.25">
      <c r="A668" s="663"/>
    </row>
    <row r="669" spans="1:1" ht="15.75" x14ac:dyDescent="0.25">
      <c r="A669" s="663"/>
    </row>
    <row r="670" spans="1:1" ht="15.75" x14ac:dyDescent="0.25">
      <c r="A670" s="663"/>
    </row>
    <row r="671" spans="1:1" ht="15.75" x14ac:dyDescent="0.25">
      <c r="A671" s="663"/>
    </row>
    <row r="672" spans="1:1" ht="15.75" x14ac:dyDescent="0.25">
      <c r="A672" s="663"/>
    </row>
    <row r="673" spans="1:1" ht="15.75" x14ac:dyDescent="0.25">
      <c r="A673" s="663"/>
    </row>
    <row r="674" spans="1:1" ht="15.75" x14ac:dyDescent="0.25">
      <c r="A674" s="663"/>
    </row>
    <row r="675" spans="1:1" ht="15.75" x14ac:dyDescent="0.25">
      <c r="A675" s="663"/>
    </row>
    <row r="676" spans="1:1" ht="15.75" x14ac:dyDescent="0.25">
      <c r="A676" s="663"/>
    </row>
    <row r="677" spans="1:1" ht="15.75" x14ac:dyDescent="0.25">
      <c r="A677" s="663"/>
    </row>
    <row r="678" spans="1:1" ht="15.75" x14ac:dyDescent="0.25">
      <c r="A678" s="663"/>
    </row>
    <row r="679" spans="1:1" ht="15.75" x14ac:dyDescent="0.25">
      <c r="A679" s="663"/>
    </row>
    <row r="680" spans="1:1" ht="15.75" x14ac:dyDescent="0.25">
      <c r="A680" s="663"/>
    </row>
    <row r="681" spans="1:1" ht="15.75" x14ac:dyDescent="0.25">
      <c r="A681" s="663"/>
    </row>
    <row r="682" spans="1:1" ht="15.75" x14ac:dyDescent="0.25">
      <c r="A682" s="663"/>
    </row>
    <row r="683" spans="1:1" ht="15.75" x14ac:dyDescent="0.25">
      <c r="A683" s="663"/>
    </row>
    <row r="684" spans="1:1" ht="15.75" x14ac:dyDescent="0.25">
      <c r="A684" s="663"/>
    </row>
    <row r="685" spans="1:1" ht="15.75" x14ac:dyDescent="0.25">
      <c r="A685" s="663"/>
    </row>
    <row r="686" spans="1:1" ht="15.75" x14ac:dyDescent="0.25">
      <c r="A686" s="663"/>
    </row>
    <row r="687" spans="1:1" ht="15.75" x14ac:dyDescent="0.25">
      <c r="A687" s="663"/>
    </row>
    <row r="688" spans="1:1" ht="15.75" x14ac:dyDescent="0.25">
      <c r="A688" s="663"/>
    </row>
    <row r="689" spans="1:1" ht="15.75" x14ac:dyDescent="0.25">
      <c r="A689" s="663"/>
    </row>
    <row r="690" spans="1:1" ht="15.75" x14ac:dyDescent="0.25">
      <c r="A690" s="663"/>
    </row>
    <row r="691" spans="1:1" ht="15.75" x14ac:dyDescent="0.25">
      <c r="A691" s="663"/>
    </row>
    <row r="692" spans="1:1" ht="15.75" x14ac:dyDescent="0.25">
      <c r="A692" s="663"/>
    </row>
    <row r="693" spans="1:1" ht="15.75" x14ac:dyDescent="0.25">
      <c r="A693" s="663"/>
    </row>
    <row r="694" spans="1:1" ht="15.75" x14ac:dyDescent="0.25">
      <c r="A694" s="663"/>
    </row>
    <row r="695" spans="1:1" ht="15.75" x14ac:dyDescent="0.25">
      <c r="A695" s="663"/>
    </row>
    <row r="696" spans="1:1" ht="15.75" x14ac:dyDescent="0.25">
      <c r="A696" s="663"/>
    </row>
    <row r="697" spans="1:1" ht="15.75" x14ac:dyDescent="0.25">
      <c r="A697" s="663"/>
    </row>
    <row r="698" spans="1:1" ht="15.75" x14ac:dyDescent="0.25">
      <c r="A698" s="663"/>
    </row>
    <row r="699" spans="1:1" ht="15.75" x14ac:dyDescent="0.25">
      <c r="A699" s="663"/>
    </row>
    <row r="700" spans="1:1" ht="15.75" x14ac:dyDescent="0.25">
      <c r="A700" s="663"/>
    </row>
    <row r="701" spans="1:1" ht="15.75" x14ac:dyDescent="0.25">
      <c r="A701" s="663"/>
    </row>
    <row r="702" spans="1:1" ht="15.75" x14ac:dyDescent="0.25">
      <c r="A702" s="663"/>
    </row>
    <row r="703" spans="1:1" ht="15.75" x14ac:dyDescent="0.25">
      <c r="A703" s="663"/>
    </row>
    <row r="704" spans="1:1" ht="15.75" x14ac:dyDescent="0.25">
      <c r="A704" s="663"/>
    </row>
    <row r="705" spans="1:1" ht="15.75" x14ac:dyDescent="0.25">
      <c r="A705" s="663"/>
    </row>
    <row r="706" spans="1:1" ht="15.75" x14ac:dyDescent="0.25">
      <c r="A706" s="663"/>
    </row>
    <row r="707" spans="1:1" ht="15.75" x14ac:dyDescent="0.25">
      <c r="A707" s="663"/>
    </row>
    <row r="708" spans="1:1" ht="15.75" x14ac:dyDescent="0.25">
      <c r="A708" s="663"/>
    </row>
    <row r="709" spans="1:1" ht="15.75" x14ac:dyDescent="0.25">
      <c r="A709" s="663"/>
    </row>
    <row r="710" spans="1:1" ht="15.75" x14ac:dyDescent="0.25">
      <c r="A710" s="663"/>
    </row>
    <row r="711" spans="1:1" ht="15.75" x14ac:dyDescent="0.25">
      <c r="A711" s="663"/>
    </row>
    <row r="712" spans="1:1" ht="15.75" x14ac:dyDescent="0.25">
      <c r="A712" s="663"/>
    </row>
    <row r="713" spans="1:1" ht="15.75" x14ac:dyDescent="0.25">
      <c r="A713" s="663"/>
    </row>
    <row r="714" spans="1:1" ht="15.75" x14ac:dyDescent="0.25">
      <c r="A714" s="663"/>
    </row>
    <row r="715" spans="1:1" ht="15.75" x14ac:dyDescent="0.25">
      <c r="A715" s="663"/>
    </row>
    <row r="716" spans="1:1" ht="15.75" x14ac:dyDescent="0.25">
      <c r="A716" s="663"/>
    </row>
    <row r="717" spans="1:1" ht="15.75" x14ac:dyDescent="0.25">
      <c r="A717" s="663"/>
    </row>
    <row r="718" spans="1:1" ht="15.75" x14ac:dyDescent="0.25">
      <c r="A718" s="663"/>
    </row>
    <row r="719" spans="1:1" ht="15.75" x14ac:dyDescent="0.25">
      <c r="A719" s="663"/>
    </row>
    <row r="720" spans="1:1" ht="15.75" x14ac:dyDescent="0.25">
      <c r="A720" s="663"/>
    </row>
    <row r="721" spans="1:1" ht="15.75" x14ac:dyDescent="0.25">
      <c r="A721" s="663"/>
    </row>
    <row r="722" spans="1:1" ht="15.75" x14ac:dyDescent="0.25">
      <c r="A722" s="663"/>
    </row>
    <row r="723" spans="1:1" ht="15.75" x14ac:dyDescent="0.25">
      <c r="A723" s="663"/>
    </row>
    <row r="724" spans="1:1" ht="15.75" x14ac:dyDescent="0.25">
      <c r="A724" s="663"/>
    </row>
    <row r="725" spans="1:1" ht="15.75" x14ac:dyDescent="0.25">
      <c r="A725" s="663"/>
    </row>
    <row r="726" spans="1:1" ht="15.75" x14ac:dyDescent="0.25">
      <c r="A726" s="663"/>
    </row>
    <row r="727" spans="1:1" ht="15.75" x14ac:dyDescent="0.25">
      <c r="A727" s="663"/>
    </row>
    <row r="728" spans="1:1" ht="15.75" x14ac:dyDescent="0.25">
      <c r="A728" s="663"/>
    </row>
    <row r="729" spans="1:1" ht="15.75" x14ac:dyDescent="0.25">
      <c r="A729" s="663"/>
    </row>
    <row r="730" spans="1:1" ht="15.75" x14ac:dyDescent="0.25">
      <c r="A730" s="663"/>
    </row>
    <row r="731" spans="1:1" ht="15.75" x14ac:dyDescent="0.25">
      <c r="A731" s="663"/>
    </row>
    <row r="732" spans="1:1" ht="15.75" x14ac:dyDescent="0.25">
      <c r="A732" s="663"/>
    </row>
    <row r="733" spans="1:1" ht="15.75" x14ac:dyDescent="0.25">
      <c r="A733" s="663"/>
    </row>
    <row r="734" spans="1:1" ht="15.75" x14ac:dyDescent="0.25">
      <c r="A734" s="663"/>
    </row>
    <row r="735" spans="1:1" ht="15.75" x14ac:dyDescent="0.25">
      <c r="A735" s="663"/>
    </row>
    <row r="736" spans="1:1" ht="15.75" x14ac:dyDescent="0.25">
      <c r="A736" s="663"/>
    </row>
    <row r="737" spans="1:1" ht="15.75" x14ac:dyDescent="0.25">
      <c r="A737" s="663"/>
    </row>
    <row r="738" spans="1:1" ht="15.75" x14ac:dyDescent="0.25">
      <c r="A738" s="663"/>
    </row>
    <row r="739" spans="1:1" ht="15.75" x14ac:dyDescent="0.25">
      <c r="A739" s="663"/>
    </row>
    <row r="740" spans="1:1" ht="15.75" x14ac:dyDescent="0.25">
      <c r="A740" s="663"/>
    </row>
    <row r="741" spans="1:1" ht="15.75" x14ac:dyDescent="0.25">
      <c r="A741" s="663"/>
    </row>
    <row r="742" spans="1:1" ht="15.75" x14ac:dyDescent="0.25">
      <c r="A742" s="663"/>
    </row>
    <row r="743" spans="1:1" ht="15.75" x14ac:dyDescent="0.25">
      <c r="A743" s="663"/>
    </row>
    <row r="744" spans="1:1" ht="15.75" x14ac:dyDescent="0.25">
      <c r="A744" s="663"/>
    </row>
    <row r="745" spans="1:1" ht="15.75" x14ac:dyDescent="0.25">
      <c r="A745" s="663"/>
    </row>
    <row r="746" spans="1:1" ht="15.75" x14ac:dyDescent="0.25">
      <c r="A746" s="663"/>
    </row>
    <row r="747" spans="1:1" ht="15.75" x14ac:dyDescent="0.25">
      <c r="A747" s="663"/>
    </row>
    <row r="748" spans="1:1" ht="15.75" x14ac:dyDescent="0.25">
      <c r="A748" s="663"/>
    </row>
    <row r="749" spans="1:1" ht="15.75" x14ac:dyDescent="0.25">
      <c r="A749" s="663"/>
    </row>
    <row r="750" spans="1:1" ht="15.75" x14ac:dyDescent="0.25">
      <c r="A750" s="663"/>
    </row>
    <row r="751" spans="1:1" ht="15.75" x14ac:dyDescent="0.25">
      <c r="A751" s="663"/>
    </row>
    <row r="752" spans="1:1" ht="15.75" x14ac:dyDescent="0.25">
      <c r="A752" s="663"/>
    </row>
    <row r="753" spans="1:1" ht="15.75" x14ac:dyDescent="0.25">
      <c r="A753" s="663"/>
    </row>
    <row r="754" spans="1:1" ht="15.75" x14ac:dyDescent="0.25">
      <c r="A754" s="663"/>
    </row>
    <row r="755" spans="1:1" ht="15.75" x14ac:dyDescent="0.25">
      <c r="A755" s="663"/>
    </row>
    <row r="756" spans="1:1" ht="15.75" x14ac:dyDescent="0.25">
      <c r="A756" s="663"/>
    </row>
    <row r="757" spans="1:1" ht="15.75" x14ac:dyDescent="0.25">
      <c r="A757" s="663"/>
    </row>
    <row r="758" spans="1:1" ht="15.75" x14ac:dyDescent="0.25">
      <c r="A758" s="663"/>
    </row>
    <row r="759" spans="1:1" ht="15.75" x14ac:dyDescent="0.25">
      <c r="A759" s="663"/>
    </row>
    <row r="760" spans="1:1" ht="15.75" x14ac:dyDescent="0.25">
      <c r="A760" s="663"/>
    </row>
    <row r="761" spans="1:1" ht="15.75" x14ac:dyDescent="0.25">
      <c r="A761" s="663"/>
    </row>
    <row r="762" spans="1:1" ht="15.75" x14ac:dyDescent="0.25">
      <c r="A762" s="663"/>
    </row>
    <row r="763" spans="1:1" ht="15.75" x14ac:dyDescent="0.25">
      <c r="A763" s="663"/>
    </row>
    <row r="764" spans="1:1" ht="15.75" x14ac:dyDescent="0.25">
      <c r="A764" s="663"/>
    </row>
    <row r="765" spans="1:1" ht="15.75" x14ac:dyDescent="0.25">
      <c r="A765" s="663"/>
    </row>
    <row r="766" spans="1:1" ht="15.75" x14ac:dyDescent="0.25">
      <c r="A766" s="663"/>
    </row>
    <row r="767" spans="1:1" ht="15.75" x14ac:dyDescent="0.25">
      <c r="A767" s="663"/>
    </row>
    <row r="768" spans="1:1" ht="15.75" x14ac:dyDescent="0.25">
      <c r="A768" s="663"/>
    </row>
    <row r="769" spans="1:1" ht="15.75" x14ac:dyDescent="0.25">
      <c r="A769" s="663"/>
    </row>
    <row r="770" spans="1:1" ht="15.75" x14ac:dyDescent="0.25">
      <c r="A770" s="663"/>
    </row>
    <row r="771" spans="1:1" ht="15.75" x14ac:dyDescent="0.25">
      <c r="A771" s="663"/>
    </row>
    <row r="772" spans="1:1" ht="15.75" x14ac:dyDescent="0.25">
      <c r="A772" s="663"/>
    </row>
    <row r="773" spans="1:1" ht="15.75" x14ac:dyDescent="0.25">
      <c r="A773" s="663"/>
    </row>
    <row r="774" spans="1:1" ht="15.75" x14ac:dyDescent="0.25">
      <c r="A774" s="663"/>
    </row>
    <row r="775" spans="1:1" ht="15.75" x14ac:dyDescent="0.25">
      <c r="A775" s="663"/>
    </row>
    <row r="776" spans="1:1" ht="15.75" x14ac:dyDescent="0.25">
      <c r="A776" s="663"/>
    </row>
    <row r="777" spans="1:1" ht="15.75" x14ac:dyDescent="0.25">
      <c r="A777" s="663"/>
    </row>
    <row r="778" spans="1:1" ht="15.75" x14ac:dyDescent="0.25">
      <c r="A778" s="663"/>
    </row>
    <row r="779" spans="1:1" ht="15.75" x14ac:dyDescent="0.25">
      <c r="A779" s="663"/>
    </row>
    <row r="780" spans="1:1" ht="15.75" x14ac:dyDescent="0.25">
      <c r="A780" s="663"/>
    </row>
    <row r="781" spans="1:1" ht="15.75" x14ac:dyDescent="0.25">
      <c r="A781" s="663"/>
    </row>
    <row r="782" spans="1:1" ht="15.75" x14ac:dyDescent="0.25">
      <c r="A782" s="663"/>
    </row>
    <row r="783" spans="1:1" ht="15.75" x14ac:dyDescent="0.25">
      <c r="A783" s="663"/>
    </row>
    <row r="784" spans="1:1" ht="15.75" x14ac:dyDescent="0.25">
      <c r="A784" s="663"/>
    </row>
    <row r="785" spans="1:1" ht="15.75" x14ac:dyDescent="0.25">
      <c r="A785" s="663"/>
    </row>
    <row r="786" spans="1:1" ht="15.75" x14ac:dyDescent="0.25">
      <c r="A786" s="663"/>
    </row>
    <row r="787" spans="1:1" ht="15.75" x14ac:dyDescent="0.25">
      <c r="A787" s="663"/>
    </row>
    <row r="788" spans="1:1" ht="15.75" x14ac:dyDescent="0.25">
      <c r="A788" s="663"/>
    </row>
    <row r="789" spans="1:1" ht="15.75" x14ac:dyDescent="0.25">
      <c r="A789" s="663"/>
    </row>
    <row r="790" spans="1:1" ht="15.75" x14ac:dyDescent="0.25">
      <c r="A790" s="663"/>
    </row>
    <row r="791" spans="1:1" ht="15.75" x14ac:dyDescent="0.25">
      <c r="A791" s="663"/>
    </row>
    <row r="792" spans="1:1" ht="15.75" x14ac:dyDescent="0.25">
      <c r="A792" s="663"/>
    </row>
    <row r="793" spans="1:1" ht="15.75" x14ac:dyDescent="0.25">
      <c r="A793" s="663"/>
    </row>
    <row r="794" spans="1:1" ht="15.75" x14ac:dyDescent="0.25">
      <c r="A794" s="663"/>
    </row>
    <row r="795" spans="1:1" ht="15.75" x14ac:dyDescent="0.25">
      <c r="A795" s="663"/>
    </row>
    <row r="796" spans="1:1" ht="15.75" x14ac:dyDescent="0.25">
      <c r="A796" s="663"/>
    </row>
    <row r="797" spans="1:1" ht="15.75" x14ac:dyDescent="0.25">
      <c r="A797" s="663"/>
    </row>
    <row r="798" spans="1:1" ht="15.75" x14ac:dyDescent="0.25">
      <c r="A798" s="663"/>
    </row>
    <row r="799" spans="1:1" ht="15.75" x14ac:dyDescent="0.25">
      <c r="A799" s="663"/>
    </row>
    <row r="800" spans="1:1" ht="15.75" x14ac:dyDescent="0.25">
      <c r="A800" s="663"/>
    </row>
    <row r="801" spans="1:1" ht="15.75" x14ac:dyDescent="0.25">
      <c r="A801" s="663"/>
    </row>
    <row r="802" spans="1:1" ht="15.75" x14ac:dyDescent="0.25">
      <c r="A802" s="663"/>
    </row>
    <row r="803" spans="1:1" ht="15.75" x14ac:dyDescent="0.25">
      <c r="A803" s="663"/>
    </row>
    <row r="804" spans="1:1" ht="15.75" x14ac:dyDescent="0.25">
      <c r="A804" s="663"/>
    </row>
    <row r="805" spans="1:1" ht="15.75" x14ac:dyDescent="0.25">
      <c r="A805" s="663"/>
    </row>
    <row r="806" spans="1:1" ht="15.75" x14ac:dyDescent="0.25">
      <c r="A806" s="663"/>
    </row>
    <row r="807" spans="1:1" ht="15.75" x14ac:dyDescent="0.25">
      <c r="A807" s="663"/>
    </row>
    <row r="808" spans="1:1" ht="15.75" x14ac:dyDescent="0.25">
      <c r="A808" s="663"/>
    </row>
    <row r="809" spans="1:1" ht="15.75" x14ac:dyDescent="0.25">
      <c r="A809" s="663"/>
    </row>
    <row r="810" spans="1:1" ht="15.75" x14ac:dyDescent="0.25">
      <c r="A810" s="663"/>
    </row>
    <row r="811" spans="1:1" ht="15.75" x14ac:dyDescent="0.25">
      <c r="A811" s="663"/>
    </row>
    <row r="812" spans="1:1" ht="15.75" x14ac:dyDescent="0.25">
      <c r="A812" s="663"/>
    </row>
    <row r="813" spans="1:1" ht="15.75" x14ac:dyDescent="0.25">
      <c r="A813" s="663"/>
    </row>
    <row r="814" spans="1:1" ht="15.75" x14ac:dyDescent="0.25">
      <c r="A814" s="663"/>
    </row>
    <row r="815" spans="1:1" ht="15.75" x14ac:dyDescent="0.25">
      <c r="A815" s="663"/>
    </row>
    <row r="816" spans="1:1" ht="15.75" x14ac:dyDescent="0.25">
      <c r="A816" s="663"/>
    </row>
    <row r="817" spans="1:1" ht="15.75" x14ac:dyDescent="0.25">
      <c r="A817" s="663"/>
    </row>
    <row r="818" spans="1:1" ht="15.75" x14ac:dyDescent="0.25">
      <c r="A818" s="663"/>
    </row>
    <row r="819" spans="1:1" ht="15.75" x14ac:dyDescent="0.25">
      <c r="A819" s="663"/>
    </row>
    <row r="820" spans="1:1" ht="15.75" x14ac:dyDescent="0.25">
      <c r="A820" s="663"/>
    </row>
    <row r="821" spans="1:1" ht="15.75" x14ac:dyDescent="0.25">
      <c r="A821" s="663"/>
    </row>
    <row r="822" spans="1:1" ht="15.75" x14ac:dyDescent="0.25">
      <c r="A822" s="663"/>
    </row>
    <row r="823" spans="1:1" ht="15.75" x14ac:dyDescent="0.25">
      <c r="A823" s="663"/>
    </row>
    <row r="824" spans="1:1" ht="15.75" x14ac:dyDescent="0.25">
      <c r="A824" s="663"/>
    </row>
    <row r="825" spans="1:1" ht="15.75" x14ac:dyDescent="0.25">
      <c r="A825" s="663"/>
    </row>
    <row r="826" spans="1:1" ht="15.75" x14ac:dyDescent="0.25">
      <c r="A826" s="663"/>
    </row>
    <row r="827" spans="1:1" ht="15.75" x14ac:dyDescent="0.25">
      <c r="A827" s="663"/>
    </row>
    <row r="828" spans="1:1" ht="15.75" x14ac:dyDescent="0.25">
      <c r="A828" s="663"/>
    </row>
    <row r="829" spans="1:1" ht="15.75" x14ac:dyDescent="0.25">
      <c r="A829" s="663"/>
    </row>
    <row r="830" spans="1:1" ht="15.75" x14ac:dyDescent="0.25">
      <c r="A830" s="663"/>
    </row>
    <row r="831" spans="1:1" ht="15.75" x14ac:dyDescent="0.25">
      <c r="A831" s="663"/>
    </row>
    <row r="832" spans="1:1" ht="15.75" x14ac:dyDescent="0.25">
      <c r="A832" s="663"/>
    </row>
    <row r="833" spans="1:1" ht="15.75" x14ac:dyDescent="0.25">
      <c r="A833" s="663"/>
    </row>
    <row r="834" spans="1:1" ht="15.75" x14ac:dyDescent="0.25">
      <c r="A834" s="663"/>
    </row>
    <row r="835" spans="1:1" ht="15.75" x14ac:dyDescent="0.25">
      <c r="A835" s="663"/>
    </row>
    <row r="836" spans="1:1" ht="15.75" x14ac:dyDescent="0.25">
      <c r="A836" s="663"/>
    </row>
    <row r="837" spans="1:1" ht="15.75" x14ac:dyDescent="0.25">
      <c r="A837" s="663"/>
    </row>
    <row r="838" spans="1:1" ht="15.75" x14ac:dyDescent="0.25">
      <c r="A838" s="663"/>
    </row>
    <row r="839" spans="1:1" ht="15.75" x14ac:dyDescent="0.25">
      <c r="A839" s="663"/>
    </row>
    <row r="840" spans="1:1" ht="15.75" x14ac:dyDescent="0.25">
      <c r="A840" s="663"/>
    </row>
    <row r="841" spans="1:1" ht="15.75" x14ac:dyDescent="0.25">
      <c r="A841" s="663"/>
    </row>
    <row r="842" spans="1:1" ht="15.75" x14ac:dyDescent="0.25">
      <c r="A842" s="663"/>
    </row>
    <row r="843" spans="1:1" ht="15.75" x14ac:dyDescent="0.25">
      <c r="A843" s="663"/>
    </row>
    <row r="844" spans="1:1" ht="15.75" x14ac:dyDescent="0.25">
      <c r="A844" s="663"/>
    </row>
    <row r="845" spans="1:1" ht="15.75" x14ac:dyDescent="0.25">
      <c r="A845" s="663"/>
    </row>
    <row r="846" spans="1:1" ht="15.75" x14ac:dyDescent="0.25">
      <c r="A846" s="663"/>
    </row>
    <row r="847" spans="1:1" ht="15.75" x14ac:dyDescent="0.25">
      <c r="A847" s="663"/>
    </row>
    <row r="848" spans="1:1" ht="15.75" x14ac:dyDescent="0.25">
      <c r="A848" s="663"/>
    </row>
    <row r="849" spans="1:1" ht="15.75" x14ac:dyDescent="0.25">
      <c r="A849" s="663"/>
    </row>
    <row r="850" spans="1:1" ht="15.75" x14ac:dyDescent="0.25">
      <c r="A850" s="663"/>
    </row>
    <row r="851" spans="1:1" ht="15.75" x14ac:dyDescent="0.25">
      <c r="A851" s="663"/>
    </row>
    <row r="852" spans="1:1" ht="15.75" x14ac:dyDescent="0.25">
      <c r="A852" s="663"/>
    </row>
    <row r="853" spans="1:1" ht="15.75" x14ac:dyDescent="0.25">
      <c r="A853" s="663"/>
    </row>
    <row r="854" spans="1:1" ht="15.75" x14ac:dyDescent="0.25">
      <c r="A854" s="663"/>
    </row>
    <row r="855" spans="1:1" ht="15.75" x14ac:dyDescent="0.25">
      <c r="A855" s="663"/>
    </row>
    <row r="856" spans="1:1" ht="15.75" x14ac:dyDescent="0.25">
      <c r="A856" s="663"/>
    </row>
    <row r="857" spans="1:1" ht="15.75" x14ac:dyDescent="0.25">
      <c r="A857" s="663"/>
    </row>
    <row r="858" spans="1:1" ht="15.75" x14ac:dyDescent="0.25">
      <c r="A858" s="663"/>
    </row>
    <row r="859" spans="1:1" ht="15.75" x14ac:dyDescent="0.25">
      <c r="A859" s="663"/>
    </row>
    <row r="860" spans="1:1" ht="15.75" x14ac:dyDescent="0.25">
      <c r="A860" s="663"/>
    </row>
    <row r="861" spans="1:1" ht="15.75" x14ac:dyDescent="0.25">
      <c r="A861" s="663"/>
    </row>
    <row r="862" spans="1:1" ht="15.75" x14ac:dyDescent="0.25">
      <c r="A862" s="663"/>
    </row>
    <row r="863" spans="1:1" ht="15.75" x14ac:dyDescent="0.25">
      <c r="A863" s="663"/>
    </row>
    <row r="864" spans="1:1" ht="15.75" x14ac:dyDescent="0.25">
      <c r="A864" s="663"/>
    </row>
    <row r="865" spans="1:1" ht="15.75" x14ac:dyDescent="0.25">
      <c r="A865" s="663"/>
    </row>
    <row r="866" spans="1:1" ht="15.75" x14ac:dyDescent="0.25">
      <c r="A866" s="663"/>
    </row>
    <row r="867" spans="1:1" ht="15.75" x14ac:dyDescent="0.25">
      <c r="A867" s="663"/>
    </row>
    <row r="868" spans="1:1" ht="15.75" x14ac:dyDescent="0.25">
      <c r="A868" s="663"/>
    </row>
    <row r="869" spans="1:1" ht="15.75" x14ac:dyDescent="0.25">
      <c r="A869" s="663"/>
    </row>
    <row r="870" spans="1:1" ht="15.75" x14ac:dyDescent="0.25">
      <c r="A870" s="663"/>
    </row>
    <row r="871" spans="1:1" ht="15.75" x14ac:dyDescent="0.25">
      <c r="A871" s="663"/>
    </row>
    <row r="872" spans="1:1" ht="15.75" x14ac:dyDescent="0.25">
      <c r="A872" s="663"/>
    </row>
    <row r="873" spans="1:1" ht="15.75" x14ac:dyDescent="0.25">
      <c r="A873" s="663"/>
    </row>
    <row r="874" spans="1:1" ht="15.75" x14ac:dyDescent="0.25">
      <c r="A874" s="663"/>
    </row>
    <row r="875" spans="1:1" ht="15.75" x14ac:dyDescent="0.25">
      <c r="A875" s="663"/>
    </row>
    <row r="876" spans="1:1" ht="15.75" x14ac:dyDescent="0.25">
      <c r="A876" s="663"/>
    </row>
    <row r="877" spans="1:1" ht="15.75" x14ac:dyDescent="0.25">
      <c r="A877" s="663"/>
    </row>
    <row r="878" spans="1:1" ht="15.75" x14ac:dyDescent="0.25">
      <c r="A878" s="663"/>
    </row>
    <row r="879" spans="1:1" ht="15.75" x14ac:dyDescent="0.25">
      <c r="A879" s="663"/>
    </row>
    <row r="880" spans="1:1" ht="15.75" x14ac:dyDescent="0.25">
      <c r="A880" s="663"/>
    </row>
    <row r="881" spans="1:1" ht="15.75" x14ac:dyDescent="0.25">
      <c r="A881" s="663"/>
    </row>
    <row r="882" spans="1:1" ht="15.75" x14ac:dyDescent="0.25">
      <c r="A882" s="663"/>
    </row>
    <row r="883" spans="1:1" ht="15.75" x14ac:dyDescent="0.25">
      <c r="A883" s="663"/>
    </row>
    <row r="884" spans="1:1" ht="15.75" x14ac:dyDescent="0.25">
      <c r="A884" s="663"/>
    </row>
    <row r="885" spans="1:1" ht="15.75" x14ac:dyDescent="0.25">
      <c r="A885" s="663"/>
    </row>
    <row r="886" spans="1:1" ht="15.75" x14ac:dyDescent="0.25">
      <c r="A886" s="663"/>
    </row>
    <row r="887" spans="1:1" ht="15.75" x14ac:dyDescent="0.25">
      <c r="A887" s="663"/>
    </row>
    <row r="888" spans="1:1" ht="15.75" x14ac:dyDescent="0.25">
      <c r="A888" s="663"/>
    </row>
    <row r="889" spans="1:1" ht="15.75" x14ac:dyDescent="0.25">
      <c r="A889" s="663"/>
    </row>
    <row r="890" spans="1:1" ht="15.75" x14ac:dyDescent="0.25">
      <c r="A890" s="663"/>
    </row>
    <row r="891" spans="1:1" ht="15.75" x14ac:dyDescent="0.25">
      <c r="A891" s="663"/>
    </row>
    <row r="892" spans="1:1" ht="15.75" x14ac:dyDescent="0.25">
      <c r="A892" s="663"/>
    </row>
    <row r="893" spans="1:1" ht="15.75" x14ac:dyDescent="0.25">
      <c r="A893" s="663"/>
    </row>
    <row r="894" spans="1:1" ht="15.75" x14ac:dyDescent="0.25">
      <c r="A894" s="663"/>
    </row>
    <row r="895" spans="1:1" ht="15.75" x14ac:dyDescent="0.25">
      <c r="A895" s="663"/>
    </row>
    <row r="896" spans="1:1" ht="15.75" x14ac:dyDescent="0.25">
      <c r="A896" s="663"/>
    </row>
    <row r="897" spans="1:1" ht="15.75" x14ac:dyDescent="0.25">
      <c r="A897" s="663"/>
    </row>
    <row r="898" spans="1:1" ht="15.75" x14ac:dyDescent="0.25">
      <c r="A898" s="663"/>
    </row>
    <row r="899" spans="1:1" ht="15.75" x14ac:dyDescent="0.25">
      <c r="A899" s="663"/>
    </row>
    <row r="900" spans="1:1" ht="15.75" x14ac:dyDescent="0.25">
      <c r="A900" s="663"/>
    </row>
    <row r="901" spans="1:1" ht="15.75" x14ac:dyDescent="0.25">
      <c r="A901" s="663"/>
    </row>
    <row r="902" spans="1:1" ht="15.75" x14ac:dyDescent="0.25">
      <c r="A902" s="663"/>
    </row>
    <row r="903" spans="1:1" ht="15.75" x14ac:dyDescent="0.25">
      <c r="A903" s="663"/>
    </row>
    <row r="904" spans="1:1" ht="15.75" x14ac:dyDescent="0.25">
      <c r="A904" s="663"/>
    </row>
    <row r="905" spans="1:1" ht="15.75" x14ac:dyDescent="0.25">
      <c r="A905" s="663"/>
    </row>
    <row r="906" spans="1:1" ht="15.75" x14ac:dyDescent="0.25">
      <c r="A906" s="663"/>
    </row>
    <row r="907" spans="1:1" ht="15.75" x14ac:dyDescent="0.25">
      <c r="A907" s="663"/>
    </row>
    <row r="908" spans="1:1" ht="15.75" x14ac:dyDescent="0.25">
      <c r="A908" s="663"/>
    </row>
    <row r="909" spans="1:1" ht="15.75" x14ac:dyDescent="0.25">
      <c r="A909" s="663"/>
    </row>
    <row r="910" spans="1:1" ht="15.75" x14ac:dyDescent="0.25">
      <c r="A910" s="663"/>
    </row>
    <row r="911" spans="1:1" ht="15.75" x14ac:dyDescent="0.25">
      <c r="A911" s="663"/>
    </row>
    <row r="912" spans="1:1" ht="15.75" x14ac:dyDescent="0.25">
      <c r="A912" s="663"/>
    </row>
    <row r="913" spans="1:1" ht="15.75" x14ac:dyDescent="0.25">
      <c r="A913" s="663"/>
    </row>
    <row r="914" spans="1:1" ht="15.75" x14ac:dyDescent="0.25">
      <c r="A914" s="663"/>
    </row>
    <row r="915" spans="1:1" ht="15.75" x14ac:dyDescent="0.25">
      <c r="A915" s="663"/>
    </row>
    <row r="916" spans="1:1" ht="15.75" x14ac:dyDescent="0.25">
      <c r="A916" s="663"/>
    </row>
    <row r="917" spans="1:1" ht="15.75" x14ac:dyDescent="0.25">
      <c r="A917" s="663"/>
    </row>
    <row r="918" spans="1:1" ht="15.75" x14ac:dyDescent="0.25">
      <c r="A918" s="663"/>
    </row>
    <row r="919" spans="1:1" ht="15.75" x14ac:dyDescent="0.25">
      <c r="A919" s="663"/>
    </row>
    <row r="920" spans="1:1" ht="15.75" x14ac:dyDescent="0.25">
      <c r="A920" s="663"/>
    </row>
    <row r="921" spans="1:1" ht="15.75" x14ac:dyDescent="0.25">
      <c r="A921" s="663"/>
    </row>
    <row r="922" spans="1:1" ht="15.75" x14ac:dyDescent="0.25">
      <c r="A922" s="663"/>
    </row>
    <row r="923" spans="1:1" ht="15.75" x14ac:dyDescent="0.25">
      <c r="A923" s="663"/>
    </row>
    <row r="924" spans="1:1" ht="15.75" x14ac:dyDescent="0.25">
      <c r="A924" s="663"/>
    </row>
    <row r="925" spans="1:1" ht="15.75" x14ac:dyDescent="0.25">
      <c r="A925" s="663"/>
    </row>
    <row r="926" spans="1:1" ht="15.75" x14ac:dyDescent="0.25">
      <c r="A926" s="663"/>
    </row>
    <row r="927" spans="1:1" ht="15.75" x14ac:dyDescent="0.25">
      <c r="A927" s="663"/>
    </row>
    <row r="928" spans="1:1" ht="15.75" x14ac:dyDescent="0.25">
      <c r="A928" s="663"/>
    </row>
    <row r="929" spans="1:1" ht="15.75" x14ac:dyDescent="0.25">
      <c r="A929" s="663"/>
    </row>
    <row r="930" spans="1:1" ht="15.75" x14ac:dyDescent="0.25">
      <c r="A930" s="663"/>
    </row>
    <row r="931" spans="1:1" ht="15.75" x14ac:dyDescent="0.25">
      <c r="A931" s="663"/>
    </row>
    <row r="932" spans="1:1" ht="15.75" x14ac:dyDescent="0.25">
      <c r="A932" s="663"/>
    </row>
    <row r="933" spans="1:1" ht="15.75" x14ac:dyDescent="0.25">
      <c r="A933" s="663"/>
    </row>
    <row r="934" spans="1:1" ht="15.75" x14ac:dyDescent="0.25">
      <c r="A934" s="663"/>
    </row>
    <row r="935" spans="1:1" ht="15.75" x14ac:dyDescent="0.25">
      <c r="A935" s="663"/>
    </row>
    <row r="936" spans="1:1" ht="15.75" x14ac:dyDescent="0.25">
      <c r="A936" s="663"/>
    </row>
    <row r="937" spans="1:1" ht="15.75" x14ac:dyDescent="0.25">
      <c r="A937" s="663"/>
    </row>
    <row r="938" spans="1:1" ht="15.75" x14ac:dyDescent="0.25">
      <c r="A938" s="663"/>
    </row>
    <row r="939" spans="1:1" ht="15.75" x14ac:dyDescent="0.25">
      <c r="A939" s="663"/>
    </row>
    <row r="940" spans="1:1" ht="15.75" x14ac:dyDescent="0.25">
      <c r="A940" s="663"/>
    </row>
    <row r="941" spans="1:1" ht="15.75" x14ac:dyDescent="0.25">
      <c r="A941" s="663"/>
    </row>
    <row r="942" spans="1:1" ht="15.75" x14ac:dyDescent="0.25">
      <c r="A942" s="663"/>
    </row>
    <row r="943" spans="1:1" ht="15.75" x14ac:dyDescent="0.25">
      <c r="A943" s="663"/>
    </row>
    <row r="944" spans="1:1" ht="15.75" x14ac:dyDescent="0.25">
      <c r="A944" s="663"/>
    </row>
    <row r="945" spans="1:1" ht="15.75" x14ac:dyDescent="0.25">
      <c r="A945" s="663"/>
    </row>
    <row r="946" spans="1:1" ht="15.75" x14ac:dyDescent="0.25">
      <c r="A946" s="663"/>
    </row>
    <row r="947" spans="1:1" ht="15.75" x14ac:dyDescent="0.25">
      <c r="A947" s="663"/>
    </row>
    <row r="948" spans="1:1" ht="15.75" x14ac:dyDescent="0.25">
      <c r="A948" s="663"/>
    </row>
    <row r="949" spans="1:1" ht="15.75" x14ac:dyDescent="0.25">
      <c r="A949" s="663"/>
    </row>
    <row r="950" spans="1:1" ht="15.75" x14ac:dyDescent="0.25">
      <c r="A950" s="663"/>
    </row>
    <row r="951" spans="1:1" ht="15.75" x14ac:dyDescent="0.25">
      <c r="A951" s="663"/>
    </row>
    <row r="952" spans="1:1" ht="15.75" x14ac:dyDescent="0.25">
      <c r="A952" s="663"/>
    </row>
    <row r="953" spans="1:1" ht="15.75" x14ac:dyDescent="0.25">
      <c r="A953" s="663"/>
    </row>
    <row r="954" spans="1:1" ht="15.75" x14ac:dyDescent="0.25">
      <c r="A954" s="663"/>
    </row>
    <row r="955" spans="1:1" ht="15.75" x14ac:dyDescent="0.25">
      <c r="A955" s="663"/>
    </row>
    <row r="956" spans="1:1" ht="15.75" x14ac:dyDescent="0.25">
      <c r="A956" s="663"/>
    </row>
    <row r="957" spans="1:1" ht="15.75" x14ac:dyDescent="0.25">
      <c r="A957" s="663"/>
    </row>
    <row r="958" spans="1:1" ht="15.75" x14ac:dyDescent="0.25">
      <c r="A958" s="663"/>
    </row>
    <row r="959" spans="1:1" ht="15.75" x14ac:dyDescent="0.25">
      <c r="A959" s="663"/>
    </row>
    <row r="960" spans="1:1" ht="15.75" x14ac:dyDescent="0.25">
      <c r="A960" s="663"/>
    </row>
    <row r="961" spans="1:1" ht="15.75" x14ac:dyDescent="0.25">
      <c r="A961" s="663"/>
    </row>
    <row r="962" spans="1:1" ht="15.75" x14ac:dyDescent="0.25">
      <c r="A962" s="663"/>
    </row>
    <row r="963" spans="1:1" ht="15.75" x14ac:dyDescent="0.25">
      <c r="A963" s="663"/>
    </row>
    <row r="964" spans="1:1" ht="15.75" x14ac:dyDescent="0.25">
      <c r="A964" s="663"/>
    </row>
    <row r="965" spans="1:1" ht="15.75" x14ac:dyDescent="0.25">
      <c r="A965" s="663"/>
    </row>
    <row r="966" spans="1:1" ht="15.75" x14ac:dyDescent="0.25">
      <c r="A966" s="663"/>
    </row>
    <row r="967" spans="1:1" ht="15.75" x14ac:dyDescent="0.25">
      <c r="A967" s="663"/>
    </row>
    <row r="968" spans="1:1" ht="15.75" x14ac:dyDescent="0.25">
      <c r="A968" s="663"/>
    </row>
    <row r="969" spans="1:1" ht="15.75" x14ac:dyDescent="0.25">
      <c r="A969" s="663"/>
    </row>
    <row r="970" spans="1:1" ht="15.75" x14ac:dyDescent="0.25">
      <c r="A970" s="663"/>
    </row>
    <row r="971" spans="1:1" ht="15.75" x14ac:dyDescent="0.25">
      <c r="A971" s="663"/>
    </row>
    <row r="972" spans="1:1" ht="15.75" x14ac:dyDescent="0.25">
      <c r="A972" s="663"/>
    </row>
    <row r="973" spans="1:1" ht="15.75" x14ac:dyDescent="0.25">
      <c r="A973" s="663"/>
    </row>
    <row r="974" spans="1:1" ht="15.75" x14ac:dyDescent="0.25">
      <c r="A974" s="663"/>
    </row>
    <row r="975" spans="1:1" ht="15.75" x14ac:dyDescent="0.25">
      <c r="A975" s="663"/>
    </row>
    <row r="976" spans="1:1" ht="15.75" x14ac:dyDescent="0.25">
      <c r="A976" s="663"/>
    </row>
    <row r="977" spans="1:1" ht="15.75" x14ac:dyDescent="0.25">
      <c r="A977" s="663"/>
    </row>
    <row r="978" spans="1:1" ht="15.75" x14ac:dyDescent="0.25">
      <c r="A978" s="663"/>
    </row>
    <row r="979" spans="1:1" ht="15.75" x14ac:dyDescent="0.25">
      <c r="A979" s="663"/>
    </row>
    <row r="980" spans="1:1" ht="15.75" x14ac:dyDescent="0.25">
      <c r="A980" s="663"/>
    </row>
    <row r="981" spans="1:1" ht="15.75" x14ac:dyDescent="0.25">
      <c r="A981" s="663"/>
    </row>
    <row r="982" spans="1:1" ht="15.75" x14ac:dyDescent="0.25">
      <c r="A982" s="663"/>
    </row>
    <row r="983" spans="1:1" ht="15.75" x14ac:dyDescent="0.25">
      <c r="A983" s="663"/>
    </row>
    <row r="984" spans="1:1" ht="15.75" x14ac:dyDescent="0.25">
      <c r="A984" s="663"/>
    </row>
    <row r="985" spans="1:1" ht="15.75" x14ac:dyDescent="0.25">
      <c r="A985" s="663"/>
    </row>
    <row r="986" spans="1:1" ht="15.75" x14ac:dyDescent="0.25">
      <c r="A986" s="663"/>
    </row>
    <row r="987" spans="1:1" ht="15.75" x14ac:dyDescent="0.25">
      <c r="A987" s="663"/>
    </row>
    <row r="988" spans="1:1" ht="15.75" x14ac:dyDescent="0.25">
      <c r="A988" s="663"/>
    </row>
    <row r="989" spans="1:1" ht="15.75" x14ac:dyDescent="0.25">
      <c r="A989" s="663"/>
    </row>
    <row r="990" spans="1:1" ht="15.75" x14ac:dyDescent="0.25">
      <c r="A990" s="663"/>
    </row>
    <row r="991" spans="1:1" ht="15.75" x14ac:dyDescent="0.25">
      <c r="A991" s="663"/>
    </row>
    <row r="992" spans="1:1" ht="15.75" x14ac:dyDescent="0.25">
      <c r="A992" s="663"/>
    </row>
    <row r="993" spans="1:1" ht="15.75" x14ac:dyDescent="0.25">
      <c r="A993" s="663"/>
    </row>
    <row r="994" spans="1:1" ht="15.75" x14ac:dyDescent="0.25">
      <c r="A994" s="663"/>
    </row>
    <row r="995" spans="1:1" ht="15.75" x14ac:dyDescent="0.25">
      <c r="A995" s="663"/>
    </row>
    <row r="996" spans="1:1" ht="15.75" x14ac:dyDescent="0.25">
      <c r="A996" s="663"/>
    </row>
    <row r="997" spans="1:1" ht="15.75" x14ac:dyDescent="0.25">
      <c r="A997" s="663"/>
    </row>
    <row r="998" spans="1:1" ht="15.75" x14ac:dyDescent="0.25">
      <c r="A998" s="663"/>
    </row>
    <row r="999" spans="1:1" ht="15.75" x14ac:dyDescent="0.25">
      <c r="A999" s="663"/>
    </row>
    <row r="1000" spans="1:1" ht="15.75" x14ac:dyDescent="0.25">
      <c r="A1000" s="663"/>
    </row>
    <row r="1001" spans="1:1" ht="15.75" x14ac:dyDescent="0.25">
      <c r="A1001" s="663"/>
    </row>
    <row r="1002" spans="1:1" ht="15.75" x14ac:dyDescent="0.25">
      <c r="A1002" s="663"/>
    </row>
    <row r="1003" spans="1:1" ht="15.75" x14ac:dyDescent="0.25">
      <c r="A1003" s="663"/>
    </row>
    <row r="1004" spans="1:1" ht="15.75" x14ac:dyDescent="0.25">
      <c r="A1004" s="663"/>
    </row>
    <row r="1005" spans="1:1" ht="15.75" x14ac:dyDescent="0.25">
      <c r="A1005" s="663"/>
    </row>
    <row r="1006" spans="1:1" ht="15.75" x14ac:dyDescent="0.25">
      <c r="A1006" s="663"/>
    </row>
    <row r="1007" spans="1:1" ht="15.75" x14ac:dyDescent="0.25">
      <c r="A1007" s="663"/>
    </row>
    <row r="1008" spans="1:1" ht="15.75" x14ac:dyDescent="0.25">
      <c r="A1008" s="663"/>
    </row>
    <row r="1009" spans="1:1" ht="15.75" x14ac:dyDescent="0.25">
      <c r="A1009" s="663"/>
    </row>
    <row r="1010" spans="1:1" ht="15.75" x14ac:dyDescent="0.25">
      <c r="A1010" s="663"/>
    </row>
    <row r="1011" spans="1:1" ht="15.75" x14ac:dyDescent="0.25">
      <c r="A1011" s="663"/>
    </row>
    <row r="1012" spans="1:1" ht="15.75" x14ac:dyDescent="0.25">
      <c r="A1012" s="663"/>
    </row>
    <row r="1013" spans="1:1" ht="15.75" x14ac:dyDescent="0.25">
      <c r="A1013" s="663"/>
    </row>
    <row r="1014" spans="1:1" ht="15.75" x14ac:dyDescent="0.25">
      <c r="A1014" s="663"/>
    </row>
    <row r="1015" spans="1:1" ht="15.75" x14ac:dyDescent="0.25">
      <c r="A1015" s="663"/>
    </row>
    <row r="1016" spans="1:1" ht="15.75" x14ac:dyDescent="0.25">
      <c r="A1016" s="663"/>
    </row>
    <row r="1017" spans="1:1" ht="15.75" x14ac:dyDescent="0.25">
      <c r="A1017" s="663"/>
    </row>
    <row r="1018" spans="1:1" ht="15.75" x14ac:dyDescent="0.25">
      <c r="A1018" s="663"/>
    </row>
    <row r="1019" spans="1:1" ht="15.75" x14ac:dyDescent="0.25">
      <c r="A1019" s="663"/>
    </row>
    <row r="1020" spans="1:1" ht="15.75" x14ac:dyDescent="0.25">
      <c r="A1020" s="663"/>
    </row>
    <row r="1021" spans="1:1" ht="15.75" x14ac:dyDescent="0.25">
      <c r="A1021" s="663"/>
    </row>
    <row r="1022" spans="1:1" ht="15.75" x14ac:dyDescent="0.25">
      <c r="A1022" s="663"/>
    </row>
    <row r="1023" spans="1:1" ht="15.75" x14ac:dyDescent="0.25">
      <c r="A1023" s="663"/>
    </row>
    <row r="1024" spans="1:1" ht="15.75" x14ac:dyDescent="0.25">
      <c r="A1024" s="663"/>
    </row>
    <row r="1025" spans="1:1" ht="15.75" x14ac:dyDescent="0.25">
      <c r="A1025" s="663"/>
    </row>
    <row r="1026" spans="1:1" ht="15.75" x14ac:dyDescent="0.25">
      <c r="A1026" s="663"/>
    </row>
    <row r="1027" spans="1:1" ht="15.75" x14ac:dyDescent="0.25">
      <c r="A1027" s="663"/>
    </row>
    <row r="1028" spans="1:1" ht="15.75" x14ac:dyDescent="0.25">
      <c r="A1028" s="663"/>
    </row>
    <row r="1029" spans="1:1" ht="15.75" x14ac:dyDescent="0.25">
      <c r="A1029" s="663"/>
    </row>
    <row r="1030" spans="1:1" ht="15.75" x14ac:dyDescent="0.25">
      <c r="A1030" s="663"/>
    </row>
    <row r="1031" spans="1:1" ht="15.75" x14ac:dyDescent="0.25">
      <c r="A1031" s="663"/>
    </row>
    <row r="1032" spans="1:1" ht="15.75" x14ac:dyDescent="0.25">
      <c r="A1032" s="663"/>
    </row>
    <row r="1033" spans="1:1" ht="15.75" x14ac:dyDescent="0.25">
      <c r="A1033" s="663"/>
    </row>
    <row r="1034" spans="1:1" ht="15.75" x14ac:dyDescent="0.25">
      <c r="A1034" s="663"/>
    </row>
    <row r="1035" spans="1:1" ht="15.75" x14ac:dyDescent="0.25">
      <c r="A1035" s="663"/>
    </row>
    <row r="1036" spans="1:1" ht="15.75" x14ac:dyDescent="0.25">
      <c r="A1036" s="663"/>
    </row>
    <row r="1037" spans="1:1" ht="15.75" x14ac:dyDescent="0.25">
      <c r="A1037" s="663"/>
    </row>
    <row r="1038" spans="1:1" ht="15.75" x14ac:dyDescent="0.25">
      <c r="A1038" s="663"/>
    </row>
    <row r="1039" spans="1:1" ht="15.75" x14ac:dyDescent="0.25">
      <c r="A1039" s="663"/>
    </row>
    <row r="1040" spans="1:1" ht="15.75" x14ac:dyDescent="0.25">
      <c r="A1040" s="663"/>
    </row>
    <row r="1041" spans="1:1" ht="15.75" x14ac:dyDescent="0.25">
      <c r="A1041" s="663"/>
    </row>
    <row r="1042" spans="1:1" ht="15.75" x14ac:dyDescent="0.25">
      <c r="A1042" s="663"/>
    </row>
    <row r="1043" spans="1:1" ht="15.75" x14ac:dyDescent="0.25">
      <c r="A1043" s="663"/>
    </row>
    <row r="1044" spans="1:1" ht="15.75" x14ac:dyDescent="0.25">
      <c r="A1044" s="663"/>
    </row>
    <row r="1045" spans="1:1" ht="15.75" x14ac:dyDescent="0.25">
      <c r="A1045" s="663"/>
    </row>
    <row r="1046" spans="1:1" ht="15.75" x14ac:dyDescent="0.25">
      <c r="A1046" s="663"/>
    </row>
    <row r="1047" spans="1:1" ht="15.75" x14ac:dyDescent="0.25">
      <c r="A1047" s="663"/>
    </row>
    <row r="1048" spans="1:1" ht="15.75" x14ac:dyDescent="0.25">
      <c r="A1048" s="663"/>
    </row>
    <row r="1049" spans="1:1" ht="15.75" x14ac:dyDescent="0.25">
      <c r="A1049" s="663"/>
    </row>
    <row r="1050" spans="1:1" ht="15.75" x14ac:dyDescent="0.25">
      <c r="A1050" s="663"/>
    </row>
    <row r="1051" spans="1:1" ht="15.75" x14ac:dyDescent="0.25">
      <c r="A1051" s="663"/>
    </row>
    <row r="1052" spans="1:1" ht="15.75" x14ac:dyDescent="0.25">
      <c r="A1052" s="663"/>
    </row>
    <row r="1053" spans="1:1" ht="15.75" x14ac:dyDescent="0.25">
      <c r="A1053" s="663"/>
    </row>
    <row r="1054" spans="1:1" ht="15.75" x14ac:dyDescent="0.25">
      <c r="A1054" s="663"/>
    </row>
    <row r="1055" spans="1:1" ht="15.75" x14ac:dyDescent="0.25">
      <c r="A1055" s="663"/>
    </row>
    <row r="1056" spans="1:1" ht="15.75" x14ac:dyDescent="0.25">
      <c r="A1056" s="663"/>
    </row>
    <row r="1057" spans="1:1" ht="15.75" x14ac:dyDescent="0.25">
      <c r="A1057" s="663"/>
    </row>
    <row r="1058" spans="1:1" ht="15.75" x14ac:dyDescent="0.25">
      <c r="A1058" s="663"/>
    </row>
    <row r="1059" spans="1:1" ht="15.75" x14ac:dyDescent="0.25">
      <c r="A1059" s="663"/>
    </row>
    <row r="1060" spans="1:1" ht="15.75" x14ac:dyDescent="0.25">
      <c r="A1060" s="663"/>
    </row>
    <row r="1061" spans="1:1" ht="15.75" x14ac:dyDescent="0.25">
      <c r="A1061" s="663"/>
    </row>
    <row r="1062" spans="1:1" ht="15.75" x14ac:dyDescent="0.25">
      <c r="A1062" s="663"/>
    </row>
    <row r="1063" spans="1:1" ht="15.75" x14ac:dyDescent="0.25">
      <c r="A1063" s="663"/>
    </row>
    <row r="1064" spans="1:1" ht="15.75" x14ac:dyDescent="0.25">
      <c r="A1064" s="663"/>
    </row>
    <row r="1065" spans="1:1" ht="15.75" x14ac:dyDescent="0.25">
      <c r="A1065" s="663"/>
    </row>
    <row r="1066" spans="1:1" ht="15.75" x14ac:dyDescent="0.25">
      <c r="A1066" s="663"/>
    </row>
    <row r="1067" spans="1:1" ht="15.75" x14ac:dyDescent="0.25">
      <c r="A1067" s="663"/>
    </row>
    <row r="1068" spans="1:1" ht="15.75" x14ac:dyDescent="0.25">
      <c r="A1068" s="663"/>
    </row>
    <row r="1069" spans="1:1" ht="15.75" x14ac:dyDescent="0.25">
      <c r="A1069" s="663"/>
    </row>
    <row r="1070" spans="1:1" ht="15.75" x14ac:dyDescent="0.25">
      <c r="A1070" s="663"/>
    </row>
    <row r="1071" spans="1:1" ht="15.75" x14ac:dyDescent="0.25">
      <c r="A1071" s="663"/>
    </row>
    <row r="1072" spans="1:1" ht="15.75" x14ac:dyDescent="0.25">
      <c r="A1072" s="663"/>
    </row>
    <row r="1073" spans="1:1" ht="15.75" x14ac:dyDescent="0.25">
      <c r="A1073" s="663"/>
    </row>
    <row r="1074" spans="1:1" ht="15.75" x14ac:dyDescent="0.25">
      <c r="A1074" s="663"/>
    </row>
    <row r="1075" spans="1:1" ht="15.75" x14ac:dyDescent="0.25">
      <c r="A1075" s="663"/>
    </row>
    <row r="1076" spans="1:1" ht="15.75" x14ac:dyDescent="0.25">
      <c r="A1076" s="663"/>
    </row>
    <row r="1077" spans="1:1" ht="15.75" x14ac:dyDescent="0.25">
      <c r="A1077" s="663"/>
    </row>
    <row r="1078" spans="1:1" ht="15.75" x14ac:dyDescent="0.25">
      <c r="A1078" s="663"/>
    </row>
    <row r="1079" spans="1:1" ht="15.75" x14ac:dyDescent="0.25">
      <c r="A1079" s="663"/>
    </row>
    <row r="1080" spans="1:1" ht="15.75" x14ac:dyDescent="0.25">
      <c r="A1080" s="663"/>
    </row>
    <row r="1081" spans="1:1" ht="15.75" x14ac:dyDescent="0.25">
      <c r="A1081" s="663"/>
    </row>
    <row r="1082" spans="1:1" ht="15.75" x14ac:dyDescent="0.25">
      <c r="A1082" s="663"/>
    </row>
    <row r="1083" spans="1:1" ht="15.75" x14ac:dyDescent="0.25">
      <c r="A1083" s="663"/>
    </row>
    <row r="1084" spans="1:1" ht="15.75" x14ac:dyDescent="0.25">
      <c r="A1084" s="663"/>
    </row>
    <row r="1085" spans="1:1" ht="15.75" x14ac:dyDescent="0.25">
      <c r="A1085" s="663"/>
    </row>
    <row r="1086" spans="1:1" ht="15.75" x14ac:dyDescent="0.25">
      <c r="A1086" s="663"/>
    </row>
    <row r="1087" spans="1:1" ht="15.75" x14ac:dyDescent="0.25">
      <c r="A1087" s="663"/>
    </row>
    <row r="1088" spans="1:1" ht="15.75" x14ac:dyDescent="0.25">
      <c r="A1088" s="663"/>
    </row>
    <row r="1089" spans="1:1" ht="15.75" x14ac:dyDescent="0.25">
      <c r="A1089" s="663"/>
    </row>
    <row r="1090" spans="1:1" ht="15.75" x14ac:dyDescent="0.25">
      <c r="A1090" s="663"/>
    </row>
    <row r="1091" spans="1:1" ht="15.75" x14ac:dyDescent="0.25">
      <c r="A1091" s="663"/>
    </row>
    <row r="1092" spans="1:1" ht="15.75" x14ac:dyDescent="0.25">
      <c r="A1092" s="663"/>
    </row>
    <row r="1093" spans="1:1" ht="15.75" x14ac:dyDescent="0.25">
      <c r="A1093" s="663"/>
    </row>
    <row r="1094" spans="1:1" ht="15.75" x14ac:dyDescent="0.25">
      <c r="A1094" s="663"/>
    </row>
    <row r="1095" spans="1:1" ht="15.75" x14ac:dyDescent="0.25">
      <c r="A1095" s="663"/>
    </row>
    <row r="1096" spans="1:1" ht="15.75" x14ac:dyDescent="0.25">
      <c r="A1096" s="663"/>
    </row>
    <row r="1097" spans="1:1" ht="15.75" x14ac:dyDescent="0.25">
      <c r="A1097" s="663"/>
    </row>
    <row r="1098" spans="1:1" ht="15.75" x14ac:dyDescent="0.25">
      <c r="A1098" s="663"/>
    </row>
    <row r="1099" spans="1:1" ht="15.75" x14ac:dyDescent="0.25">
      <c r="A1099" s="663"/>
    </row>
    <row r="1100" spans="1:1" ht="15.75" x14ac:dyDescent="0.25">
      <c r="A1100" s="663"/>
    </row>
    <row r="1101" spans="1:1" ht="15.75" x14ac:dyDescent="0.25">
      <c r="A1101" s="663"/>
    </row>
    <row r="1102" spans="1:1" ht="15.75" x14ac:dyDescent="0.25">
      <c r="A1102" s="663"/>
    </row>
    <row r="1103" spans="1:1" ht="15.75" x14ac:dyDescent="0.25">
      <c r="A1103" s="663"/>
    </row>
    <row r="1104" spans="1:1" ht="15.75" x14ac:dyDescent="0.25">
      <c r="A1104" s="663"/>
    </row>
    <row r="1105" spans="1:1" ht="15.75" x14ac:dyDescent="0.25">
      <c r="A1105" s="663"/>
    </row>
    <row r="1106" spans="1:1" ht="15.75" x14ac:dyDescent="0.25">
      <c r="A1106" s="663"/>
    </row>
    <row r="1107" spans="1:1" ht="15.75" x14ac:dyDescent="0.25">
      <c r="A1107" s="663"/>
    </row>
    <row r="1108" spans="1:1" ht="15.75" x14ac:dyDescent="0.25">
      <c r="A1108" s="663"/>
    </row>
    <row r="1109" spans="1:1" ht="15.75" x14ac:dyDescent="0.25">
      <c r="A1109" s="663"/>
    </row>
    <row r="1110" spans="1:1" ht="15.75" x14ac:dyDescent="0.25">
      <c r="A1110" s="663"/>
    </row>
    <row r="1111" spans="1:1" ht="15.75" x14ac:dyDescent="0.25">
      <c r="A1111" s="663"/>
    </row>
    <row r="1112" spans="1:1" ht="15.75" x14ac:dyDescent="0.25">
      <c r="A1112" s="663"/>
    </row>
    <row r="1113" spans="1:1" ht="15.75" x14ac:dyDescent="0.25">
      <c r="A1113" s="663"/>
    </row>
    <row r="1114" spans="1:1" ht="15.75" x14ac:dyDescent="0.25">
      <c r="A1114" s="663"/>
    </row>
    <row r="1115" spans="1:1" ht="15.75" x14ac:dyDescent="0.25">
      <c r="A1115" s="663"/>
    </row>
    <row r="1116" spans="1:1" ht="15.75" x14ac:dyDescent="0.25">
      <c r="A1116" s="663"/>
    </row>
    <row r="1117" spans="1:1" ht="15.75" x14ac:dyDescent="0.25">
      <c r="A1117" s="663"/>
    </row>
    <row r="1118" spans="1:1" ht="15.75" x14ac:dyDescent="0.25">
      <c r="A1118" s="663"/>
    </row>
    <row r="1119" spans="1:1" ht="15.75" x14ac:dyDescent="0.25">
      <c r="A1119" s="663"/>
    </row>
    <row r="1120" spans="1:1" ht="15.75" x14ac:dyDescent="0.25">
      <c r="A1120" s="663"/>
    </row>
    <row r="1121" spans="1:1" ht="15.75" x14ac:dyDescent="0.25">
      <c r="A1121" s="663"/>
    </row>
    <row r="1122" spans="1:1" ht="15.75" x14ac:dyDescent="0.25">
      <c r="A1122" s="663"/>
    </row>
    <row r="1123" spans="1:1" ht="15.75" x14ac:dyDescent="0.25">
      <c r="A1123" s="663"/>
    </row>
    <row r="1124" spans="1:1" ht="15.75" x14ac:dyDescent="0.25">
      <c r="A1124" s="663"/>
    </row>
    <row r="1125" spans="1:1" ht="15.75" x14ac:dyDescent="0.25">
      <c r="A1125" s="663"/>
    </row>
    <row r="1126" spans="1:1" ht="15.75" x14ac:dyDescent="0.25">
      <c r="A1126" s="663"/>
    </row>
    <row r="1127" spans="1:1" ht="15.75" x14ac:dyDescent="0.25">
      <c r="A1127" s="663"/>
    </row>
    <row r="1128" spans="1:1" ht="15.75" x14ac:dyDescent="0.25">
      <c r="A1128" s="663"/>
    </row>
    <row r="1129" spans="1:1" ht="15.75" x14ac:dyDescent="0.25">
      <c r="A1129" s="663"/>
    </row>
    <row r="1130" spans="1:1" ht="15.75" x14ac:dyDescent="0.25">
      <c r="A1130" s="663"/>
    </row>
    <row r="1131" spans="1:1" ht="15.75" x14ac:dyDescent="0.25">
      <c r="A1131" s="663"/>
    </row>
    <row r="1132" spans="1:1" ht="15.75" x14ac:dyDescent="0.25">
      <c r="A1132" s="663"/>
    </row>
    <row r="1133" spans="1:1" ht="15.75" x14ac:dyDescent="0.25">
      <c r="A1133" s="663"/>
    </row>
    <row r="1134" spans="1:1" ht="15.75" x14ac:dyDescent="0.25">
      <c r="A1134" s="663"/>
    </row>
    <row r="1135" spans="1:1" ht="15.75" x14ac:dyDescent="0.25">
      <c r="A1135" s="663"/>
    </row>
    <row r="1136" spans="1:1" ht="15.75" x14ac:dyDescent="0.25">
      <c r="A1136" s="663"/>
    </row>
    <row r="1137" spans="1:1" ht="15.75" x14ac:dyDescent="0.25">
      <c r="A1137" s="663"/>
    </row>
    <row r="1138" spans="1:1" ht="15.75" x14ac:dyDescent="0.25">
      <c r="A1138" s="663"/>
    </row>
    <row r="1139" spans="1:1" ht="15.75" x14ac:dyDescent="0.25">
      <c r="A1139" s="663"/>
    </row>
    <row r="1140" spans="1:1" ht="15.75" x14ac:dyDescent="0.25">
      <c r="A1140" s="663"/>
    </row>
    <row r="1141" spans="1:1" ht="15.75" x14ac:dyDescent="0.25">
      <c r="A1141" s="663"/>
    </row>
    <row r="1142" spans="1:1" ht="15.75" x14ac:dyDescent="0.25">
      <c r="A1142" s="663"/>
    </row>
    <row r="1143" spans="1:1" ht="15.75" x14ac:dyDescent="0.25">
      <c r="A1143" s="663"/>
    </row>
    <row r="1144" spans="1:1" ht="15.75" x14ac:dyDescent="0.25">
      <c r="A1144" s="663"/>
    </row>
    <row r="1145" spans="1:1" ht="15.75" x14ac:dyDescent="0.25">
      <c r="A1145" s="663"/>
    </row>
    <row r="1146" spans="1:1" ht="15.75" x14ac:dyDescent="0.25">
      <c r="A1146" s="663"/>
    </row>
    <row r="1147" spans="1:1" ht="15.75" x14ac:dyDescent="0.25">
      <c r="A1147" s="663"/>
    </row>
    <row r="1148" spans="1:1" ht="15.75" x14ac:dyDescent="0.25">
      <c r="A1148" s="663"/>
    </row>
    <row r="1149" spans="1:1" ht="15.75" x14ac:dyDescent="0.25">
      <c r="A1149" s="663"/>
    </row>
    <row r="1150" spans="1:1" ht="15.75" x14ac:dyDescent="0.25">
      <c r="A1150" s="663"/>
    </row>
    <row r="1151" spans="1:1" ht="15.75" x14ac:dyDescent="0.25">
      <c r="A1151" s="663"/>
    </row>
    <row r="1152" spans="1:1" ht="15.75" x14ac:dyDescent="0.25">
      <c r="A1152" s="663"/>
    </row>
    <row r="1153" spans="1:1" ht="15.75" x14ac:dyDescent="0.25">
      <c r="A1153" s="663"/>
    </row>
    <row r="1154" spans="1:1" ht="15.75" x14ac:dyDescent="0.25">
      <c r="A1154" s="663"/>
    </row>
    <row r="1155" spans="1:1" ht="15.75" x14ac:dyDescent="0.25">
      <c r="A1155" s="663"/>
    </row>
    <row r="1156" spans="1:1" ht="15.75" x14ac:dyDescent="0.25">
      <c r="A1156" s="663"/>
    </row>
    <row r="1157" spans="1:1" ht="15.75" x14ac:dyDescent="0.25">
      <c r="A1157" s="663"/>
    </row>
    <row r="1158" spans="1:1" ht="15.75" x14ac:dyDescent="0.25">
      <c r="A1158" s="663"/>
    </row>
    <row r="1159" spans="1:1" ht="15.75" x14ac:dyDescent="0.25">
      <c r="A1159" s="663"/>
    </row>
    <row r="1160" spans="1:1" ht="15.75" x14ac:dyDescent="0.25">
      <c r="A1160" s="663"/>
    </row>
    <row r="1161" spans="1:1" ht="15.75" x14ac:dyDescent="0.25">
      <c r="A1161" s="663"/>
    </row>
    <row r="1162" spans="1:1" ht="15.75" x14ac:dyDescent="0.25">
      <c r="A1162" s="663"/>
    </row>
    <row r="1163" spans="1:1" ht="15.75" x14ac:dyDescent="0.25">
      <c r="A1163" s="663"/>
    </row>
    <row r="1164" spans="1:1" ht="15.75" x14ac:dyDescent="0.25">
      <c r="A1164" s="663"/>
    </row>
    <row r="1165" spans="1:1" ht="15.75" x14ac:dyDescent="0.25">
      <c r="A1165" s="663"/>
    </row>
    <row r="1166" spans="1:1" ht="15.75" x14ac:dyDescent="0.25">
      <c r="A1166" s="663"/>
    </row>
    <row r="1167" spans="1:1" ht="15.75" x14ac:dyDescent="0.25">
      <c r="A1167" s="663"/>
    </row>
    <row r="1168" spans="1:1" ht="15.75" x14ac:dyDescent="0.25">
      <c r="A1168" s="663"/>
    </row>
    <row r="1169" spans="1:1" ht="15.75" x14ac:dyDescent="0.25">
      <c r="A1169" s="663"/>
    </row>
    <row r="1170" spans="1:1" ht="15.75" x14ac:dyDescent="0.25">
      <c r="A1170" s="663"/>
    </row>
    <row r="1171" spans="1:1" ht="15.75" x14ac:dyDescent="0.25">
      <c r="A1171" s="663"/>
    </row>
    <row r="1172" spans="1:1" ht="15.75" x14ac:dyDescent="0.25">
      <c r="A1172" s="663"/>
    </row>
    <row r="1173" spans="1:1" ht="15.75" x14ac:dyDescent="0.25">
      <c r="A1173" s="663"/>
    </row>
    <row r="1174" spans="1:1" ht="15.75" x14ac:dyDescent="0.25">
      <c r="A1174" s="663"/>
    </row>
    <row r="1175" spans="1:1" ht="15.75" x14ac:dyDescent="0.25">
      <c r="A1175" s="663"/>
    </row>
    <row r="1176" spans="1:1" ht="15.75" x14ac:dyDescent="0.25">
      <c r="A1176" s="663"/>
    </row>
    <row r="1177" spans="1:1" ht="15.75" x14ac:dyDescent="0.25">
      <c r="A1177" s="663"/>
    </row>
    <row r="1178" spans="1:1" ht="15.75" x14ac:dyDescent="0.25">
      <c r="A1178" s="663"/>
    </row>
    <row r="1179" spans="1:1" ht="15.75" x14ac:dyDescent="0.25">
      <c r="A1179" s="663"/>
    </row>
    <row r="1180" spans="1:1" ht="15.75" x14ac:dyDescent="0.25">
      <c r="A1180" s="663"/>
    </row>
    <row r="1181" spans="1:1" ht="15.75" x14ac:dyDescent="0.25">
      <c r="A1181" s="663"/>
    </row>
    <row r="1182" spans="1:1" ht="15.75" x14ac:dyDescent="0.25">
      <c r="A1182" s="663"/>
    </row>
    <row r="1183" spans="1:1" ht="15.75" x14ac:dyDescent="0.25">
      <c r="A1183" s="663"/>
    </row>
    <row r="1184" spans="1:1" ht="15.75" x14ac:dyDescent="0.25">
      <c r="A1184" s="663"/>
    </row>
    <row r="1185" spans="1:1" ht="15.75" x14ac:dyDescent="0.25">
      <c r="A1185" s="663"/>
    </row>
    <row r="1186" spans="1:1" ht="15.75" x14ac:dyDescent="0.25">
      <c r="A1186" s="663"/>
    </row>
    <row r="1187" spans="1:1" ht="15.75" x14ac:dyDescent="0.25">
      <c r="A1187" s="663"/>
    </row>
    <row r="1188" spans="1:1" ht="15.75" x14ac:dyDescent="0.25">
      <c r="A1188" s="663"/>
    </row>
    <row r="1189" spans="1:1" ht="15.75" x14ac:dyDescent="0.25">
      <c r="A1189" s="663"/>
    </row>
    <row r="1190" spans="1:1" ht="15.75" x14ac:dyDescent="0.25">
      <c r="A1190" s="663"/>
    </row>
    <row r="1191" spans="1:1" ht="15.75" x14ac:dyDescent="0.25">
      <c r="A1191" s="663"/>
    </row>
    <row r="1192" spans="1:1" ht="15.75" x14ac:dyDescent="0.25">
      <c r="A1192" s="663"/>
    </row>
    <row r="1193" spans="1:1" ht="15.75" x14ac:dyDescent="0.25">
      <c r="A1193" s="663"/>
    </row>
    <row r="1194" spans="1:1" ht="15.75" x14ac:dyDescent="0.25">
      <c r="A1194" s="663"/>
    </row>
    <row r="1195" spans="1:1" ht="15.75" x14ac:dyDescent="0.25">
      <c r="A1195" s="663"/>
    </row>
    <row r="1196" spans="1:1" ht="15.75" x14ac:dyDescent="0.25">
      <c r="A1196" s="663"/>
    </row>
    <row r="1197" spans="1:1" ht="15.75" x14ac:dyDescent="0.25">
      <c r="A1197" s="663"/>
    </row>
    <row r="1198" spans="1:1" ht="15.75" x14ac:dyDescent="0.25">
      <c r="A1198" s="663"/>
    </row>
    <row r="1199" spans="1:1" ht="15.75" x14ac:dyDescent="0.25">
      <c r="A1199" s="663"/>
    </row>
    <row r="1200" spans="1:1" ht="15.75" x14ac:dyDescent="0.25">
      <c r="A1200" s="663"/>
    </row>
    <row r="1201" spans="1:1" ht="15.75" x14ac:dyDescent="0.25">
      <c r="A1201" s="663"/>
    </row>
    <row r="1202" spans="1:1" ht="15.75" x14ac:dyDescent="0.25">
      <c r="A1202" s="663"/>
    </row>
    <row r="1203" spans="1:1" ht="15.75" x14ac:dyDescent="0.25">
      <c r="A1203" s="663"/>
    </row>
    <row r="1204" spans="1:1" ht="15.75" x14ac:dyDescent="0.25">
      <c r="A1204" s="663"/>
    </row>
    <row r="1205" spans="1:1" ht="15.75" x14ac:dyDescent="0.25">
      <c r="A1205" s="663"/>
    </row>
    <row r="1206" spans="1:1" ht="15.75" x14ac:dyDescent="0.25">
      <c r="A1206" s="663"/>
    </row>
    <row r="1207" spans="1:1" ht="15.75" x14ac:dyDescent="0.25">
      <c r="A1207" s="663"/>
    </row>
    <row r="1208" spans="1:1" ht="15.75" x14ac:dyDescent="0.25">
      <c r="A1208" s="663"/>
    </row>
    <row r="1209" spans="1:1" ht="15.75" x14ac:dyDescent="0.25">
      <c r="A1209" s="663"/>
    </row>
    <row r="1210" spans="1:1" ht="15.75" x14ac:dyDescent="0.25">
      <c r="A1210" s="663"/>
    </row>
    <row r="1211" spans="1:1" ht="15.75" x14ac:dyDescent="0.25">
      <c r="A1211" s="663"/>
    </row>
    <row r="1212" spans="1:1" ht="15.75" x14ac:dyDescent="0.25">
      <c r="A1212" s="663"/>
    </row>
    <row r="1213" spans="1:1" ht="15.75" x14ac:dyDescent="0.25">
      <c r="A1213" s="663"/>
    </row>
    <row r="1214" spans="1:1" ht="15.75" x14ac:dyDescent="0.25">
      <c r="A1214" s="663"/>
    </row>
    <row r="1215" spans="1:1" ht="15.75" x14ac:dyDescent="0.25">
      <c r="A1215" s="663"/>
    </row>
    <row r="1216" spans="1:1" ht="15.75" x14ac:dyDescent="0.25">
      <c r="A1216" s="663"/>
    </row>
    <row r="1217" spans="1:1" ht="15.75" x14ac:dyDescent="0.25">
      <c r="A1217" s="663"/>
    </row>
    <row r="1218" spans="1:1" ht="15.75" x14ac:dyDescent="0.25">
      <c r="A1218" s="663"/>
    </row>
    <row r="1219" spans="1:1" ht="15.75" x14ac:dyDescent="0.25">
      <c r="A1219" s="663"/>
    </row>
    <row r="1220" spans="1:1" ht="15.75" x14ac:dyDescent="0.25">
      <c r="A1220" s="663"/>
    </row>
    <row r="1221" spans="1:1" ht="15.75" x14ac:dyDescent="0.25">
      <c r="A1221" s="663"/>
    </row>
    <row r="1222" spans="1:1" ht="15.75" x14ac:dyDescent="0.25">
      <c r="A1222" s="663"/>
    </row>
    <row r="1223" spans="1:1" ht="15.75" x14ac:dyDescent="0.25">
      <c r="A1223" s="663"/>
    </row>
    <row r="1224" spans="1:1" ht="15.75" x14ac:dyDescent="0.25">
      <c r="A1224" s="663"/>
    </row>
    <row r="1225" spans="1:1" ht="15.75" x14ac:dyDescent="0.25">
      <c r="A1225" s="663"/>
    </row>
    <row r="1226" spans="1:1" ht="15.75" x14ac:dyDescent="0.25">
      <c r="A1226" s="663"/>
    </row>
    <row r="1227" spans="1:1" ht="15.75" x14ac:dyDescent="0.25">
      <c r="A1227" s="663"/>
    </row>
    <row r="1228" spans="1:1" ht="15.75" x14ac:dyDescent="0.25">
      <c r="A1228" s="663"/>
    </row>
    <row r="1229" spans="1:1" ht="15.75" x14ac:dyDescent="0.25">
      <c r="A1229" s="663"/>
    </row>
    <row r="1230" spans="1:1" ht="15.75" x14ac:dyDescent="0.25">
      <c r="A1230" s="663"/>
    </row>
    <row r="1231" spans="1:1" ht="15.75" x14ac:dyDescent="0.25">
      <c r="A1231" s="663"/>
    </row>
    <row r="1232" spans="1:1" ht="15.75" x14ac:dyDescent="0.25">
      <c r="A1232" s="663"/>
    </row>
    <row r="1233" spans="1:1" ht="15.75" x14ac:dyDescent="0.25">
      <c r="A1233" s="663"/>
    </row>
    <row r="1234" spans="1:1" ht="15.75" x14ac:dyDescent="0.25">
      <c r="A1234" s="663"/>
    </row>
    <row r="1235" spans="1:1" ht="15.75" x14ac:dyDescent="0.25">
      <c r="A1235" s="663"/>
    </row>
    <row r="1236" spans="1:1" ht="15.75" x14ac:dyDescent="0.25">
      <c r="A1236" s="663"/>
    </row>
    <row r="1237" spans="1:1" ht="15.75" x14ac:dyDescent="0.25">
      <c r="A1237" s="663"/>
    </row>
    <row r="1238" spans="1:1" ht="15.75" x14ac:dyDescent="0.25">
      <c r="A1238" s="663"/>
    </row>
    <row r="1239" spans="1:1" ht="15.75" x14ac:dyDescent="0.25">
      <c r="A1239" s="663"/>
    </row>
    <row r="1240" spans="1:1" ht="15.75" x14ac:dyDescent="0.25">
      <c r="A1240" s="663"/>
    </row>
    <row r="1241" spans="1:1" ht="15.75" x14ac:dyDescent="0.25">
      <c r="A1241" s="663"/>
    </row>
    <row r="1242" spans="1:1" ht="15.75" x14ac:dyDescent="0.25">
      <c r="A1242" s="663"/>
    </row>
    <row r="1243" spans="1:1" ht="15.75" x14ac:dyDescent="0.25">
      <c r="A1243" s="663"/>
    </row>
    <row r="1244" spans="1:1" ht="15.75" x14ac:dyDescent="0.25">
      <c r="A1244" s="663"/>
    </row>
    <row r="1245" spans="1:1" ht="15.75" x14ac:dyDescent="0.25">
      <c r="A1245" s="663"/>
    </row>
    <row r="1246" spans="1:1" ht="15.75" x14ac:dyDescent="0.25">
      <c r="A1246" s="663"/>
    </row>
    <row r="1247" spans="1:1" ht="15.75" x14ac:dyDescent="0.25">
      <c r="A1247" s="663"/>
    </row>
    <row r="1248" spans="1:1" ht="15.75" x14ac:dyDescent="0.25">
      <c r="A1248" s="663"/>
    </row>
    <row r="1249" spans="1:1" ht="15.75" x14ac:dyDescent="0.25">
      <c r="A1249" s="663"/>
    </row>
    <row r="1250" spans="1:1" ht="15.75" x14ac:dyDescent="0.25">
      <c r="A1250" s="663"/>
    </row>
    <row r="1251" spans="1:1" ht="15.75" x14ac:dyDescent="0.25">
      <c r="A1251" s="663"/>
    </row>
    <row r="1252" spans="1:1" ht="15.75" x14ac:dyDescent="0.25">
      <c r="A1252" s="663"/>
    </row>
    <row r="1253" spans="1:1" ht="15.75" x14ac:dyDescent="0.25">
      <c r="A1253" s="663"/>
    </row>
    <row r="1254" spans="1:1" ht="15.75" x14ac:dyDescent="0.25">
      <c r="A1254" s="663"/>
    </row>
    <row r="1255" spans="1:1" ht="15.75" x14ac:dyDescent="0.25">
      <c r="A1255" s="663"/>
    </row>
    <row r="1256" spans="1:1" ht="15.75" x14ac:dyDescent="0.25">
      <c r="A1256" s="663"/>
    </row>
    <row r="1257" spans="1:1" ht="15.75" x14ac:dyDescent="0.25">
      <c r="A1257" s="663"/>
    </row>
    <row r="1258" spans="1:1" ht="15.75" x14ac:dyDescent="0.25">
      <c r="A1258" s="663"/>
    </row>
    <row r="1259" spans="1:1" ht="15.75" x14ac:dyDescent="0.25">
      <c r="A1259" s="663"/>
    </row>
    <row r="1260" spans="1:1" ht="15.75" x14ac:dyDescent="0.25">
      <c r="A1260" s="663"/>
    </row>
    <row r="1261" spans="1:1" ht="15.75" x14ac:dyDescent="0.25">
      <c r="A1261" s="663"/>
    </row>
    <row r="1262" spans="1:1" ht="15.75" x14ac:dyDescent="0.25">
      <c r="A1262" s="663"/>
    </row>
    <row r="1263" spans="1:1" ht="15.75" x14ac:dyDescent="0.25">
      <c r="A1263" s="663"/>
    </row>
    <row r="1264" spans="1:1" ht="15.75" x14ac:dyDescent="0.25">
      <c r="A1264" s="663"/>
    </row>
    <row r="1265" spans="1:1" ht="15.75" x14ac:dyDescent="0.25">
      <c r="A1265" s="663"/>
    </row>
    <row r="1266" spans="1:1" ht="15.75" x14ac:dyDescent="0.25">
      <c r="A1266" s="663"/>
    </row>
    <row r="1267" spans="1:1" ht="15.75" x14ac:dyDescent="0.25">
      <c r="A1267" s="663"/>
    </row>
    <row r="1268" spans="1:1" ht="15.75" x14ac:dyDescent="0.25">
      <c r="A1268" s="663"/>
    </row>
    <row r="1269" spans="1:1" ht="15.75" x14ac:dyDescent="0.25">
      <c r="A1269" s="663"/>
    </row>
    <row r="1270" spans="1:1" ht="15.75" x14ac:dyDescent="0.25">
      <c r="A1270" s="663"/>
    </row>
    <row r="1271" spans="1:1" ht="15.75" x14ac:dyDescent="0.25">
      <c r="A1271" s="663"/>
    </row>
    <row r="1272" spans="1:1" ht="15.75" x14ac:dyDescent="0.25">
      <c r="A1272" s="663"/>
    </row>
    <row r="1273" spans="1:1" ht="15.75" x14ac:dyDescent="0.25">
      <c r="A1273" s="663"/>
    </row>
    <row r="1274" spans="1:1" ht="15.75" x14ac:dyDescent="0.25">
      <c r="A1274" s="663"/>
    </row>
    <row r="1275" spans="1:1" ht="15.75" x14ac:dyDescent="0.25">
      <c r="A1275" s="663"/>
    </row>
    <row r="1276" spans="1:1" ht="15.75" x14ac:dyDescent="0.25">
      <c r="A1276" s="663"/>
    </row>
    <row r="1277" spans="1:1" ht="15.75" x14ac:dyDescent="0.25">
      <c r="A1277" s="663"/>
    </row>
    <row r="1278" spans="1:1" ht="15.75" x14ac:dyDescent="0.25">
      <c r="A1278" s="663"/>
    </row>
    <row r="1279" spans="1:1" ht="15.75" x14ac:dyDescent="0.25">
      <c r="A1279" s="663"/>
    </row>
    <row r="1280" spans="1:1" ht="15.75" x14ac:dyDescent="0.25">
      <c r="A1280" s="663"/>
    </row>
    <row r="1281" spans="1:1" ht="15.75" x14ac:dyDescent="0.25">
      <c r="A1281" s="663"/>
    </row>
    <row r="1282" spans="1:1" ht="15.75" x14ac:dyDescent="0.25">
      <c r="A1282" s="663"/>
    </row>
    <row r="1283" spans="1:1" ht="15.75" x14ac:dyDescent="0.25">
      <c r="A1283" s="663"/>
    </row>
    <row r="1284" spans="1:1" ht="15.75" x14ac:dyDescent="0.25">
      <c r="A1284" s="663"/>
    </row>
    <row r="1285" spans="1:1" ht="15.75" x14ac:dyDescent="0.25">
      <c r="A1285" s="663"/>
    </row>
    <row r="1286" spans="1:1" ht="15.75" x14ac:dyDescent="0.25">
      <c r="A1286" s="663"/>
    </row>
    <row r="1287" spans="1:1" ht="15.75" x14ac:dyDescent="0.25">
      <c r="A1287" s="663"/>
    </row>
    <row r="1288" spans="1:1" ht="15.75" x14ac:dyDescent="0.25">
      <c r="A1288" s="663"/>
    </row>
    <row r="1289" spans="1:1" ht="15.75" x14ac:dyDescent="0.25">
      <c r="A1289" s="663"/>
    </row>
    <row r="1290" spans="1:1" ht="15.75" x14ac:dyDescent="0.25">
      <c r="A1290" s="663"/>
    </row>
    <row r="1291" spans="1:1" ht="15.75" x14ac:dyDescent="0.25">
      <c r="A1291" s="663"/>
    </row>
    <row r="1292" spans="1:1" ht="15.75" x14ac:dyDescent="0.25">
      <c r="A1292" s="663"/>
    </row>
    <row r="1293" spans="1:1" ht="15.75" x14ac:dyDescent="0.25">
      <c r="A1293" s="663"/>
    </row>
    <row r="1294" spans="1:1" ht="15.75" x14ac:dyDescent="0.25">
      <c r="A1294" s="663"/>
    </row>
    <row r="1295" spans="1:1" ht="15.75" x14ac:dyDescent="0.25">
      <c r="A1295" s="663"/>
    </row>
    <row r="1296" spans="1:1" ht="15.75" x14ac:dyDescent="0.25">
      <c r="A1296" s="663"/>
    </row>
    <row r="1297" spans="1:1" ht="15.75" x14ac:dyDescent="0.25">
      <c r="A1297" s="663"/>
    </row>
    <row r="1298" spans="1:1" ht="15.75" x14ac:dyDescent="0.25">
      <c r="A1298" s="663"/>
    </row>
    <row r="1299" spans="1:1" ht="15.75" x14ac:dyDescent="0.25">
      <c r="A1299" s="663"/>
    </row>
    <row r="1300" spans="1:1" ht="15.75" x14ac:dyDescent="0.25">
      <c r="A1300" s="663"/>
    </row>
    <row r="1301" spans="1:1" ht="15.75" x14ac:dyDescent="0.25">
      <c r="A1301" s="663"/>
    </row>
    <row r="1302" spans="1:1" ht="15.75" x14ac:dyDescent="0.25">
      <c r="A1302" s="663"/>
    </row>
    <row r="1303" spans="1:1" ht="15.75" x14ac:dyDescent="0.25">
      <c r="A1303" s="663"/>
    </row>
    <row r="1304" spans="1:1" ht="15.75" x14ac:dyDescent="0.25">
      <c r="A1304" s="663"/>
    </row>
    <row r="1305" spans="1:1" ht="15.75" x14ac:dyDescent="0.25">
      <c r="A1305" s="663"/>
    </row>
    <row r="1306" spans="1:1" ht="15.75" x14ac:dyDescent="0.25">
      <c r="A1306" s="663"/>
    </row>
    <row r="1307" spans="1:1" ht="15.75" x14ac:dyDescent="0.25">
      <c r="A1307" s="663"/>
    </row>
    <row r="1308" spans="1:1" ht="15.75" x14ac:dyDescent="0.25">
      <c r="A1308" s="663"/>
    </row>
    <row r="1309" spans="1:1" ht="15.75" x14ac:dyDescent="0.25">
      <c r="A1309" s="663"/>
    </row>
    <row r="1310" spans="1:1" ht="15.75" x14ac:dyDescent="0.25">
      <c r="A1310" s="663"/>
    </row>
    <row r="1311" spans="1:1" ht="15.75" x14ac:dyDescent="0.25">
      <c r="A1311" s="663"/>
    </row>
    <row r="1312" spans="1:1" ht="15.75" x14ac:dyDescent="0.25">
      <c r="A1312" s="663"/>
    </row>
    <row r="1313" spans="1:1" ht="15.75" x14ac:dyDescent="0.25">
      <c r="A1313" s="663"/>
    </row>
    <row r="1314" spans="1:1" ht="15.75" x14ac:dyDescent="0.25">
      <c r="A1314" s="663"/>
    </row>
    <row r="1315" spans="1:1" ht="15.75" x14ac:dyDescent="0.25">
      <c r="A1315" s="663"/>
    </row>
    <row r="1316" spans="1:1" ht="15.75" x14ac:dyDescent="0.25">
      <c r="A1316" s="663"/>
    </row>
    <row r="1317" spans="1:1" ht="15.75" x14ac:dyDescent="0.25">
      <c r="A1317" s="663"/>
    </row>
    <row r="1318" spans="1:1" ht="15.75" x14ac:dyDescent="0.25">
      <c r="A1318" s="663"/>
    </row>
    <row r="1319" spans="1:1" ht="15.75" x14ac:dyDescent="0.25">
      <c r="A1319" s="663"/>
    </row>
    <row r="1320" spans="1:1" ht="15.75" x14ac:dyDescent="0.25">
      <c r="A1320" s="663"/>
    </row>
    <row r="1321" spans="1:1" ht="15.75" x14ac:dyDescent="0.25">
      <c r="A1321" s="663"/>
    </row>
    <row r="1322" spans="1:1" ht="15.75" x14ac:dyDescent="0.25">
      <c r="A1322" s="663"/>
    </row>
    <row r="1323" spans="1:1" ht="15.75" x14ac:dyDescent="0.25">
      <c r="A1323" s="663"/>
    </row>
    <row r="1324" spans="1:1" ht="15.75" x14ac:dyDescent="0.25">
      <c r="A1324" s="663"/>
    </row>
    <row r="1325" spans="1:1" ht="15.75" x14ac:dyDescent="0.25">
      <c r="A1325" s="663"/>
    </row>
    <row r="1326" spans="1:1" ht="15.75" x14ac:dyDescent="0.25">
      <c r="A1326" s="663"/>
    </row>
    <row r="1327" spans="1:1" ht="15.75" x14ac:dyDescent="0.25">
      <c r="A1327" s="663"/>
    </row>
    <row r="1328" spans="1:1" ht="15.75" x14ac:dyDescent="0.25">
      <c r="A1328" s="663"/>
    </row>
    <row r="1329" spans="1:1" ht="15.75" x14ac:dyDescent="0.25">
      <c r="A1329" s="663"/>
    </row>
    <row r="1330" spans="1:1" ht="15.75" x14ac:dyDescent="0.25">
      <c r="A1330" s="663"/>
    </row>
    <row r="1331" spans="1:1" ht="15.75" x14ac:dyDescent="0.25">
      <c r="A1331" s="663"/>
    </row>
    <row r="1332" spans="1:1" ht="15.75" x14ac:dyDescent="0.25">
      <c r="A1332" s="663"/>
    </row>
    <row r="1333" spans="1:1" ht="15.75" x14ac:dyDescent="0.25">
      <c r="A1333" s="663"/>
    </row>
    <row r="1334" spans="1:1" ht="15.75" x14ac:dyDescent="0.25">
      <c r="A1334" s="663"/>
    </row>
    <row r="1335" spans="1:1" ht="15.75" x14ac:dyDescent="0.25">
      <c r="A1335" s="663"/>
    </row>
    <row r="1336" spans="1:1" ht="15.75" x14ac:dyDescent="0.25">
      <c r="A1336" s="663"/>
    </row>
    <row r="1337" spans="1:1" ht="15.75" x14ac:dyDescent="0.25">
      <c r="A1337" s="663"/>
    </row>
    <row r="1338" spans="1:1" ht="15.75" x14ac:dyDescent="0.25">
      <c r="A1338" s="663"/>
    </row>
    <row r="1339" spans="1:1" ht="15.75" x14ac:dyDescent="0.25">
      <c r="A1339" s="663"/>
    </row>
    <row r="1340" spans="1:1" ht="15.75" x14ac:dyDescent="0.25">
      <c r="A1340" s="663"/>
    </row>
    <row r="1341" spans="1:1" ht="15.75" x14ac:dyDescent="0.25">
      <c r="A1341" s="663"/>
    </row>
    <row r="1342" spans="1:1" ht="15.75" x14ac:dyDescent="0.25">
      <c r="A1342" s="663"/>
    </row>
    <row r="1343" spans="1:1" ht="15.75" x14ac:dyDescent="0.25">
      <c r="A1343" s="663"/>
    </row>
    <row r="1344" spans="1:1" ht="15.75" x14ac:dyDescent="0.25">
      <c r="A1344" s="663"/>
    </row>
    <row r="1345" spans="1:1" ht="15.75" x14ac:dyDescent="0.25">
      <c r="A1345" s="663"/>
    </row>
    <row r="1346" spans="1:1" ht="15.75" x14ac:dyDescent="0.25">
      <c r="A1346" s="663"/>
    </row>
    <row r="1347" spans="1:1" ht="15.75" x14ac:dyDescent="0.25">
      <c r="A1347" s="663"/>
    </row>
    <row r="1348" spans="1:1" ht="15.75" x14ac:dyDescent="0.25">
      <c r="A1348" s="663"/>
    </row>
    <row r="1349" spans="1:1" ht="15.75" x14ac:dyDescent="0.25">
      <c r="A1349" s="663"/>
    </row>
    <row r="1350" spans="1:1" ht="15.75" x14ac:dyDescent="0.25">
      <c r="A1350" s="663"/>
    </row>
    <row r="1351" spans="1:1" ht="15.75" x14ac:dyDescent="0.25">
      <c r="A1351" s="663"/>
    </row>
    <row r="1352" spans="1:1" ht="15.75" x14ac:dyDescent="0.25">
      <c r="A1352" s="663"/>
    </row>
    <row r="1353" spans="1:1" ht="15.75" x14ac:dyDescent="0.25">
      <c r="A1353" s="663"/>
    </row>
    <row r="1354" spans="1:1" ht="15.75" x14ac:dyDescent="0.25">
      <c r="A1354" s="663"/>
    </row>
    <row r="1355" spans="1:1" ht="15.75" x14ac:dyDescent="0.25">
      <c r="A1355" s="663"/>
    </row>
    <row r="1356" spans="1:1" ht="15.75" x14ac:dyDescent="0.25">
      <c r="A1356" s="663"/>
    </row>
    <row r="1357" spans="1:1" ht="15.75" x14ac:dyDescent="0.25">
      <c r="A1357" s="663"/>
    </row>
    <row r="1358" spans="1:1" ht="15.75" x14ac:dyDescent="0.25">
      <c r="A1358" s="663"/>
    </row>
    <row r="1359" spans="1:1" ht="15.75" x14ac:dyDescent="0.25">
      <c r="A1359" s="663"/>
    </row>
    <row r="1360" spans="1:1" ht="15.75" x14ac:dyDescent="0.25">
      <c r="A1360" s="663"/>
    </row>
    <row r="1361" spans="1:1" ht="15.75" x14ac:dyDescent="0.25">
      <c r="A1361" s="663"/>
    </row>
    <row r="1362" spans="1:1" ht="15.75" x14ac:dyDescent="0.25">
      <c r="A1362" s="663"/>
    </row>
    <row r="1363" spans="1:1" ht="15.75" x14ac:dyDescent="0.25">
      <c r="A1363" s="663"/>
    </row>
    <row r="1364" spans="1:1" ht="15.75" x14ac:dyDescent="0.25">
      <c r="A1364" s="663"/>
    </row>
    <row r="1365" spans="1:1" ht="15.75" x14ac:dyDescent="0.25">
      <c r="A1365" s="663"/>
    </row>
    <row r="1366" spans="1:1" ht="15.75" x14ac:dyDescent="0.25">
      <c r="A1366" s="663"/>
    </row>
    <row r="1367" spans="1:1" ht="15.75" x14ac:dyDescent="0.25">
      <c r="A1367" s="663"/>
    </row>
    <row r="1368" spans="1:1" ht="15.75" x14ac:dyDescent="0.25">
      <c r="A1368" s="663"/>
    </row>
    <row r="1369" spans="1:1" ht="15.75" x14ac:dyDescent="0.25">
      <c r="A1369" s="663"/>
    </row>
    <row r="1370" spans="1:1" ht="15.75" x14ac:dyDescent="0.25">
      <c r="A1370" s="663"/>
    </row>
    <row r="1371" spans="1:1" ht="15.75" x14ac:dyDescent="0.25">
      <c r="A1371" s="663"/>
    </row>
    <row r="1372" spans="1:1" ht="15.75" x14ac:dyDescent="0.25">
      <c r="A1372" s="663"/>
    </row>
    <row r="1373" spans="1:1" ht="15.75" x14ac:dyDescent="0.25">
      <c r="A1373" s="663"/>
    </row>
    <row r="1374" spans="1:1" ht="15.75" x14ac:dyDescent="0.25">
      <c r="A1374" s="663"/>
    </row>
    <row r="1375" spans="1:1" ht="15.75" x14ac:dyDescent="0.25">
      <c r="A1375" s="663"/>
    </row>
    <row r="1376" spans="1:1" ht="15.75" x14ac:dyDescent="0.25">
      <c r="A1376" s="663"/>
    </row>
    <row r="1377" spans="1:1" ht="15.75" x14ac:dyDescent="0.25">
      <c r="A1377" s="663"/>
    </row>
    <row r="1378" spans="1:1" ht="15.75" x14ac:dyDescent="0.25">
      <c r="A1378" s="663"/>
    </row>
    <row r="1379" spans="1:1" ht="15.75" x14ac:dyDescent="0.25">
      <c r="A1379" s="663"/>
    </row>
    <row r="1380" spans="1:1" ht="15.75" x14ac:dyDescent="0.25">
      <c r="A1380" s="663"/>
    </row>
    <row r="1381" spans="1:1" ht="15.75" x14ac:dyDescent="0.25">
      <c r="A1381" s="663"/>
    </row>
    <row r="1382" spans="1:1" ht="15.75" x14ac:dyDescent="0.25">
      <c r="A1382" s="663"/>
    </row>
    <row r="1383" spans="1:1" ht="15.75" x14ac:dyDescent="0.25">
      <c r="A1383" s="663"/>
    </row>
    <row r="1384" spans="1:1" ht="15.75" x14ac:dyDescent="0.25">
      <c r="A1384" s="663"/>
    </row>
    <row r="1385" spans="1:1" ht="15.75" x14ac:dyDescent="0.25">
      <c r="A1385" s="663"/>
    </row>
    <row r="1386" spans="1:1" ht="15.75" x14ac:dyDescent="0.25">
      <c r="A1386" s="663"/>
    </row>
    <row r="1387" spans="1:1" ht="15.75" x14ac:dyDescent="0.25">
      <c r="A1387" s="663"/>
    </row>
    <row r="1388" spans="1:1" ht="15.75" x14ac:dyDescent="0.25">
      <c r="A1388" s="663"/>
    </row>
    <row r="1389" spans="1:1" ht="15.75" x14ac:dyDescent="0.25">
      <c r="A1389" s="663"/>
    </row>
    <row r="1390" spans="1:1" ht="15.75" x14ac:dyDescent="0.25">
      <c r="A1390" s="663"/>
    </row>
    <row r="1391" spans="1:1" ht="15.75" x14ac:dyDescent="0.25">
      <c r="A1391" s="663"/>
    </row>
    <row r="1392" spans="1:1" ht="15.75" x14ac:dyDescent="0.25">
      <c r="A1392" s="663"/>
    </row>
    <row r="1393" spans="1:1" ht="15.75" x14ac:dyDescent="0.25">
      <c r="A1393" s="663"/>
    </row>
    <row r="1394" spans="1:1" ht="15.75" x14ac:dyDescent="0.25">
      <c r="A1394" s="663"/>
    </row>
    <row r="1395" spans="1:1" ht="15.75" x14ac:dyDescent="0.25">
      <c r="A1395" s="663"/>
    </row>
    <row r="1396" spans="1:1" ht="15.75" x14ac:dyDescent="0.25">
      <c r="A1396" s="663"/>
    </row>
    <row r="1397" spans="1:1" ht="15.75" x14ac:dyDescent="0.25">
      <c r="A1397" s="663"/>
    </row>
    <row r="1398" spans="1:1" ht="15.75" x14ac:dyDescent="0.25">
      <c r="A1398" s="663"/>
    </row>
    <row r="1399" spans="1:1" ht="15.75" x14ac:dyDescent="0.25">
      <c r="A1399" s="663"/>
    </row>
    <row r="1400" spans="1:1" ht="15.75" x14ac:dyDescent="0.25">
      <c r="A1400" s="663"/>
    </row>
    <row r="1401" spans="1:1" ht="15.75" x14ac:dyDescent="0.25">
      <c r="A1401" s="663"/>
    </row>
    <row r="1402" spans="1:1" ht="15.75" x14ac:dyDescent="0.25">
      <c r="A1402" s="663"/>
    </row>
    <row r="1403" spans="1:1" ht="15.75" x14ac:dyDescent="0.25">
      <c r="A1403" s="663"/>
    </row>
    <row r="1404" spans="1:1" ht="15.75" x14ac:dyDescent="0.25">
      <c r="A1404" s="663"/>
    </row>
    <row r="1405" spans="1:1" ht="15.75" x14ac:dyDescent="0.25">
      <c r="A1405" s="663"/>
    </row>
    <row r="1406" spans="1:1" ht="15.75" x14ac:dyDescent="0.25">
      <c r="A1406" s="663"/>
    </row>
    <row r="1407" spans="1:1" ht="15.75" x14ac:dyDescent="0.25">
      <c r="A1407" s="663"/>
    </row>
    <row r="1408" spans="1:1" ht="15.75" x14ac:dyDescent="0.25">
      <c r="A1408" s="663"/>
    </row>
    <row r="1409" spans="1:1" ht="15.75" x14ac:dyDescent="0.25">
      <c r="A1409" s="663"/>
    </row>
    <row r="1410" spans="1:1" ht="15.75" x14ac:dyDescent="0.25">
      <c r="A1410" s="663"/>
    </row>
    <row r="1411" spans="1:1" ht="15.75" x14ac:dyDescent="0.25">
      <c r="A1411" s="663"/>
    </row>
    <row r="1412" spans="1:1" ht="15.75" x14ac:dyDescent="0.25">
      <c r="A1412" s="663"/>
    </row>
    <row r="1413" spans="1:1" ht="15.75" x14ac:dyDescent="0.25">
      <c r="A1413" s="663"/>
    </row>
    <row r="1414" spans="1:1" ht="15.75" x14ac:dyDescent="0.25">
      <c r="A1414" s="663"/>
    </row>
    <row r="1415" spans="1:1" ht="15.75" x14ac:dyDescent="0.25">
      <c r="A1415" s="663"/>
    </row>
    <row r="1416" spans="1:1" ht="15.75" x14ac:dyDescent="0.25">
      <c r="A1416" s="663"/>
    </row>
    <row r="1417" spans="1:1" ht="15.75" x14ac:dyDescent="0.25">
      <c r="A1417" s="663"/>
    </row>
    <row r="1418" spans="1:1" ht="15.75" x14ac:dyDescent="0.25">
      <c r="A1418" s="663"/>
    </row>
    <row r="1419" spans="1:1" ht="15.75" x14ac:dyDescent="0.25">
      <c r="A1419" s="663"/>
    </row>
    <row r="1420" spans="1:1" ht="15.75" x14ac:dyDescent="0.25">
      <c r="A1420" s="663"/>
    </row>
    <row r="1421" spans="1:1" ht="15.75" x14ac:dyDescent="0.25">
      <c r="A1421" s="663"/>
    </row>
    <row r="1422" spans="1:1" ht="15.75" x14ac:dyDescent="0.25">
      <c r="A1422" s="663"/>
    </row>
    <row r="1423" spans="1:1" ht="15.75" x14ac:dyDescent="0.25">
      <c r="A1423" s="663"/>
    </row>
    <row r="1424" spans="1:1" ht="15.75" x14ac:dyDescent="0.25">
      <c r="A1424" s="663"/>
    </row>
    <row r="1425" spans="1:1" ht="15.75" x14ac:dyDescent="0.25">
      <c r="A1425" s="663"/>
    </row>
    <row r="1426" spans="1:1" ht="15.75" x14ac:dyDescent="0.25">
      <c r="A1426" s="663"/>
    </row>
    <row r="1427" spans="1:1" ht="15.75" x14ac:dyDescent="0.25">
      <c r="A1427" s="663"/>
    </row>
    <row r="1428" spans="1:1" ht="15.75" x14ac:dyDescent="0.25">
      <c r="A1428" s="663"/>
    </row>
    <row r="1429" spans="1:1" ht="15.75" x14ac:dyDescent="0.25">
      <c r="A1429" s="663"/>
    </row>
    <row r="1430" spans="1:1" ht="15.75" x14ac:dyDescent="0.25">
      <c r="A1430" s="663"/>
    </row>
    <row r="1431" spans="1:1" ht="15.75" x14ac:dyDescent="0.25">
      <c r="A1431" s="663"/>
    </row>
    <row r="1432" spans="1:1" ht="15.75" x14ac:dyDescent="0.25">
      <c r="A1432" s="663"/>
    </row>
    <row r="1433" spans="1:1" ht="15.75" x14ac:dyDescent="0.25">
      <c r="A1433" s="663"/>
    </row>
    <row r="1434" spans="1:1" ht="15.75" x14ac:dyDescent="0.25">
      <c r="A1434" s="663"/>
    </row>
    <row r="1435" spans="1:1" ht="15.75" x14ac:dyDescent="0.25">
      <c r="A1435" s="663"/>
    </row>
    <row r="1436" spans="1:1" ht="15.75" x14ac:dyDescent="0.25">
      <c r="A1436" s="663"/>
    </row>
    <row r="1437" spans="1:1" ht="15.75" x14ac:dyDescent="0.25">
      <c r="A1437" s="663"/>
    </row>
    <row r="1438" spans="1:1" ht="15.75" x14ac:dyDescent="0.25">
      <c r="A1438" s="663"/>
    </row>
    <row r="1439" spans="1:1" ht="15.75" x14ac:dyDescent="0.25">
      <c r="A1439" s="663"/>
    </row>
    <row r="1440" spans="1:1" ht="15.75" x14ac:dyDescent="0.25">
      <c r="A1440" s="663"/>
    </row>
    <row r="1441" spans="1:1" ht="15.75" x14ac:dyDescent="0.25">
      <c r="A1441" s="663"/>
    </row>
    <row r="1442" spans="1:1" ht="15.75" x14ac:dyDescent="0.25">
      <c r="A1442" s="663"/>
    </row>
    <row r="1443" spans="1:1" ht="15.75" x14ac:dyDescent="0.25">
      <c r="A1443" s="663"/>
    </row>
    <row r="1444" spans="1:1" ht="15.75" x14ac:dyDescent="0.25">
      <c r="A1444" s="663"/>
    </row>
    <row r="1445" spans="1:1" ht="15.75" x14ac:dyDescent="0.25">
      <c r="A1445" s="663"/>
    </row>
    <row r="1446" spans="1:1" ht="15.75" x14ac:dyDescent="0.25">
      <c r="A1446" s="663"/>
    </row>
    <row r="1447" spans="1:1" ht="15.75" x14ac:dyDescent="0.25">
      <c r="A1447" s="663"/>
    </row>
    <row r="1448" spans="1:1" ht="15.75" x14ac:dyDescent="0.25">
      <c r="A1448" s="663"/>
    </row>
    <row r="1449" spans="1:1" ht="15.75" x14ac:dyDescent="0.25">
      <c r="A1449" s="663"/>
    </row>
    <row r="1450" spans="1:1" ht="15.75" x14ac:dyDescent="0.25">
      <c r="A1450" s="663"/>
    </row>
    <row r="1451" spans="1:1" ht="15.75" x14ac:dyDescent="0.25">
      <c r="A1451" s="663"/>
    </row>
    <row r="1452" spans="1:1" ht="15.75" x14ac:dyDescent="0.25">
      <c r="A1452" s="663"/>
    </row>
    <row r="1453" spans="1:1" ht="15.75" x14ac:dyDescent="0.25">
      <c r="A1453" s="663"/>
    </row>
    <row r="1454" spans="1:1" ht="15.75" x14ac:dyDescent="0.25">
      <c r="A1454" s="663"/>
    </row>
    <row r="1455" spans="1:1" ht="15.75" x14ac:dyDescent="0.25">
      <c r="A1455" s="663"/>
    </row>
    <row r="1456" spans="1:1" ht="15.75" x14ac:dyDescent="0.25">
      <c r="A1456" s="663"/>
    </row>
    <row r="1457" spans="1:1" ht="15.75" x14ac:dyDescent="0.25">
      <c r="A1457" s="663"/>
    </row>
    <row r="1458" spans="1:1" ht="15.75" x14ac:dyDescent="0.25">
      <c r="A1458" s="663"/>
    </row>
    <row r="1459" spans="1:1" ht="15.75" x14ac:dyDescent="0.25">
      <c r="A1459" s="663"/>
    </row>
    <row r="1460" spans="1:1" ht="15.75" x14ac:dyDescent="0.25">
      <c r="A1460" s="663"/>
    </row>
    <row r="1461" spans="1:1" ht="15.75" x14ac:dyDescent="0.25">
      <c r="A1461" s="663"/>
    </row>
    <row r="1462" spans="1:1" ht="15.75" x14ac:dyDescent="0.25">
      <c r="A1462" s="663"/>
    </row>
    <row r="1463" spans="1:1" ht="15.75" x14ac:dyDescent="0.25">
      <c r="A1463" s="663"/>
    </row>
    <row r="1464" spans="1:1" ht="15.75" x14ac:dyDescent="0.25">
      <c r="A1464" s="663"/>
    </row>
    <row r="1465" spans="1:1" ht="15.75" x14ac:dyDescent="0.25">
      <c r="A1465" s="663"/>
    </row>
    <row r="1466" spans="1:1" ht="15.75" x14ac:dyDescent="0.25">
      <c r="A1466" s="663"/>
    </row>
    <row r="1467" spans="1:1" ht="15.75" x14ac:dyDescent="0.25">
      <c r="A1467" s="663"/>
    </row>
    <row r="1468" spans="1:1" ht="15.75" x14ac:dyDescent="0.25">
      <c r="A1468" s="663"/>
    </row>
    <row r="1469" spans="1:1" ht="15.75" x14ac:dyDescent="0.25">
      <c r="A1469" s="663"/>
    </row>
    <row r="1470" spans="1:1" ht="15.75" x14ac:dyDescent="0.25">
      <c r="A1470" s="663"/>
    </row>
    <row r="1471" spans="1:1" ht="15.75" x14ac:dyDescent="0.25">
      <c r="A1471" s="663"/>
    </row>
    <row r="1472" spans="1:1" ht="15.75" x14ac:dyDescent="0.25">
      <c r="A1472" s="663"/>
    </row>
    <row r="1473" spans="1:1" ht="15.75" x14ac:dyDescent="0.25">
      <c r="A1473" s="663"/>
    </row>
    <row r="1474" spans="1:1" ht="15.75" x14ac:dyDescent="0.25">
      <c r="A1474" s="663"/>
    </row>
    <row r="1475" spans="1:1" ht="15.75" x14ac:dyDescent="0.25">
      <c r="A1475" s="663"/>
    </row>
    <row r="1476" spans="1:1" ht="15.75" x14ac:dyDescent="0.25">
      <c r="A1476" s="663"/>
    </row>
    <row r="1477" spans="1:1" ht="15.75" x14ac:dyDescent="0.25">
      <c r="A1477" s="663"/>
    </row>
    <row r="1478" spans="1:1" ht="15.75" x14ac:dyDescent="0.25">
      <c r="A1478" s="663"/>
    </row>
    <row r="1479" spans="1:1" ht="15.75" x14ac:dyDescent="0.25">
      <c r="A1479" s="663"/>
    </row>
    <row r="1480" spans="1:1" ht="15.75" x14ac:dyDescent="0.25">
      <c r="A1480" s="663"/>
    </row>
    <row r="1481" spans="1:1" ht="15.75" x14ac:dyDescent="0.25">
      <c r="A1481" s="663"/>
    </row>
    <row r="1482" spans="1:1" ht="15.75" x14ac:dyDescent="0.25">
      <c r="A1482" s="663"/>
    </row>
    <row r="1483" spans="1:1" ht="15.75" x14ac:dyDescent="0.25">
      <c r="A1483" s="663"/>
    </row>
    <row r="1484" spans="1:1" ht="15.75" x14ac:dyDescent="0.25">
      <c r="A1484" s="663"/>
    </row>
    <row r="1485" spans="1:1" ht="15.75" x14ac:dyDescent="0.25">
      <c r="A1485" s="663"/>
    </row>
    <row r="1486" spans="1:1" ht="15.75" x14ac:dyDescent="0.25">
      <c r="A1486" s="663"/>
    </row>
    <row r="1487" spans="1:1" ht="15.75" x14ac:dyDescent="0.25">
      <c r="A1487" s="663"/>
    </row>
    <row r="1488" spans="1:1" ht="15.75" x14ac:dyDescent="0.25">
      <c r="A1488" s="663"/>
    </row>
    <row r="1489" spans="1:1" ht="15.75" x14ac:dyDescent="0.25">
      <c r="A1489" s="663"/>
    </row>
    <row r="1490" spans="1:1" ht="15.75" x14ac:dyDescent="0.25">
      <c r="A1490" s="663"/>
    </row>
    <row r="1491" spans="1:1" ht="15.75" x14ac:dyDescent="0.25">
      <c r="A1491" s="663"/>
    </row>
    <row r="1492" spans="1:1" ht="15.75" x14ac:dyDescent="0.25">
      <c r="A1492" s="663"/>
    </row>
    <row r="1493" spans="1:1" ht="15.75" x14ac:dyDescent="0.25">
      <c r="A1493" s="663"/>
    </row>
    <row r="1494" spans="1:1" ht="15.75" x14ac:dyDescent="0.25">
      <c r="A1494" s="663"/>
    </row>
    <row r="1495" spans="1:1" ht="15.75" x14ac:dyDescent="0.25">
      <c r="A1495" s="663"/>
    </row>
    <row r="1496" spans="1:1" ht="15.75" x14ac:dyDescent="0.25">
      <c r="A1496" s="663"/>
    </row>
    <row r="1497" spans="1:1" ht="15.75" x14ac:dyDescent="0.25">
      <c r="A1497" s="663"/>
    </row>
    <row r="1498" spans="1:1" ht="15.75" x14ac:dyDescent="0.25">
      <c r="A1498" s="663"/>
    </row>
    <row r="1499" spans="1:1" ht="15.75" x14ac:dyDescent="0.25">
      <c r="A1499" s="663"/>
    </row>
    <row r="1500" spans="1:1" ht="15.75" x14ac:dyDescent="0.25">
      <c r="A1500" s="663"/>
    </row>
    <row r="1501" spans="1:1" ht="15.75" x14ac:dyDescent="0.25">
      <c r="A1501" s="663"/>
    </row>
    <row r="1502" spans="1:1" ht="15.75" x14ac:dyDescent="0.25">
      <c r="A1502" s="663"/>
    </row>
    <row r="1503" spans="1:1" ht="15.75" x14ac:dyDescent="0.25">
      <c r="A1503" s="663"/>
    </row>
    <row r="1504" spans="1:1" ht="15.75" x14ac:dyDescent="0.25">
      <c r="A1504" s="663"/>
    </row>
    <row r="1505" spans="1:1" ht="15.75" x14ac:dyDescent="0.25">
      <c r="A1505" s="663"/>
    </row>
    <row r="1506" spans="1:1" ht="15.75" x14ac:dyDescent="0.25">
      <c r="A1506" s="663"/>
    </row>
    <row r="1507" spans="1:1" ht="15.75" x14ac:dyDescent="0.25">
      <c r="A1507" s="663"/>
    </row>
    <row r="1508" spans="1:1" ht="15.75" x14ac:dyDescent="0.25">
      <c r="A1508" s="663"/>
    </row>
    <row r="1509" spans="1:1" ht="15.75" x14ac:dyDescent="0.25">
      <c r="A1509" s="663"/>
    </row>
    <row r="1510" spans="1:1" ht="15.75" x14ac:dyDescent="0.25">
      <c r="A1510" s="663"/>
    </row>
    <row r="1511" spans="1:1" ht="15.75" x14ac:dyDescent="0.25">
      <c r="A1511" s="663"/>
    </row>
    <row r="1512" spans="1:1" ht="15.75" x14ac:dyDescent="0.25">
      <c r="A1512" s="663"/>
    </row>
    <row r="1513" spans="1:1" ht="15.75" x14ac:dyDescent="0.25">
      <c r="A1513" s="663"/>
    </row>
    <row r="1514" spans="1:1" ht="15.75" x14ac:dyDescent="0.25">
      <c r="A1514" s="663"/>
    </row>
    <row r="1515" spans="1:1" ht="15.75" x14ac:dyDescent="0.25">
      <c r="A1515" s="663"/>
    </row>
    <row r="1516" spans="1:1" ht="15.75" x14ac:dyDescent="0.25">
      <c r="A1516" s="663"/>
    </row>
    <row r="1517" spans="1:1" ht="15.75" x14ac:dyDescent="0.25">
      <c r="A1517" s="663"/>
    </row>
    <row r="1518" spans="1:1" ht="15.75" x14ac:dyDescent="0.25">
      <c r="A1518" s="663"/>
    </row>
    <row r="1519" spans="1:1" ht="15.75" x14ac:dyDescent="0.25">
      <c r="A1519" s="663"/>
    </row>
    <row r="1520" spans="1:1" ht="15.75" x14ac:dyDescent="0.25">
      <c r="A1520" s="663"/>
    </row>
    <row r="1521" spans="1:1" ht="15.75" x14ac:dyDescent="0.25">
      <c r="A1521" s="663"/>
    </row>
    <row r="1522" spans="1:1" ht="15.75" x14ac:dyDescent="0.25">
      <c r="A1522" s="663"/>
    </row>
    <row r="1523" spans="1:1" ht="15.75" x14ac:dyDescent="0.25">
      <c r="A1523" s="663"/>
    </row>
    <row r="1524" spans="1:1" ht="15.75" x14ac:dyDescent="0.25">
      <c r="A1524" s="663"/>
    </row>
    <row r="1525" spans="1:1" ht="15.75" x14ac:dyDescent="0.25">
      <c r="A1525" s="663"/>
    </row>
    <row r="1526" spans="1:1" ht="15.75" x14ac:dyDescent="0.25">
      <c r="A1526" s="663"/>
    </row>
    <row r="1527" spans="1:1" ht="15.75" x14ac:dyDescent="0.25">
      <c r="A1527" s="663"/>
    </row>
    <row r="1528" spans="1:1" ht="15.75" x14ac:dyDescent="0.25">
      <c r="A1528" s="663"/>
    </row>
    <row r="1529" spans="1:1" ht="15.75" x14ac:dyDescent="0.25">
      <c r="A1529" s="663"/>
    </row>
    <row r="1530" spans="1:1" ht="15.75" x14ac:dyDescent="0.25">
      <c r="A1530" s="663"/>
    </row>
    <row r="1531" spans="1:1" ht="15.75" x14ac:dyDescent="0.25">
      <c r="A1531" s="663"/>
    </row>
    <row r="1532" spans="1:1" ht="15.75" x14ac:dyDescent="0.25">
      <c r="A1532" s="663"/>
    </row>
    <row r="1533" spans="1:1" ht="15.75" x14ac:dyDescent="0.25">
      <c r="A1533" s="663"/>
    </row>
    <row r="1534" spans="1:1" ht="15.75" x14ac:dyDescent="0.25">
      <c r="A1534" s="663"/>
    </row>
    <row r="1535" spans="1:1" ht="15.75" x14ac:dyDescent="0.25">
      <c r="A1535" s="663"/>
    </row>
    <row r="1536" spans="1:1" ht="15.75" x14ac:dyDescent="0.25">
      <c r="A1536" s="663"/>
    </row>
    <row r="1537" spans="1:1" ht="15.75" x14ac:dyDescent="0.25">
      <c r="A1537" s="663"/>
    </row>
    <row r="1538" spans="1:1" ht="15.75" x14ac:dyDescent="0.25">
      <c r="A1538" s="663"/>
    </row>
    <row r="1539" spans="1:1" ht="15.75" x14ac:dyDescent="0.25">
      <c r="A1539" s="663"/>
    </row>
    <row r="1540" spans="1:1" ht="15.75" x14ac:dyDescent="0.25">
      <c r="A1540" s="663"/>
    </row>
    <row r="1541" spans="1:1" ht="15.75" x14ac:dyDescent="0.25">
      <c r="A1541" s="663"/>
    </row>
    <row r="1542" spans="1:1" ht="15.75" x14ac:dyDescent="0.25">
      <c r="A1542" s="663"/>
    </row>
    <row r="1543" spans="1:1" ht="15.75" x14ac:dyDescent="0.25">
      <c r="A1543" s="663"/>
    </row>
    <row r="1544" spans="1:1" ht="15.75" x14ac:dyDescent="0.25">
      <c r="A1544" s="663"/>
    </row>
    <row r="1545" spans="1:1" ht="15.75" x14ac:dyDescent="0.25">
      <c r="A1545" s="663"/>
    </row>
    <row r="1546" spans="1:1" ht="15.75" x14ac:dyDescent="0.25">
      <c r="A1546" s="663"/>
    </row>
    <row r="1547" spans="1:1" ht="15.75" x14ac:dyDescent="0.25">
      <c r="A1547" s="663"/>
    </row>
    <row r="1548" spans="1:1" ht="15.75" x14ac:dyDescent="0.25">
      <c r="A1548" s="663"/>
    </row>
    <row r="1549" spans="1:1" ht="15.75" x14ac:dyDescent="0.25">
      <c r="A1549" s="663"/>
    </row>
    <row r="1550" spans="1:1" ht="15.75" x14ac:dyDescent="0.25">
      <c r="A1550" s="663"/>
    </row>
    <row r="1551" spans="1:1" ht="15.75" x14ac:dyDescent="0.25">
      <c r="A1551" s="663"/>
    </row>
    <row r="1552" spans="1:1" ht="15.75" x14ac:dyDescent="0.25">
      <c r="A1552" s="663"/>
    </row>
    <row r="1553" spans="1:1" ht="15.75" x14ac:dyDescent="0.25">
      <c r="A1553" s="663"/>
    </row>
    <row r="1554" spans="1:1" ht="15.75" x14ac:dyDescent="0.25">
      <c r="A1554" s="663"/>
    </row>
    <row r="1555" spans="1:1" ht="15.75" x14ac:dyDescent="0.25">
      <c r="A1555" s="663"/>
    </row>
    <row r="1556" spans="1:1" ht="15.75" x14ac:dyDescent="0.25">
      <c r="A1556" s="663"/>
    </row>
    <row r="1557" spans="1:1" ht="15.75" x14ac:dyDescent="0.25">
      <c r="A1557" s="663"/>
    </row>
    <row r="1558" spans="1:1" ht="15.75" x14ac:dyDescent="0.25">
      <c r="A1558" s="663"/>
    </row>
    <row r="1559" spans="1:1" ht="15.75" x14ac:dyDescent="0.25">
      <c r="A1559" s="663"/>
    </row>
    <row r="1560" spans="1:1" ht="15.75" x14ac:dyDescent="0.25">
      <c r="A1560" s="663"/>
    </row>
    <row r="1561" spans="1:1" ht="15.75" x14ac:dyDescent="0.25">
      <c r="A1561" s="663"/>
    </row>
    <row r="1562" spans="1:1" ht="15.75" x14ac:dyDescent="0.25">
      <c r="A1562" s="663"/>
    </row>
    <row r="1563" spans="1:1" ht="15.75" x14ac:dyDescent="0.25">
      <c r="A1563" s="663"/>
    </row>
    <row r="1564" spans="1:1" ht="15.75" x14ac:dyDescent="0.25">
      <c r="A1564" s="663"/>
    </row>
    <row r="1565" spans="1:1" ht="15.75" x14ac:dyDescent="0.25">
      <c r="A1565" s="663"/>
    </row>
    <row r="1566" spans="1:1" ht="15.75" x14ac:dyDescent="0.25">
      <c r="A1566" s="663"/>
    </row>
    <row r="1567" spans="1:1" ht="15.75" x14ac:dyDescent="0.25">
      <c r="A1567" s="663"/>
    </row>
    <row r="1568" spans="1:1" ht="15.75" x14ac:dyDescent="0.25">
      <c r="A1568" s="663"/>
    </row>
    <row r="1569" spans="1:1" ht="15.75" x14ac:dyDescent="0.25">
      <c r="A1569" s="663"/>
    </row>
    <row r="1570" spans="1:1" ht="15.75" x14ac:dyDescent="0.25">
      <c r="A1570" s="663"/>
    </row>
    <row r="1571" spans="1:1" ht="15.75" x14ac:dyDescent="0.25">
      <c r="A1571" s="663"/>
    </row>
    <row r="1572" spans="1:1" ht="15.75" x14ac:dyDescent="0.25">
      <c r="A1572" s="663"/>
    </row>
    <row r="1573" spans="1:1" ht="15.75" x14ac:dyDescent="0.25">
      <c r="A1573" s="663"/>
    </row>
    <row r="1574" spans="1:1" ht="15.75" x14ac:dyDescent="0.25">
      <c r="A1574" s="663"/>
    </row>
    <row r="1575" spans="1:1" ht="15.75" x14ac:dyDescent="0.25">
      <c r="A1575" s="663"/>
    </row>
    <row r="1576" spans="1:1" ht="15.75" x14ac:dyDescent="0.25">
      <c r="A1576" s="663"/>
    </row>
    <row r="1577" spans="1:1" ht="15.75" x14ac:dyDescent="0.25">
      <c r="A1577" s="663"/>
    </row>
    <row r="1578" spans="1:1" ht="15.75" x14ac:dyDescent="0.25">
      <c r="A1578" s="663"/>
    </row>
    <row r="1579" spans="1:1" ht="15.75" x14ac:dyDescent="0.25">
      <c r="A1579" s="663"/>
    </row>
    <row r="1580" spans="1:1" ht="15.75" x14ac:dyDescent="0.25">
      <c r="A1580" s="663"/>
    </row>
    <row r="1581" spans="1:1" ht="15.75" x14ac:dyDescent="0.25">
      <c r="A1581" s="663"/>
    </row>
    <row r="1582" spans="1:1" ht="15.75" x14ac:dyDescent="0.25">
      <c r="A1582" s="663"/>
    </row>
    <row r="1583" spans="1:1" ht="15.75" x14ac:dyDescent="0.25">
      <c r="A1583" s="663"/>
    </row>
    <row r="1584" spans="1:1" ht="15.75" x14ac:dyDescent="0.25">
      <c r="A1584" s="663"/>
    </row>
    <row r="1585" spans="1:1" ht="15.75" x14ac:dyDescent="0.25">
      <c r="A1585" s="663"/>
    </row>
    <row r="1586" spans="1:1" ht="15.75" x14ac:dyDescent="0.25">
      <c r="A1586" s="663"/>
    </row>
    <row r="1587" spans="1:1" ht="15.75" x14ac:dyDescent="0.25">
      <c r="A1587" s="663"/>
    </row>
    <row r="1588" spans="1:1" ht="15.75" x14ac:dyDescent="0.25">
      <c r="A1588" s="663"/>
    </row>
    <row r="1589" spans="1:1" ht="15.75" x14ac:dyDescent="0.25">
      <c r="A1589" s="663"/>
    </row>
    <row r="1590" spans="1:1" ht="15.75" x14ac:dyDescent="0.25">
      <c r="A1590" s="663"/>
    </row>
    <row r="1591" spans="1:1" ht="15.75" x14ac:dyDescent="0.25">
      <c r="A1591" s="663"/>
    </row>
    <row r="1592" spans="1:1" ht="15.75" x14ac:dyDescent="0.25">
      <c r="A1592" s="663"/>
    </row>
    <row r="1593" spans="1:1" ht="15.75" x14ac:dyDescent="0.25">
      <c r="A1593" s="663"/>
    </row>
    <row r="1594" spans="1:1" ht="15.75" x14ac:dyDescent="0.25">
      <c r="A1594" s="663"/>
    </row>
    <row r="1595" spans="1:1" ht="15.75" x14ac:dyDescent="0.25">
      <c r="A1595" s="663"/>
    </row>
    <row r="1596" spans="1:1" ht="15.75" x14ac:dyDescent="0.25">
      <c r="A1596" s="663"/>
    </row>
    <row r="1597" spans="1:1" ht="15.75" x14ac:dyDescent="0.25">
      <c r="A1597" s="663"/>
    </row>
    <row r="1598" spans="1:1" ht="15.75" x14ac:dyDescent="0.25">
      <c r="A1598" s="663"/>
    </row>
    <row r="1599" spans="1:1" ht="15.75" x14ac:dyDescent="0.25">
      <c r="A1599" s="663"/>
    </row>
    <row r="1600" spans="1:1" ht="15.75" x14ac:dyDescent="0.25">
      <c r="A1600" s="663"/>
    </row>
    <row r="1601" spans="1:1" ht="15.75" x14ac:dyDescent="0.25">
      <c r="A1601" s="663"/>
    </row>
    <row r="1602" spans="1:1" ht="15.75" x14ac:dyDescent="0.25">
      <c r="A1602" s="663"/>
    </row>
    <row r="1603" spans="1:1" ht="15.75" x14ac:dyDescent="0.25">
      <c r="A1603" s="663"/>
    </row>
    <row r="1604" spans="1:1" ht="15.75" x14ac:dyDescent="0.25">
      <c r="A1604" s="663"/>
    </row>
    <row r="1605" spans="1:1" ht="15.75" x14ac:dyDescent="0.25">
      <c r="A1605" s="663"/>
    </row>
    <row r="1606" spans="1:1" ht="15.75" x14ac:dyDescent="0.25">
      <c r="A1606" s="663"/>
    </row>
    <row r="1607" spans="1:1" ht="15.75" x14ac:dyDescent="0.25">
      <c r="A1607" s="663"/>
    </row>
    <row r="1608" spans="1:1" ht="15.75" x14ac:dyDescent="0.25">
      <c r="A1608" s="663"/>
    </row>
    <row r="1609" spans="1:1" ht="15.75" x14ac:dyDescent="0.25">
      <c r="A1609" s="663"/>
    </row>
    <row r="1610" spans="1:1" ht="15.75" x14ac:dyDescent="0.25">
      <c r="A1610" s="663"/>
    </row>
    <row r="1611" spans="1:1" ht="15.75" x14ac:dyDescent="0.25">
      <c r="A1611" s="663"/>
    </row>
    <row r="1612" spans="1:1" ht="15.75" x14ac:dyDescent="0.25">
      <c r="A1612" s="663"/>
    </row>
    <row r="1613" spans="1:1" ht="15.75" x14ac:dyDescent="0.25">
      <c r="A1613" s="663"/>
    </row>
    <row r="1614" spans="1:1" ht="15.75" x14ac:dyDescent="0.25">
      <c r="A1614" s="663"/>
    </row>
    <row r="1615" spans="1:1" ht="15.75" x14ac:dyDescent="0.25">
      <c r="A1615" s="663"/>
    </row>
    <row r="1616" spans="1:1" ht="15.75" x14ac:dyDescent="0.25">
      <c r="A1616" s="663"/>
    </row>
    <row r="1617" spans="1:1" ht="15.75" x14ac:dyDescent="0.25">
      <c r="A1617" s="663"/>
    </row>
    <row r="1618" spans="1:1" ht="15.75" x14ac:dyDescent="0.25">
      <c r="A1618" s="663"/>
    </row>
    <row r="1619" spans="1:1" ht="15.75" x14ac:dyDescent="0.25">
      <c r="A1619" s="663"/>
    </row>
    <row r="1620" spans="1:1" ht="15.75" x14ac:dyDescent="0.25">
      <c r="A1620" s="663"/>
    </row>
    <row r="1621" spans="1:1" ht="15.75" x14ac:dyDescent="0.25">
      <c r="A1621" s="663"/>
    </row>
    <row r="1622" spans="1:1" ht="15.75" x14ac:dyDescent="0.25">
      <c r="A1622" s="663"/>
    </row>
    <row r="1623" spans="1:1" ht="15.75" x14ac:dyDescent="0.25">
      <c r="A1623" s="663"/>
    </row>
    <row r="1624" spans="1:1" ht="15.75" x14ac:dyDescent="0.25">
      <c r="A1624" s="663"/>
    </row>
    <row r="1625" spans="1:1" ht="15.75" x14ac:dyDescent="0.25">
      <c r="A1625" s="663"/>
    </row>
    <row r="1626" spans="1:1" ht="15.75" x14ac:dyDescent="0.25">
      <c r="A1626" s="663"/>
    </row>
    <row r="1627" spans="1:1" ht="15.75" x14ac:dyDescent="0.25">
      <c r="A1627" s="663"/>
    </row>
    <row r="1628" spans="1:1" ht="15.75" x14ac:dyDescent="0.25">
      <c r="A1628" s="663"/>
    </row>
    <row r="1629" spans="1:1" ht="15.75" x14ac:dyDescent="0.25">
      <c r="A1629" s="663"/>
    </row>
    <row r="1630" spans="1:1" ht="15.75" x14ac:dyDescent="0.25">
      <c r="A1630" s="663"/>
    </row>
    <row r="1631" spans="1:1" ht="15.75" x14ac:dyDescent="0.25">
      <c r="A1631" s="663"/>
    </row>
    <row r="1632" spans="1:1" ht="15.75" x14ac:dyDescent="0.25">
      <c r="A1632" s="663"/>
    </row>
    <row r="1633" spans="1:1" ht="15.75" x14ac:dyDescent="0.25">
      <c r="A1633" s="663"/>
    </row>
    <row r="1634" spans="1:1" ht="15.75" x14ac:dyDescent="0.25">
      <c r="A1634" s="663"/>
    </row>
    <row r="1635" spans="1:1" ht="15.75" x14ac:dyDescent="0.25">
      <c r="A1635" s="663"/>
    </row>
    <row r="1636" spans="1:1" ht="15.75" x14ac:dyDescent="0.25">
      <c r="A1636" s="663"/>
    </row>
    <row r="1637" spans="1:1" ht="15.75" x14ac:dyDescent="0.25">
      <c r="A1637" s="663"/>
    </row>
    <row r="1638" spans="1:1" ht="15.75" x14ac:dyDescent="0.25">
      <c r="A1638" s="663"/>
    </row>
    <row r="1639" spans="1:1" ht="15.75" x14ac:dyDescent="0.25">
      <c r="A1639" s="663"/>
    </row>
    <row r="1640" spans="1:1" ht="15.75" x14ac:dyDescent="0.25">
      <c r="A1640" s="663"/>
    </row>
    <row r="1641" spans="1:1" ht="15.75" x14ac:dyDescent="0.25">
      <c r="A1641" s="663"/>
    </row>
    <row r="1642" spans="1:1" ht="15.75" x14ac:dyDescent="0.25">
      <c r="A1642" s="663"/>
    </row>
    <row r="1643" spans="1:1" ht="15.75" x14ac:dyDescent="0.25">
      <c r="A1643" s="663"/>
    </row>
    <row r="1644" spans="1:1" ht="15.75" x14ac:dyDescent="0.25">
      <c r="A1644" s="663"/>
    </row>
    <row r="1645" spans="1:1" ht="15.75" x14ac:dyDescent="0.25">
      <c r="A1645" s="663"/>
    </row>
    <row r="1646" spans="1:1" ht="15.75" x14ac:dyDescent="0.25">
      <c r="A1646" s="663"/>
    </row>
    <row r="1647" spans="1:1" ht="15.75" x14ac:dyDescent="0.25">
      <c r="A1647" s="663"/>
    </row>
    <row r="1648" spans="1:1" ht="15.75" x14ac:dyDescent="0.25">
      <c r="A1648" s="663"/>
    </row>
    <row r="1649" spans="1:1" ht="15.75" x14ac:dyDescent="0.25">
      <c r="A1649" s="663"/>
    </row>
    <row r="1650" spans="1:1" ht="15.75" x14ac:dyDescent="0.25">
      <c r="A1650" s="663"/>
    </row>
    <row r="1651" spans="1:1" ht="15.75" x14ac:dyDescent="0.25">
      <c r="A1651" s="663"/>
    </row>
    <row r="1652" spans="1:1" ht="15.75" x14ac:dyDescent="0.25">
      <c r="A1652" s="663"/>
    </row>
    <row r="1653" spans="1:1" ht="15.75" x14ac:dyDescent="0.25">
      <c r="A1653" s="663"/>
    </row>
    <row r="1654" spans="1:1" ht="15.75" x14ac:dyDescent="0.25">
      <c r="A1654" s="663"/>
    </row>
    <row r="1655" spans="1:1" ht="15.75" x14ac:dyDescent="0.25">
      <c r="A1655" s="663"/>
    </row>
    <row r="1656" spans="1:1" ht="15.75" x14ac:dyDescent="0.25">
      <c r="A1656" s="663"/>
    </row>
    <row r="1657" spans="1:1" ht="15.75" x14ac:dyDescent="0.25">
      <c r="A1657" s="663"/>
    </row>
    <row r="1658" spans="1:1" ht="15.75" x14ac:dyDescent="0.25">
      <c r="A1658" s="663"/>
    </row>
    <row r="1659" spans="1:1" ht="15.75" x14ac:dyDescent="0.25">
      <c r="A1659" s="663"/>
    </row>
    <row r="1660" spans="1:1" ht="15.75" x14ac:dyDescent="0.25">
      <c r="A1660" s="663"/>
    </row>
    <row r="1661" spans="1:1" ht="15.75" x14ac:dyDescent="0.25">
      <c r="A1661" s="663"/>
    </row>
    <row r="1662" spans="1:1" ht="15.75" x14ac:dyDescent="0.25">
      <c r="A1662" s="663"/>
    </row>
    <row r="1663" spans="1:1" ht="15.75" x14ac:dyDescent="0.25">
      <c r="A1663" s="663"/>
    </row>
    <row r="1664" spans="1:1" ht="15.75" x14ac:dyDescent="0.25">
      <c r="A1664" s="663"/>
    </row>
    <row r="1665" spans="1:1" ht="15.75" x14ac:dyDescent="0.25">
      <c r="A1665" s="663"/>
    </row>
    <row r="1666" spans="1:1" ht="15.75" x14ac:dyDescent="0.25">
      <c r="A1666" s="663"/>
    </row>
    <row r="1667" spans="1:1" ht="15.75" x14ac:dyDescent="0.25">
      <c r="A1667" s="663"/>
    </row>
    <row r="1668" spans="1:1" ht="15.75" x14ac:dyDescent="0.25">
      <c r="A1668" s="663"/>
    </row>
    <row r="1669" spans="1:1" ht="15.75" x14ac:dyDescent="0.25">
      <c r="A1669" s="663"/>
    </row>
    <row r="1670" spans="1:1" ht="15.75" x14ac:dyDescent="0.25">
      <c r="A1670" s="663"/>
    </row>
    <row r="1671" spans="1:1" ht="15.75" x14ac:dyDescent="0.25">
      <c r="A1671" s="663"/>
    </row>
    <row r="1672" spans="1:1" ht="15.75" x14ac:dyDescent="0.25">
      <c r="A1672" s="663"/>
    </row>
    <row r="1673" spans="1:1" ht="15.75" x14ac:dyDescent="0.25">
      <c r="A1673" s="663"/>
    </row>
    <row r="1674" spans="1:1" ht="15.75" x14ac:dyDescent="0.25">
      <c r="A1674" s="663"/>
    </row>
    <row r="1675" spans="1:1" ht="15.75" x14ac:dyDescent="0.25">
      <c r="A1675" s="663"/>
    </row>
    <row r="1676" spans="1:1" ht="15.75" x14ac:dyDescent="0.25">
      <c r="A1676" s="663"/>
    </row>
    <row r="1677" spans="1:1" ht="15.75" x14ac:dyDescent="0.25">
      <c r="A1677" s="663"/>
    </row>
    <row r="1678" spans="1:1" ht="15.75" x14ac:dyDescent="0.25">
      <c r="A1678" s="663"/>
    </row>
    <row r="1679" spans="1:1" ht="15.75" x14ac:dyDescent="0.25">
      <c r="A1679" s="663"/>
    </row>
    <row r="1680" spans="1:1" ht="15.75" x14ac:dyDescent="0.25">
      <c r="A1680" s="663"/>
    </row>
    <row r="1681" spans="1:1" ht="15.75" x14ac:dyDescent="0.25">
      <c r="A1681" s="663"/>
    </row>
    <row r="1682" spans="1:1" ht="15.75" x14ac:dyDescent="0.25">
      <c r="A1682" s="663"/>
    </row>
    <row r="1683" spans="1:1" ht="15.75" x14ac:dyDescent="0.25">
      <c r="A1683" s="663"/>
    </row>
    <row r="1684" spans="1:1" ht="15.75" x14ac:dyDescent="0.25">
      <c r="A1684" s="663"/>
    </row>
    <row r="1685" spans="1:1" ht="15.75" x14ac:dyDescent="0.25">
      <c r="A1685" s="663"/>
    </row>
    <row r="1686" spans="1:1" ht="15.75" x14ac:dyDescent="0.25">
      <c r="A1686" s="663"/>
    </row>
    <row r="1687" spans="1:1" ht="15.75" x14ac:dyDescent="0.25">
      <c r="A1687" s="663"/>
    </row>
    <row r="1688" spans="1:1" ht="15.75" x14ac:dyDescent="0.25">
      <c r="A1688" s="663"/>
    </row>
    <row r="1689" spans="1:1" ht="15.75" x14ac:dyDescent="0.25">
      <c r="A1689" s="663"/>
    </row>
    <row r="1690" spans="1:1" ht="15.75" x14ac:dyDescent="0.25">
      <c r="A1690" s="663"/>
    </row>
    <row r="1691" spans="1:1" ht="15.75" x14ac:dyDescent="0.25">
      <c r="A1691" s="663"/>
    </row>
    <row r="1692" spans="1:1" ht="15.75" x14ac:dyDescent="0.25">
      <c r="A1692" s="663"/>
    </row>
    <row r="1693" spans="1:1" ht="15.75" x14ac:dyDescent="0.25">
      <c r="A1693" s="663"/>
    </row>
    <row r="1694" spans="1:1" ht="15.75" x14ac:dyDescent="0.25">
      <c r="A1694" s="663"/>
    </row>
    <row r="1695" spans="1:1" ht="15.75" x14ac:dyDescent="0.25">
      <c r="A1695" s="663"/>
    </row>
    <row r="1696" spans="1:1" ht="15.75" x14ac:dyDescent="0.25">
      <c r="A1696" s="663"/>
    </row>
    <row r="1697" spans="1:1" ht="15.75" x14ac:dyDescent="0.25">
      <c r="A1697" s="663"/>
    </row>
    <row r="1698" spans="1:1" ht="15.75" x14ac:dyDescent="0.25">
      <c r="A1698" s="663"/>
    </row>
    <row r="1699" spans="1:1" ht="15.75" x14ac:dyDescent="0.25">
      <c r="A1699" s="663"/>
    </row>
    <row r="1700" spans="1:1" ht="15.75" x14ac:dyDescent="0.25">
      <c r="A1700" s="663"/>
    </row>
    <row r="1701" spans="1:1" ht="15.75" x14ac:dyDescent="0.25">
      <c r="A1701" s="663"/>
    </row>
    <row r="1702" spans="1:1" ht="15.75" x14ac:dyDescent="0.25">
      <c r="A1702" s="663"/>
    </row>
    <row r="1703" spans="1:1" ht="15.75" x14ac:dyDescent="0.25">
      <c r="A1703" s="663"/>
    </row>
    <row r="1704" spans="1:1" ht="15.75" x14ac:dyDescent="0.25">
      <c r="A1704" s="663"/>
    </row>
    <row r="1705" spans="1:1" ht="15.75" x14ac:dyDescent="0.25">
      <c r="A1705" s="663"/>
    </row>
    <row r="1706" spans="1:1" ht="15.75" x14ac:dyDescent="0.25">
      <c r="A1706" s="663"/>
    </row>
    <row r="1707" spans="1:1" ht="15.75" x14ac:dyDescent="0.25">
      <c r="A1707" s="663"/>
    </row>
    <row r="1708" spans="1:1" ht="15.75" x14ac:dyDescent="0.25">
      <c r="A1708" s="663"/>
    </row>
    <row r="1709" spans="1:1" ht="15.75" x14ac:dyDescent="0.25">
      <c r="A1709" s="663"/>
    </row>
    <row r="1710" spans="1:1" ht="15.75" x14ac:dyDescent="0.25">
      <c r="A1710" s="663"/>
    </row>
    <row r="1711" spans="1:1" ht="15.75" x14ac:dyDescent="0.25">
      <c r="A1711" s="663"/>
    </row>
    <row r="1712" spans="1:1" ht="15.75" x14ac:dyDescent="0.25">
      <c r="A1712" s="663"/>
    </row>
    <row r="1713" spans="1:1" ht="15.75" x14ac:dyDescent="0.25">
      <c r="A1713" s="663"/>
    </row>
    <row r="1714" spans="1:1" ht="15.75" x14ac:dyDescent="0.25">
      <c r="A1714" s="663"/>
    </row>
    <row r="1715" spans="1:1" ht="15.75" x14ac:dyDescent="0.25">
      <c r="A1715" s="663"/>
    </row>
    <row r="1716" spans="1:1" ht="15.75" x14ac:dyDescent="0.25">
      <c r="A1716" s="663"/>
    </row>
    <row r="1717" spans="1:1" ht="15.75" x14ac:dyDescent="0.25">
      <c r="A1717" s="663"/>
    </row>
    <row r="1718" spans="1:1" ht="15.75" x14ac:dyDescent="0.25">
      <c r="A1718" s="663"/>
    </row>
    <row r="1719" spans="1:1" ht="15.75" x14ac:dyDescent="0.25">
      <c r="A1719" s="663"/>
    </row>
    <row r="1720" spans="1:1" ht="15.75" x14ac:dyDescent="0.25">
      <c r="A1720" s="663"/>
    </row>
    <row r="1721" spans="1:1" ht="15.75" x14ac:dyDescent="0.25">
      <c r="A1721" s="663"/>
    </row>
    <row r="1722" spans="1:1" ht="15.75" x14ac:dyDescent="0.25">
      <c r="A1722" s="663"/>
    </row>
    <row r="1723" spans="1:1" ht="15.75" x14ac:dyDescent="0.25">
      <c r="A1723" s="663"/>
    </row>
    <row r="1724" spans="1:1" ht="15.75" x14ac:dyDescent="0.25">
      <c r="A1724" s="663"/>
    </row>
    <row r="1725" spans="1:1" ht="15.75" x14ac:dyDescent="0.25">
      <c r="A1725" s="663"/>
    </row>
    <row r="1726" spans="1:1" ht="15.75" x14ac:dyDescent="0.25">
      <c r="A1726" s="663"/>
    </row>
    <row r="1727" spans="1:1" ht="15.75" x14ac:dyDescent="0.25">
      <c r="A1727" s="663"/>
    </row>
    <row r="1728" spans="1:1" ht="15.75" x14ac:dyDescent="0.25">
      <c r="A1728" s="663"/>
    </row>
    <row r="1729" spans="1:1" ht="15.75" x14ac:dyDescent="0.25">
      <c r="A1729" s="663"/>
    </row>
    <row r="1730" spans="1:1" ht="15.75" x14ac:dyDescent="0.25">
      <c r="A1730" s="663"/>
    </row>
    <row r="1731" spans="1:1" ht="15.75" x14ac:dyDescent="0.25">
      <c r="A1731" s="663"/>
    </row>
    <row r="1732" spans="1:1" ht="15.75" x14ac:dyDescent="0.25">
      <c r="A1732" s="663"/>
    </row>
    <row r="1733" spans="1:1" ht="15.75" x14ac:dyDescent="0.25">
      <c r="A1733" s="663"/>
    </row>
    <row r="1734" spans="1:1" ht="15.75" x14ac:dyDescent="0.25">
      <c r="A1734" s="663"/>
    </row>
    <row r="1735" spans="1:1" ht="15.75" x14ac:dyDescent="0.25">
      <c r="A1735" s="663"/>
    </row>
    <row r="1736" spans="1:1" ht="15.75" x14ac:dyDescent="0.25">
      <c r="A1736" s="663"/>
    </row>
    <row r="1737" spans="1:1" ht="15.75" x14ac:dyDescent="0.25">
      <c r="A1737" s="663"/>
    </row>
    <row r="1738" spans="1:1" ht="15.75" x14ac:dyDescent="0.25">
      <c r="A1738" s="663"/>
    </row>
    <row r="1739" spans="1:1" ht="15.75" x14ac:dyDescent="0.25">
      <c r="A1739" s="663"/>
    </row>
    <row r="1740" spans="1:1" ht="15.75" x14ac:dyDescent="0.25">
      <c r="A1740" s="663"/>
    </row>
    <row r="1741" spans="1:1" ht="15.75" x14ac:dyDescent="0.25">
      <c r="A1741" s="663"/>
    </row>
    <row r="1742" spans="1:1" ht="15.75" x14ac:dyDescent="0.25">
      <c r="A1742" s="663"/>
    </row>
    <row r="1743" spans="1:1" ht="15.75" x14ac:dyDescent="0.25">
      <c r="A1743" s="663"/>
    </row>
    <row r="1744" spans="1:1" ht="15.75" x14ac:dyDescent="0.25">
      <c r="A1744" s="663"/>
    </row>
    <row r="1745" spans="1:1" ht="15.75" x14ac:dyDescent="0.25">
      <c r="A1745" s="663"/>
    </row>
    <row r="1746" spans="1:1" ht="15.75" x14ac:dyDescent="0.25">
      <c r="A1746" s="663"/>
    </row>
    <row r="1747" spans="1:1" ht="15.75" x14ac:dyDescent="0.25">
      <c r="A1747" s="663"/>
    </row>
    <row r="1748" spans="1:1" ht="15.75" x14ac:dyDescent="0.25">
      <c r="A1748" s="663"/>
    </row>
    <row r="1749" spans="1:1" ht="15.75" x14ac:dyDescent="0.25">
      <c r="A1749" s="663"/>
    </row>
    <row r="1750" spans="1:1" ht="15.75" x14ac:dyDescent="0.25">
      <c r="A1750" s="663"/>
    </row>
    <row r="1751" spans="1:1" ht="15.75" x14ac:dyDescent="0.25">
      <c r="A1751" s="663"/>
    </row>
    <row r="1752" spans="1:1" ht="15.75" x14ac:dyDescent="0.25">
      <c r="A1752" s="663"/>
    </row>
    <row r="1753" spans="1:1" ht="15.75" x14ac:dyDescent="0.25">
      <c r="A1753" s="663"/>
    </row>
    <row r="1754" spans="1:1" ht="15.75" x14ac:dyDescent="0.25">
      <c r="A1754" s="663"/>
    </row>
    <row r="1755" spans="1:1" ht="15.75" x14ac:dyDescent="0.25">
      <c r="A1755" s="663"/>
    </row>
    <row r="1756" spans="1:1" ht="15.75" x14ac:dyDescent="0.25">
      <c r="A1756" s="663"/>
    </row>
    <row r="1757" spans="1:1" ht="15.75" x14ac:dyDescent="0.25">
      <c r="A1757" s="663"/>
    </row>
    <row r="1758" spans="1:1" ht="15.75" x14ac:dyDescent="0.25">
      <c r="A1758" s="663"/>
    </row>
    <row r="1759" spans="1:1" ht="15.75" x14ac:dyDescent="0.25">
      <c r="A1759" s="663"/>
    </row>
    <row r="1760" spans="1:1" ht="15.75" x14ac:dyDescent="0.25">
      <c r="A1760" s="663"/>
    </row>
    <row r="1761" spans="1:1" ht="15.75" x14ac:dyDescent="0.25">
      <c r="A1761" s="663"/>
    </row>
    <row r="1762" spans="1:1" ht="15.75" x14ac:dyDescent="0.25">
      <c r="A1762" s="663"/>
    </row>
    <row r="1763" spans="1:1" ht="15.75" x14ac:dyDescent="0.25">
      <c r="A1763" s="663"/>
    </row>
    <row r="1764" spans="1:1" ht="15.75" x14ac:dyDescent="0.25">
      <c r="A1764" s="663"/>
    </row>
    <row r="1765" spans="1:1" ht="15.75" x14ac:dyDescent="0.25">
      <c r="A1765" s="663"/>
    </row>
    <row r="1766" spans="1:1" ht="15.75" x14ac:dyDescent="0.25">
      <c r="A1766" s="663"/>
    </row>
    <row r="1767" spans="1:1" ht="15.75" x14ac:dyDescent="0.25">
      <c r="A1767" s="663"/>
    </row>
    <row r="1768" spans="1:1" ht="15.75" x14ac:dyDescent="0.25">
      <c r="A1768" s="663"/>
    </row>
    <row r="1769" spans="1:1" ht="15.75" x14ac:dyDescent="0.25">
      <c r="A1769" s="663"/>
    </row>
    <row r="1770" spans="1:1" ht="15.75" x14ac:dyDescent="0.25">
      <c r="A1770" s="663"/>
    </row>
    <row r="1771" spans="1:1" ht="15.75" x14ac:dyDescent="0.25">
      <c r="A1771" s="663"/>
    </row>
    <row r="1772" spans="1:1" ht="15.75" x14ac:dyDescent="0.25">
      <c r="A1772" s="663"/>
    </row>
    <row r="1773" spans="1:1" ht="15.75" x14ac:dyDescent="0.25">
      <c r="A1773" s="663"/>
    </row>
    <row r="1774" spans="1:1" ht="15.75" x14ac:dyDescent="0.25">
      <c r="A1774" s="663"/>
    </row>
    <row r="1775" spans="1:1" ht="15.75" x14ac:dyDescent="0.25">
      <c r="A1775" s="663"/>
    </row>
    <row r="1776" spans="1:1" ht="15.75" x14ac:dyDescent="0.25">
      <c r="A1776" s="663"/>
    </row>
    <row r="1777" spans="1:1" ht="15.75" x14ac:dyDescent="0.25">
      <c r="A1777" s="663"/>
    </row>
    <row r="1778" spans="1:1" ht="15.75" x14ac:dyDescent="0.25">
      <c r="A1778" s="663"/>
    </row>
    <row r="1779" spans="1:1" ht="15.75" x14ac:dyDescent="0.25">
      <c r="A1779" s="663"/>
    </row>
    <row r="1780" spans="1:1" ht="15.75" x14ac:dyDescent="0.25">
      <c r="A1780" s="663"/>
    </row>
    <row r="1781" spans="1:1" ht="15.75" x14ac:dyDescent="0.25">
      <c r="A1781" s="663"/>
    </row>
    <row r="1782" spans="1:1" ht="15.75" x14ac:dyDescent="0.25">
      <c r="A1782" s="663"/>
    </row>
    <row r="1783" spans="1:1" ht="15.75" x14ac:dyDescent="0.25">
      <c r="A1783" s="663"/>
    </row>
    <row r="1784" spans="1:1" ht="15.75" x14ac:dyDescent="0.25">
      <c r="A1784" s="663"/>
    </row>
    <row r="1785" spans="1:1" ht="15.75" x14ac:dyDescent="0.25">
      <c r="A1785" s="663"/>
    </row>
    <row r="1786" spans="1:1" ht="15.75" x14ac:dyDescent="0.25">
      <c r="A1786" s="663"/>
    </row>
    <row r="1787" spans="1:1" ht="15.75" x14ac:dyDescent="0.25">
      <c r="A1787" s="663"/>
    </row>
    <row r="1788" spans="1:1" ht="15.75" x14ac:dyDescent="0.25">
      <c r="A1788" s="663"/>
    </row>
    <row r="1789" spans="1:1" ht="15.75" x14ac:dyDescent="0.25">
      <c r="A1789" s="663"/>
    </row>
    <row r="1790" spans="1:1" ht="15.75" x14ac:dyDescent="0.25">
      <c r="A1790" s="663"/>
    </row>
    <row r="1791" spans="1:1" ht="15.75" x14ac:dyDescent="0.25">
      <c r="A1791" s="663"/>
    </row>
    <row r="1792" spans="1:1" ht="15.75" x14ac:dyDescent="0.25">
      <c r="A1792" s="663"/>
    </row>
    <row r="1793" spans="1:1" ht="15.75" x14ac:dyDescent="0.25">
      <c r="A1793" s="663"/>
    </row>
    <row r="1794" spans="1:1" ht="15.75" x14ac:dyDescent="0.25">
      <c r="A1794" s="663"/>
    </row>
    <row r="1795" spans="1:1" ht="15.75" x14ac:dyDescent="0.25">
      <c r="A1795" s="663"/>
    </row>
    <row r="1796" spans="1:1" ht="15.75" x14ac:dyDescent="0.25">
      <c r="A1796" s="663"/>
    </row>
    <row r="1797" spans="1:1" ht="15.75" x14ac:dyDescent="0.25">
      <c r="A1797" s="663"/>
    </row>
    <row r="1798" spans="1:1" ht="15.75" x14ac:dyDescent="0.25">
      <c r="A1798" s="663"/>
    </row>
    <row r="1799" spans="1:1" ht="15.75" x14ac:dyDescent="0.25">
      <c r="A1799" s="663"/>
    </row>
    <row r="1800" spans="1:1" ht="15.75" x14ac:dyDescent="0.25">
      <c r="A1800" s="663"/>
    </row>
    <row r="1801" spans="1:1" ht="15.75" x14ac:dyDescent="0.25">
      <c r="A1801" s="663"/>
    </row>
    <row r="1802" spans="1:1" ht="15.75" x14ac:dyDescent="0.25">
      <c r="A1802" s="663"/>
    </row>
    <row r="1803" spans="1:1" ht="15.75" x14ac:dyDescent="0.25">
      <c r="A1803" s="663"/>
    </row>
    <row r="1804" spans="1:1" ht="15.75" x14ac:dyDescent="0.25">
      <c r="A1804" s="663"/>
    </row>
    <row r="1805" spans="1:1" ht="15.75" x14ac:dyDescent="0.25">
      <c r="A1805" s="663"/>
    </row>
    <row r="1806" spans="1:1" ht="15.75" x14ac:dyDescent="0.25">
      <c r="A1806" s="663"/>
    </row>
    <row r="1807" spans="1:1" ht="15.75" x14ac:dyDescent="0.25">
      <c r="A1807" s="663"/>
    </row>
    <row r="1808" spans="1:1" ht="15.75" x14ac:dyDescent="0.25">
      <c r="A1808" s="663"/>
    </row>
    <row r="1809" spans="1:1" ht="15.75" x14ac:dyDescent="0.25">
      <c r="A1809" s="663"/>
    </row>
    <row r="1810" spans="1:1" ht="15.75" x14ac:dyDescent="0.25">
      <c r="A1810" s="663"/>
    </row>
    <row r="1811" spans="1:1" ht="15.75" x14ac:dyDescent="0.25">
      <c r="A1811" s="663"/>
    </row>
    <row r="1812" spans="1:1" ht="15.75" x14ac:dyDescent="0.25">
      <c r="A1812" s="663"/>
    </row>
    <row r="1813" spans="1:1" ht="15.75" x14ac:dyDescent="0.25">
      <c r="A1813" s="663"/>
    </row>
    <row r="1814" spans="1:1" ht="15.75" x14ac:dyDescent="0.25">
      <c r="A1814" s="663"/>
    </row>
    <row r="1815" spans="1:1" ht="15.75" x14ac:dyDescent="0.25">
      <c r="A1815" s="663"/>
    </row>
    <row r="1816" spans="1:1" ht="15.75" x14ac:dyDescent="0.25">
      <c r="A1816" s="663"/>
    </row>
    <row r="1817" spans="1:1" ht="15.75" x14ac:dyDescent="0.25">
      <c r="A1817" s="663"/>
    </row>
    <row r="1818" spans="1:1" ht="15.75" x14ac:dyDescent="0.25">
      <c r="A1818" s="663"/>
    </row>
    <row r="1819" spans="1:1" ht="15.75" x14ac:dyDescent="0.25">
      <c r="A1819" s="663"/>
    </row>
    <row r="1820" spans="1:1" ht="15.75" x14ac:dyDescent="0.25">
      <c r="A1820" s="663"/>
    </row>
    <row r="1821" spans="1:1" ht="15.75" x14ac:dyDescent="0.25">
      <c r="A1821" s="663"/>
    </row>
    <row r="1822" spans="1:1" ht="15.75" x14ac:dyDescent="0.25">
      <c r="A1822" s="663"/>
    </row>
    <row r="1823" spans="1:1" ht="15.75" x14ac:dyDescent="0.25">
      <c r="A1823" s="663"/>
    </row>
    <row r="1824" spans="1:1" ht="15.75" x14ac:dyDescent="0.25">
      <c r="A1824" s="663"/>
    </row>
    <row r="1825" spans="1:1" ht="15.75" x14ac:dyDescent="0.25">
      <c r="A1825" s="663"/>
    </row>
    <row r="1826" spans="1:1" ht="15.75" x14ac:dyDescent="0.25">
      <c r="A1826" s="663"/>
    </row>
    <row r="1827" spans="1:1" ht="15.75" x14ac:dyDescent="0.25">
      <c r="A1827" s="663"/>
    </row>
    <row r="1828" spans="1:1" ht="15.75" x14ac:dyDescent="0.25">
      <c r="A1828" s="663"/>
    </row>
    <row r="1829" spans="1:1" ht="15.75" x14ac:dyDescent="0.25">
      <c r="A1829" s="663"/>
    </row>
    <row r="1830" spans="1:1" ht="15.75" x14ac:dyDescent="0.25">
      <c r="A1830" s="663"/>
    </row>
    <row r="1831" spans="1:1" ht="15.75" x14ac:dyDescent="0.25">
      <c r="A1831" s="663"/>
    </row>
    <row r="1832" spans="1:1" ht="15.75" x14ac:dyDescent="0.25">
      <c r="A1832" s="663"/>
    </row>
    <row r="1833" spans="1:1" ht="15.75" x14ac:dyDescent="0.25">
      <c r="A1833" s="663"/>
    </row>
    <row r="1834" spans="1:1" ht="15.75" x14ac:dyDescent="0.25">
      <c r="A1834" s="663"/>
    </row>
    <row r="1835" spans="1:1" ht="15.75" x14ac:dyDescent="0.25">
      <c r="A1835" s="663"/>
    </row>
    <row r="1836" spans="1:1" ht="15.75" x14ac:dyDescent="0.25">
      <c r="A1836" s="663"/>
    </row>
    <row r="1837" spans="1:1" ht="15.75" x14ac:dyDescent="0.25">
      <c r="A1837" s="663"/>
    </row>
    <row r="1838" spans="1:1" ht="15.75" x14ac:dyDescent="0.25">
      <c r="A1838" s="663"/>
    </row>
    <row r="1839" spans="1:1" ht="15.75" x14ac:dyDescent="0.25">
      <c r="A1839" s="663"/>
    </row>
    <row r="1840" spans="1:1" ht="15.75" x14ac:dyDescent="0.25">
      <c r="A1840" s="663"/>
    </row>
    <row r="1841" spans="1:1" ht="15.75" x14ac:dyDescent="0.25">
      <c r="A1841" s="663"/>
    </row>
    <row r="1842" spans="1:1" ht="15.75" x14ac:dyDescent="0.25">
      <c r="A1842" s="663"/>
    </row>
    <row r="1843" spans="1:1" ht="15.75" x14ac:dyDescent="0.25">
      <c r="A1843" s="663"/>
    </row>
    <row r="1844" spans="1:1" ht="15.75" x14ac:dyDescent="0.25">
      <c r="A1844" s="663"/>
    </row>
    <row r="1845" spans="1:1" ht="15.75" x14ac:dyDescent="0.25">
      <c r="A1845" s="663"/>
    </row>
    <row r="1846" spans="1:1" ht="15.75" x14ac:dyDescent="0.25">
      <c r="A1846" s="663"/>
    </row>
    <row r="1847" spans="1:1" ht="15.75" x14ac:dyDescent="0.25">
      <c r="A1847" s="663"/>
    </row>
    <row r="1848" spans="1:1" ht="15.75" x14ac:dyDescent="0.25">
      <c r="A1848" s="663"/>
    </row>
    <row r="1849" spans="1:1" ht="15.75" x14ac:dyDescent="0.25">
      <c r="A1849" s="663"/>
    </row>
    <row r="1850" spans="1:1" ht="15.75" x14ac:dyDescent="0.25">
      <c r="A1850" s="663"/>
    </row>
    <row r="1851" spans="1:1" ht="15.75" x14ac:dyDescent="0.25">
      <c r="A1851" s="663"/>
    </row>
    <row r="1852" spans="1:1" ht="15.75" x14ac:dyDescent="0.25">
      <c r="A1852" s="663"/>
    </row>
    <row r="1853" spans="1:1" ht="15.75" x14ac:dyDescent="0.25">
      <c r="A1853" s="663"/>
    </row>
    <row r="1854" spans="1:1" ht="15.75" x14ac:dyDescent="0.25">
      <c r="A1854" s="663"/>
    </row>
    <row r="1855" spans="1:1" ht="15.75" x14ac:dyDescent="0.25">
      <c r="A1855" s="663"/>
    </row>
    <row r="1856" spans="1:1" ht="15.75" x14ac:dyDescent="0.25">
      <c r="A1856" s="663"/>
    </row>
    <row r="1857" spans="1:1" ht="15.75" x14ac:dyDescent="0.25">
      <c r="A1857" s="663"/>
    </row>
    <row r="1858" spans="1:1" ht="15.75" x14ac:dyDescent="0.25">
      <c r="A1858" s="663"/>
    </row>
    <row r="1859" spans="1:1" ht="15.75" x14ac:dyDescent="0.25">
      <c r="A1859" s="663"/>
    </row>
    <row r="1860" spans="1:1" ht="15.75" x14ac:dyDescent="0.25">
      <c r="A1860" s="663"/>
    </row>
    <row r="1861" spans="1:1" ht="15.75" x14ac:dyDescent="0.25">
      <c r="A1861" s="663"/>
    </row>
    <row r="1862" spans="1:1" ht="15.75" x14ac:dyDescent="0.25">
      <c r="A1862" s="663"/>
    </row>
    <row r="1863" spans="1:1" ht="15.75" x14ac:dyDescent="0.25">
      <c r="A1863" s="663"/>
    </row>
    <row r="1864" spans="1:1" ht="15.75" x14ac:dyDescent="0.25">
      <c r="A1864" s="663"/>
    </row>
    <row r="1865" spans="1:1" ht="15.75" x14ac:dyDescent="0.25">
      <c r="A1865" s="663"/>
    </row>
    <row r="1866" spans="1:1" ht="15.75" x14ac:dyDescent="0.25">
      <c r="A1866" s="663"/>
    </row>
    <row r="1867" spans="1:1" ht="15.75" x14ac:dyDescent="0.25">
      <c r="A1867" s="663"/>
    </row>
    <row r="1868" spans="1:1" ht="15.75" x14ac:dyDescent="0.25">
      <c r="A1868" s="663"/>
    </row>
    <row r="1869" spans="1:1" ht="15.75" x14ac:dyDescent="0.25">
      <c r="A1869" s="663"/>
    </row>
    <row r="1870" spans="1:1" ht="15.75" x14ac:dyDescent="0.25">
      <c r="A1870" s="663"/>
    </row>
    <row r="1871" spans="1:1" ht="15.75" x14ac:dyDescent="0.25">
      <c r="A1871" s="663"/>
    </row>
    <row r="1872" spans="1:1" ht="15.75" x14ac:dyDescent="0.25">
      <c r="A1872" s="663"/>
    </row>
    <row r="1873" spans="1:1" ht="15.75" x14ac:dyDescent="0.25">
      <c r="A1873" s="663"/>
    </row>
    <row r="1874" spans="1:1" ht="15.75" x14ac:dyDescent="0.25">
      <c r="A1874" s="663"/>
    </row>
    <row r="1875" spans="1:1" ht="15.75" x14ac:dyDescent="0.25">
      <c r="A1875" s="663"/>
    </row>
    <row r="1876" spans="1:1" ht="15.75" x14ac:dyDescent="0.25">
      <c r="A1876" s="663"/>
    </row>
    <row r="1877" spans="1:1" ht="15.75" x14ac:dyDescent="0.25">
      <c r="A1877" s="663"/>
    </row>
    <row r="1878" spans="1:1" ht="15.75" x14ac:dyDescent="0.25">
      <c r="A1878" s="663"/>
    </row>
    <row r="1879" spans="1:1" ht="15.75" x14ac:dyDescent="0.25">
      <c r="A1879" s="663"/>
    </row>
    <row r="1880" spans="1:1" ht="15.75" x14ac:dyDescent="0.25">
      <c r="A1880" s="663"/>
    </row>
    <row r="1881" spans="1:1" ht="15.75" x14ac:dyDescent="0.25">
      <c r="A1881" s="663"/>
    </row>
    <row r="1882" spans="1:1" ht="15.75" x14ac:dyDescent="0.25">
      <c r="A1882" s="663"/>
    </row>
    <row r="1883" spans="1:1" ht="15.75" x14ac:dyDescent="0.25">
      <c r="A1883" s="663"/>
    </row>
    <row r="1884" spans="1:1" ht="15.75" x14ac:dyDescent="0.25">
      <c r="A1884" s="663"/>
    </row>
    <row r="1885" spans="1:1" ht="15.75" x14ac:dyDescent="0.25">
      <c r="A1885" s="663"/>
    </row>
    <row r="1886" spans="1:1" ht="15.75" x14ac:dyDescent="0.25">
      <c r="A1886" s="663"/>
    </row>
    <row r="1887" spans="1:1" ht="15.75" x14ac:dyDescent="0.25">
      <c r="A1887" s="663"/>
    </row>
    <row r="1888" spans="1:1" ht="15.75" x14ac:dyDescent="0.25">
      <c r="A1888" s="663"/>
    </row>
    <row r="1889" spans="1:1" ht="15.75" x14ac:dyDescent="0.25">
      <c r="A1889" s="663"/>
    </row>
    <row r="1890" spans="1:1" ht="15.75" x14ac:dyDescent="0.25">
      <c r="A1890" s="663"/>
    </row>
    <row r="1891" spans="1:1" ht="15.75" x14ac:dyDescent="0.25">
      <c r="A1891" s="663"/>
    </row>
    <row r="1892" spans="1:1" ht="15.75" x14ac:dyDescent="0.25">
      <c r="A1892" s="663"/>
    </row>
    <row r="1893" spans="1:1" ht="15.75" x14ac:dyDescent="0.25">
      <c r="A1893" s="663"/>
    </row>
    <row r="1894" spans="1:1" ht="15.75" x14ac:dyDescent="0.25">
      <c r="A1894" s="663"/>
    </row>
    <row r="1895" spans="1:1" ht="15.75" x14ac:dyDescent="0.25">
      <c r="A1895" s="663"/>
    </row>
    <row r="1896" spans="1:1" ht="15.75" x14ac:dyDescent="0.25">
      <c r="A1896" s="663"/>
    </row>
    <row r="1897" spans="1:1" ht="15.75" x14ac:dyDescent="0.25">
      <c r="A1897" s="663"/>
    </row>
    <row r="1898" spans="1:1" ht="15.75" x14ac:dyDescent="0.25">
      <c r="A1898" s="663"/>
    </row>
    <row r="1899" spans="1:1" ht="15.75" x14ac:dyDescent="0.25">
      <c r="A1899" s="663"/>
    </row>
    <row r="1900" spans="1:1" ht="15.75" x14ac:dyDescent="0.25">
      <c r="A1900" s="663"/>
    </row>
    <row r="1901" spans="1:1" ht="15.75" x14ac:dyDescent="0.25">
      <c r="A1901" s="663"/>
    </row>
    <row r="1902" spans="1:1" ht="15.75" x14ac:dyDescent="0.25">
      <c r="A1902" s="663"/>
    </row>
    <row r="1903" spans="1:1" ht="15.75" x14ac:dyDescent="0.25">
      <c r="A1903" s="663"/>
    </row>
    <row r="1904" spans="1:1" ht="15.75" x14ac:dyDescent="0.25">
      <c r="A1904" s="663"/>
    </row>
    <row r="1905" spans="1:1" ht="15.75" x14ac:dyDescent="0.25">
      <c r="A1905" s="663"/>
    </row>
    <row r="1906" spans="1:1" ht="15.75" x14ac:dyDescent="0.25">
      <c r="A1906" s="663"/>
    </row>
    <row r="1907" spans="1:1" ht="15.75" x14ac:dyDescent="0.25">
      <c r="A1907" s="663"/>
    </row>
    <row r="1908" spans="1:1" ht="15.75" x14ac:dyDescent="0.25">
      <c r="A1908" s="663"/>
    </row>
    <row r="1909" spans="1:1" ht="15.75" x14ac:dyDescent="0.25">
      <c r="A1909" s="663"/>
    </row>
    <row r="1910" spans="1:1" ht="15.75" x14ac:dyDescent="0.25">
      <c r="A1910" s="663"/>
    </row>
    <row r="1911" spans="1:1" ht="15.75" x14ac:dyDescent="0.25">
      <c r="A1911" s="663"/>
    </row>
    <row r="1912" spans="1:1" ht="15.75" x14ac:dyDescent="0.25">
      <c r="A1912" s="663"/>
    </row>
    <row r="1913" spans="1:1" ht="15.75" x14ac:dyDescent="0.25">
      <c r="A1913" s="663"/>
    </row>
    <row r="1914" spans="1:1" ht="15.75" x14ac:dyDescent="0.25">
      <c r="A1914" s="663"/>
    </row>
    <row r="1915" spans="1:1" ht="15.75" x14ac:dyDescent="0.25">
      <c r="A1915" s="663"/>
    </row>
    <row r="1916" spans="1:1" ht="15.75" x14ac:dyDescent="0.25">
      <c r="A1916" s="663"/>
    </row>
    <row r="1917" spans="1:1" ht="15.75" x14ac:dyDescent="0.25">
      <c r="A1917" s="663"/>
    </row>
    <row r="1918" spans="1:1" ht="15.75" x14ac:dyDescent="0.25">
      <c r="A1918" s="663"/>
    </row>
    <row r="1919" spans="1:1" ht="15.75" x14ac:dyDescent="0.25">
      <c r="A1919" s="663"/>
    </row>
    <row r="1920" spans="1:1" ht="15.75" x14ac:dyDescent="0.25">
      <c r="A1920" s="663"/>
    </row>
    <row r="1921" spans="1:1" ht="15.75" x14ac:dyDescent="0.25">
      <c r="A1921" s="663"/>
    </row>
    <row r="1922" spans="1:1" ht="15.75" x14ac:dyDescent="0.25">
      <c r="A1922" s="663"/>
    </row>
    <row r="1923" spans="1:1" ht="15.75" x14ac:dyDescent="0.25">
      <c r="A1923" s="663"/>
    </row>
    <row r="1924" spans="1:1" ht="15.75" x14ac:dyDescent="0.25">
      <c r="A1924" s="663"/>
    </row>
    <row r="1925" spans="1:1" ht="15.75" x14ac:dyDescent="0.25">
      <c r="A1925" s="663"/>
    </row>
    <row r="1926" spans="1:1" ht="15.75" x14ac:dyDescent="0.25">
      <c r="A1926" s="663"/>
    </row>
    <row r="1927" spans="1:1" ht="15.75" x14ac:dyDescent="0.25">
      <c r="A1927" s="663"/>
    </row>
    <row r="1928" spans="1:1" ht="15.75" x14ac:dyDescent="0.25">
      <c r="A1928" s="663"/>
    </row>
    <row r="1929" spans="1:1" ht="15.75" x14ac:dyDescent="0.25">
      <c r="A1929" s="663"/>
    </row>
    <row r="1930" spans="1:1" ht="15.75" x14ac:dyDescent="0.25">
      <c r="A1930" s="663"/>
    </row>
    <row r="1931" spans="1:1" ht="15.75" x14ac:dyDescent="0.25">
      <c r="A1931" s="663"/>
    </row>
    <row r="1932" spans="1:1" ht="15.75" x14ac:dyDescent="0.25">
      <c r="A1932" s="663"/>
    </row>
    <row r="1933" spans="1:1" ht="15.75" x14ac:dyDescent="0.25">
      <c r="A1933" s="663"/>
    </row>
    <row r="1934" spans="1:1" ht="15.75" x14ac:dyDescent="0.25">
      <c r="A1934" s="663"/>
    </row>
    <row r="1935" spans="1:1" ht="15.75" x14ac:dyDescent="0.25">
      <c r="A1935" s="663"/>
    </row>
    <row r="1936" spans="1:1" ht="15.75" x14ac:dyDescent="0.25">
      <c r="A1936" s="663"/>
    </row>
    <row r="1937" spans="1:1" ht="15.75" x14ac:dyDescent="0.25">
      <c r="A1937" s="663"/>
    </row>
    <row r="1938" spans="1:1" ht="15.75" x14ac:dyDescent="0.25">
      <c r="A1938" s="663"/>
    </row>
    <row r="1939" spans="1:1" ht="15.75" x14ac:dyDescent="0.25">
      <c r="A1939" s="663"/>
    </row>
    <row r="1940" spans="1:1" ht="15.75" x14ac:dyDescent="0.25">
      <c r="A1940" s="663"/>
    </row>
    <row r="1941" spans="1:1" ht="15.75" x14ac:dyDescent="0.25">
      <c r="A1941" s="663"/>
    </row>
    <row r="1942" spans="1:1" ht="15.75" x14ac:dyDescent="0.25">
      <c r="A1942" s="663"/>
    </row>
    <row r="1943" spans="1:1" ht="15.75" x14ac:dyDescent="0.25">
      <c r="A1943" s="663"/>
    </row>
    <row r="1944" spans="1:1" ht="15.75" x14ac:dyDescent="0.25">
      <c r="A1944" s="663"/>
    </row>
    <row r="1945" spans="1:1" ht="15.75" x14ac:dyDescent="0.25">
      <c r="A1945" s="663"/>
    </row>
    <row r="1946" spans="1:1" ht="15.75" x14ac:dyDescent="0.25">
      <c r="A1946" s="663"/>
    </row>
    <row r="1947" spans="1:1" ht="15.75" x14ac:dyDescent="0.25">
      <c r="A1947" s="663"/>
    </row>
    <row r="1948" spans="1:1" ht="15.75" x14ac:dyDescent="0.25">
      <c r="A1948" s="663"/>
    </row>
    <row r="1949" spans="1:1" ht="15.75" x14ac:dyDescent="0.25">
      <c r="A1949" s="663"/>
    </row>
    <row r="1950" spans="1:1" ht="15.75" x14ac:dyDescent="0.25">
      <c r="A1950" s="663"/>
    </row>
    <row r="1951" spans="1:1" ht="15.75" x14ac:dyDescent="0.25">
      <c r="A1951" s="663"/>
    </row>
    <row r="1952" spans="1:1" ht="15.75" x14ac:dyDescent="0.25">
      <c r="A1952" s="663"/>
    </row>
    <row r="1953" spans="1:1" ht="15.75" x14ac:dyDescent="0.25">
      <c r="A1953" s="663"/>
    </row>
    <row r="1954" spans="1:1" ht="15.75" x14ac:dyDescent="0.25">
      <c r="A1954" s="663"/>
    </row>
    <row r="1955" spans="1:1" ht="15.75" x14ac:dyDescent="0.25">
      <c r="A1955" s="663"/>
    </row>
    <row r="1956" spans="1:1" ht="15.75" x14ac:dyDescent="0.25">
      <c r="A1956" s="663"/>
    </row>
    <row r="1957" spans="1:1" ht="15.75" x14ac:dyDescent="0.25">
      <c r="A1957" s="663"/>
    </row>
    <row r="1958" spans="1:1" ht="15.75" x14ac:dyDescent="0.25">
      <c r="A1958" s="663"/>
    </row>
    <row r="1959" spans="1:1" ht="15.75" x14ac:dyDescent="0.25">
      <c r="A1959" s="663"/>
    </row>
    <row r="1960" spans="1:1" ht="15.75" x14ac:dyDescent="0.25">
      <c r="A1960" s="663"/>
    </row>
    <row r="1961" spans="1:1" ht="15.75" x14ac:dyDescent="0.25">
      <c r="A1961" s="663"/>
    </row>
    <row r="1962" spans="1:1" ht="15.75" x14ac:dyDescent="0.25">
      <c r="A1962" s="663"/>
    </row>
    <row r="1963" spans="1:1" ht="15.75" x14ac:dyDescent="0.25">
      <c r="A1963" s="663"/>
    </row>
    <row r="1964" spans="1:1" ht="15.75" x14ac:dyDescent="0.25">
      <c r="A1964" s="663"/>
    </row>
    <row r="1965" spans="1:1" ht="15.75" x14ac:dyDescent="0.25">
      <c r="A1965" s="663"/>
    </row>
    <row r="1966" spans="1:1" ht="15.75" x14ac:dyDescent="0.25">
      <c r="A1966" s="663"/>
    </row>
    <row r="1967" spans="1:1" ht="15.75" x14ac:dyDescent="0.25">
      <c r="A1967" s="663"/>
    </row>
    <row r="1968" spans="1:1" ht="15.75" x14ac:dyDescent="0.25">
      <c r="A1968" s="663"/>
    </row>
    <row r="1969" spans="1:1" ht="15.75" x14ac:dyDescent="0.25">
      <c r="A1969" s="663"/>
    </row>
    <row r="1970" spans="1:1" ht="15.75" x14ac:dyDescent="0.25">
      <c r="A1970" s="663"/>
    </row>
    <row r="1971" spans="1:1" ht="15.75" x14ac:dyDescent="0.25">
      <c r="A1971" s="663"/>
    </row>
    <row r="1972" spans="1:1" ht="15.75" x14ac:dyDescent="0.25">
      <c r="A1972" s="663"/>
    </row>
    <row r="1973" spans="1:1" ht="15.75" x14ac:dyDescent="0.25">
      <c r="A1973" s="663"/>
    </row>
    <row r="1974" spans="1:1" ht="15.75" x14ac:dyDescent="0.25">
      <c r="A1974" s="663"/>
    </row>
    <row r="1975" spans="1:1" ht="15.75" x14ac:dyDescent="0.25">
      <c r="A1975" s="663"/>
    </row>
    <row r="1976" spans="1:1" ht="15.75" x14ac:dyDescent="0.25">
      <c r="A1976" s="663"/>
    </row>
    <row r="1977" spans="1:1" ht="15.75" x14ac:dyDescent="0.25">
      <c r="A1977" s="663"/>
    </row>
    <row r="1978" spans="1:1" ht="15.75" x14ac:dyDescent="0.25">
      <c r="A1978" s="663"/>
    </row>
    <row r="1979" spans="1:1" ht="15.75" x14ac:dyDescent="0.25">
      <c r="A1979" s="663"/>
    </row>
    <row r="1980" spans="1:1" ht="15.75" x14ac:dyDescent="0.25">
      <c r="A1980" s="663"/>
    </row>
    <row r="1981" spans="1:1" ht="15.75" x14ac:dyDescent="0.25">
      <c r="A1981" s="663"/>
    </row>
    <row r="1982" spans="1:1" ht="15.75" x14ac:dyDescent="0.25">
      <c r="A1982" s="663"/>
    </row>
    <row r="1983" spans="1:1" ht="15.75" x14ac:dyDescent="0.25">
      <c r="A1983" s="663"/>
    </row>
    <row r="1984" spans="1:1" ht="15.75" x14ac:dyDescent="0.25">
      <c r="A1984" s="663"/>
    </row>
    <row r="1985" spans="1:1" ht="15.75" x14ac:dyDescent="0.25">
      <c r="A1985" s="663"/>
    </row>
    <row r="1986" spans="1:1" ht="15.75" x14ac:dyDescent="0.25">
      <c r="A1986" s="663"/>
    </row>
    <row r="1987" spans="1:1" ht="15.75" x14ac:dyDescent="0.25">
      <c r="A1987" s="663"/>
    </row>
    <row r="1988" spans="1:1" ht="15.75" x14ac:dyDescent="0.25">
      <c r="A1988" s="663"/>
    </row>
    <row r="1989" spans="1:1" ht="15.75" x14ac:dyDescent="0.25">
      <c r="A1989" s="663"/>
    </row>
    <row r="1990" spans="1:1" ht="15.75" x14ac:dyDescent="0.25">
      <c r="A1990" s="663"/>
    </row>
    <row r="1991" spans="1:1" ht="15.75" x14ac:dyDescent="0.25">
      <c r="A1991" s="663"/>
    </row>
    <row r="1992" spans="1:1" ht="15.75" x14ac:dyDescent="0.25">
      <c r="A1992" s="663"/>
    </row>
    <row r="1993" spans="1:1" ht="15.75" x14ac:dyDescent="0.25">
      <c r="A1993" s="663"/>
    </row>
    <row r="1994" spans="1:1" ht="15.75" x14ac:dyDescent="0.25">
      <c r="A1994" s="663"/>
    </row>
    <row r="1995" spans="1:1" ht="15.75" x14ac:dyDescent="0.25">
      <c r="A1995" s="663"/>
    </row>
    <row r="1996" spans="1:1" ht="15.75" x14ac:dyDescent="0.25">
      <c r="A1996" s="663"/>
    </row>
    <row r="1997" spans="1:1" ht="15.75" x14ac:dyDescent="0.25">
      <c r="A1997" s="663"/>
    </row>
    <row r="1998" spans="1:1" ht="15.75" x14ac:dyDescent="0.25">
      <c r="A1998" s="663"/>
    </row>
    <row r="1999" spans="1:1" ht="15.75" x14ac:dyDescent="0.25">
      <c r="A1999" s="663"/>
    </row>
    <row r="2000" spans="1:1" ht="15.75" x14ac:dyDescent="0.25">
      <c r="A2000" s="663"/>
    </row>
    <row r="2001" spans="1:1" ht="15.75" x14ac:dyDescent="0.25">
      <c r="A2001" s="663"/>
    </row>
    <row r="2002" spans="1:1" ht="15.75" x14ac:dyDescent="0.25">
      <c r="A2002" s="663"/>
    </row>
    <row r="2003" spans="1:1" ht="15.75" x14ac:dyDescent="0.25">
      <c r="A2003" s="663"/>
    </row>
    <row r="2004" spans="1:1" ht="15.75" x14ac:dyDescent="0.25">
      <c r="A2004" s="663"/>
    </row>
    <row r="2005" spans="1:1" ht="15.75" x14ac:dyDescent="0.25">
      <c r="A2005" s="663"/>
    </row>
    <row r="2006" spans="1:1" ht="15.75" x14ac:dyDescent="0.25">
      <c r="A2006" s="663"/>
    </row>
    <row r="2007" spans="1:1" ht="15.75" x14ac:dyDescent="0.25">
      <c r="A2007" s="663"/>
    </row>
    <row r="2008" spans="1:1" ht="15.75" x14ac:dyDescent="0.25">
      <c r="A2008" s="663"/>
    </row>
    <row r="2009" spans="1:1" ht="15.75" x14ac:dyDescent="0.25">
      <c r="A2009" s="663"/>
    </row>
    <row r="2010" spans="1:1" ht="15.75" x14ac:dyDescent="0.25">
      <c r="A2010" s="663"/>
    </row>
    <row r="2011" spans="1:1" ht="15.75" x14ac:dyDescent="0.25">
      <c r="A2011" s="663"/>
    </row>
    <row r="2012" spans="1:1" ht="15.75" x14ac:dyDescent="0.25">
      <c r="A2012" s="663"/>
    </row>
    <row r="2013" spans="1:1" ht="15.75" x14ac:dyDescent="0.25">
      <c r="A2013" s="663"/>
    </row>
    <row r="2014" spans="1:1" ht="15.75" x14ac:dyDescent="0.25">
      <c r="A2014" s="663"/>
    </row>
    <row r="2015" spans="1:1" ht="15.75" x14ac:dyDescent="0.25">
      <c r="A2015" s="663"/>
    </row>
    <row r="2016" spans="1:1" ht="15.75" x14ac:dyDescent="0.25">
      <c r="A2016" s="663"/>
    </row>
    <row r="2017" spans="1:1" ht="15.75" x14ac:dyDescent="0.25">
      <c r="A2017" s="663"/>
    </row>
    <row r="2018" spans="1:1" ht="15.75" x14ac:dyDescent="0.25">
      <c r="A2018" s="663"/>
    </row>
    <row r="2019" spans="1:1" ht="15.75" x14ac:dyDescent="0.25">
      <c r="A2019" s="663"/>
    </row>
    <row r="2020" spans="1:1" ht="15.75" x14ac:dyDescent="0.25">
      <c r="A2020" s="663"/>
    </row>
    <row r="2021" spans="1:1" ht="15.75" x14ac:dyDescent="0.25">
      <c r="A2021" s="663"/>
    </row>
    <row r="2022" spans="1:1" ht="15.75" x14ac:dyDescent="0.25">
      <c r="A2022" s="663"/>
    </row>
    <row r="2023" spans="1:1" ht="15.75" x14ac:dyDescent="0.25">
      <c r="A2023" s="663"/>
    </row>
    <row r="2024" spans="1:1" ht="15.75" x14ac:dyDescent="0.25">
      <c r="A2024" s="663"/>
    </row>
    <row r="2025" spans="1:1" ht="15.75" x14ac:dyDescent="0.25">
      <c r="A2025" s="663"/>
    </row>
    <row r="2026" spans="1:1" ht="15.75" x14ac:dyDescent="0.25">
      <c r="A2026" s="663"/>
    </row>
    <row r="2027" spans="1:1" ht="15.75" x14ac:dyDescent="0.25">
      <c r="A2027" s="663"/>
    </row>
    <row r="2028" spans="1:1" ht="15.75" x14ac:dyDescent="0.25">
      <c r="A2028" s="663"/>
    </row>
    <row r="2029" spans="1:1" ht="15.75" x14ac:dyDescent="0.25">
      <c r="A2029" s="663"/>
    </row>
    <row r="2030" spans="1:1" ht="15.75" x14ac:dyDescent="0.25">
      <c r="A2030" s="663"/>
    </row>
    <row r="2031" spans="1:1" ht="15.75" x14ac:dyDescent="0.25">
      <c r="A2031" s="663"/>
    </row>
    <row r="2032" spans="1:1" ht="15.75" x14ac:dyDescent="0.25">
      <c r="A2032" s="663"/>
    </row>
    <row r="2033" spans="1:1" ht="15.75" x14ac:dyDescent="0.25">
      <c r="A2033" s="663"/>
    </row>
    <row r="2034" spans="1:1" ht="15.75" x14ac:dyDescent="0.25">
      <c r="A2034" s="663"/>
    </row>
    <row r="2035" spans="1:1" ht="15.75" x14ac:dyDescent="0.25">
      <c r="A2035" s="663"/>
    </row>
    <row r="2036" spans="1:1" ht="15.75" x14ac:dyDescent="0.25">
      <c r="A2036" s="663"/>
    </row>
    <row r="2037" spans="1:1" ht="15.75" x14ac:dyDescent="0.25">
      <c r="A2037" s="663"/>
    </row>
    <row r="2038" spans="1:1" ht="15.75" x14ac:dyDescent="0.25">
      <c r="A2038" s="663"/>
    </row>
    <row r="2039" spans="1:1" ht="15.75" x14ac:dyDescent="0.25">
      <c r="A2039" s="663"/>
    </row>
    <row r="2040" spans="1:1" ht="15.75" x14ac:dyDescent="0.25">
      <c r="A2040" s="663"/>
    </row>
    <row r="2041" spans="1:1" ht="15.75" x14ac:dyDescent="0.25">
      <c r="A2041" s="663"/>
    </row>
    <row r="2042" spans="1:1" ht="15.75" x14ac:dyDescent="0.25">
      <c r="A2042" s="663"/>
    </row>
    <row r="2043" spans="1:1" ht="15.75" x14ac:dyDescent="0.25">
      <c r="A2043" s="663"/>
    </row>
    <row r="2044" spans="1:1" ht="15.75" x14ac:dyDescent="0.25">
      <c r="A2044" s="663"/>
    </row>
    <row r="2045" spans="1:1" ht="15.75" x14ac:dyDescent="0.25">
      <c r="A2045" s="663"/>
    </row>
    <row r="2046" spans="1:1" ht="15.75" x14ac:dyDescent="0.25">
      <c r="A2046" s="663"/>
    </row>
    <row r="2047" spans="1:1" ht="15.75" x14ac:dyDescent="0.25">
      <c r="A2047" s="663"/>
    </row>
    <row r="2048" spans="1:1" ht="15.75" x14ac:dyDescent="0.25">
      <c r="A2048" s="663"/>
    </row>
    <row r="2049" spans="1:1" ht="15.75" x14ac:dyDescent="0.25">
      <c r="A2049" s="663"/>
    </row>
    <row r="2050" spans="1:1" ht="15.75" x14ac:dyDescent="0.25">
      <c r="A2050" s="663"/>
    </row>
    <row r="2051" spans="1:1" ht="15.75" x14ac:dyDescent="0.25">
      <c r="A2051" s="663"/>
    </row>
    <row r="2052" spans="1:1" ht="15.75" x14ac:dyDescent="0.25">
      <c r="A2052" s="663"/>
    </row>
    <row r="2053" spans="1:1" ht="15.75" x14ac:dyDescent="0.25">
      <c r="A2053" s="663"/>
    </row>
    <row r="2054" spans="1:1" ht="15.75" x14ac:dyDescent="0.25">
      <c r="A2054" s="663"/>
    </row>
    <row r="2055" spans="1:1" ht="15.75" x14ac:dyDescent="0.25">
      <c r="A2055" s="663"/>
    </row>
    <row r="2056" spans="1:1" ht="15.75" x14ac:dyDescent="0.25">
      <c r="A2056" s="663"/>
    </row>
    <row r="2057" spans="1:1" ht="15.75" x14ac:dyDescent="0.25">
      <c r="A2057" s="663"/>
    </row>
    <row r="2058" spans="1:1" ht="15.75" x14ac:dyDescent="0.25">
      <c r="A2058" s="663"/>
    </row>
    <row r="2059" spans="1:1" ht="15.75" x14ac:dyDescent="0.25">
      <c r="A2059" s="663"/>
    </row>
    <row r="2060" spans="1:1" ht="15.75" x14ac:dyDescent="0.25">
      <c r="A2060" s="663"/>
    </row>
    <row r="2061" spans="1:1" ht="15.75" x14ac:dyDescent="0.25">
      <c r="A2061" s="663"/>
    </row>
    <row r="2062" spans="1:1" ht="15.75" x14ac:dyDescent="0.25">
      <c r="A2062" s="663"/>
    </row>
    <row r="2063" spans="1:1" ht="15.75" x14ac:dyDescent="0.25">
      <c r="A2063" s="663"/>
    </row>
    <row r="2064" spans="1:1" ht="15.75" x14ac:dyDescent="0.25">
      <c r="A2064" s="663"/>
    </row>
    <row r="2065" spans="1:1" ht="15.75" x14ac:dyDescent="0.25">
      <c r="A2065" s="663"/>
    </row>
    <row r="2066" spans="1:1" ht="15.75" x14ac:dyDescent="0.25">
      <c r="A2066" s="663"/>
    </row>
    <row r="2067" spans="1:1" ht="15.75" x14ac:dyDescent="0.25">
      <c r="A2067" s="663"/>
    </row>
    <row r="2068" spans="1:1" ht="15.75" x14ac:dyDescent="0.25">
      <c r="A2068" s="663"/>
    </row>
    <row r="2069" spans="1:1" ht="15.75" x14ac:dyDescent="0.25">
      <c r="A2069" s="663"/>
    </row>
    <row r="2070" spans="1:1" ht="15.75" x14ac:dyDescent="0.25">
      <c r="A2070" s="663"/>
    </row>
    <row r="2071" spans="1:1" ht="15.75" x14ac:dyDescent="0.25">
      <c r="A2071" s="663"/>
    </row>
    <row r="2072" spans="1:1" ht="15.75" x14ac:dyDescent="0.25">
      <c r="A2072" s="663"/>
    </row>
    <row r="2073" spans="1:1" ht="15.75" x14ac:dyDescent="0.25">
      <c r="A2073" s="663"/>
    </row>
    <row r="2074" spans="1:1" ht="15.75" x14ac:dyDescent="0.25">
      <c r="A2074" s="663"/>
    </row>
    <row r="2075" spans="1:1" ht="15.75" x14ac:dyDescent="0.25">
      <c r="A2075" s="663"/>
    </row>
    <row r="2076" spans="1:1" ht="15.75" x14ac:dyDescent="0.25">
      <c r="A2076" s="663"/>
    </row>
    <row r="2077" spans="1:1" ht="15.75" x14ac:dyDescent="0.25">
      <c r="A2077" s="663"/>
    </row>
    <row r="2078" spans="1:1" ht="15.75" x14ac:dyDescent="0.25">
      <c r="A2078" s="663"/>
    </row>
    <row r="2079" spans="1:1" ht="15.75" x14ac:dyDescent="0.25">
      <c r="A2079" s="663"/>
    </row>
    <row r="2080" spans="1:1" ht="15.75" x14ac:dyDescent="0.25">
      <c r="A2080" s="663"/>
    </row>
    <row r="2081" spans="1:1" ht="15.75" x14ac:dyDescent="0.25">
      <c r="A2081" s="663"/>
    </row>
    <row r="2082" spans="1:1" ht="15.75" x14ac:dyDescent="0.25">
      <c r="A2082" s="663"/>
    </row>
    <row r="2083" spans="1:1" ht="15.75" x14ac:dyDescent="0.25">
      <c r="A2083" s="663"/>
    </row>
    <row r="2084" spans="1:1" ht="15.75" x14ac:dyDescent="0.25">
      <c r="A2084" s="663"/>
    </row>
    <row r="2085" spans="1:1" ht="15.75" x14ac:dyDescent="0.25">
      <c r="A2085" s="663"/>
    </row>
    <row r="2086" spans="1:1" ht="15.75" x14ac:dyDescent="0.25">
      <c r="A2086" s="663"/>
    </row>
    <row r="2087" spans="1:1" ht="15.75" x14ac:dyDescent="0.25">
      <c r="A2087" s="663"/>
    </row>
    <row r="2088" spans="1:1" ht="15.75" x14ac:dyDescent="0.25">
      <c r="A2088" s="663"/>
    </row>
    <row r="2089" spans="1:1" ht="15.75" x14ac:dyDescent="0.25">
      <c r="A2089" s="663"/>
    </row>
    <row r="2090" spans="1:1" ht="15.75" x14ac:dyDescent="0.25">
      <c r="A2090" s="663"/>
    </row>
    <row r="2091" spans="1:1" ht="15.75" x14ac:dyDescent="0.25">
      <c r="A2091" s="663"/>
    </row>
    <row r="2092" spans="1:1" ht="15.75" x14ac:dyDescent="0.25">
      <c r="A2092" s="663"/>
    </row>
    <row r="2093" spans="1:1" ht="15.75" x14ac:dyDescent="0.25">
      <c r="A2093" s="663"/>
    </row>
    <row r="2094" spans="1:1" ht="15.75" x14ac:dyDescent="0.25">
      <c r="A2094" s="663"/>
    </row>
    <row r="2095" spans="1:1" ht="15.75" x14ac:dyDescent="0.25">
      <c r="A2095" s="663"/>
    </row>
    <row r="2096" spans="1:1" ht="15.75" x14ac:dyDescent="0.25">
      <c r="A2096" s="663"/>
    </row>
    <row r="2097" spans="1:1" ht="15.75" x14ac:dyDescent="0.25">
      <c r="A2097" s="663"/>
    </row>
    <row r="2098" spans="1:1" ht="15.75" x14ac:dyDescent="0.25">
      <c r="A2098" s="663"/>
    </row>
    <row r="2099" spans="1:1" ht="15.75" x14ac:dyDescent="0.25">
      <c r="A2099" s="663"/>
    </row>
    <row r="2100" spans="1:1" ht="15.75" x14ac:dyDescent="0.25">
      <c r="A2100" s="663"/>
    </row>
  </sheetData>
  <mergeCells count="2">
    <mergeCell ref="B1:D1"/>
    <mergeCell ref="I1:J1"/>
  </mergeCells>
  <pageMargins left="0.47244094488188981" right="0.47244094488188981" top="1.1417322834645669" bottom="0.74803149606299213" header="0.31496062992125984" footer="0.31496062992125984"/>
  <pageSetup paperSize="9" scale="49" orientation="landscape" r:id="rId1"/>
  <headerFooter>
    <oddHeader>&amp;R&amp;"Times New Roman CE,Félkövér" &amp;"Times New Roman CE,Dőlt" 9. melléklet
  az 5/2019.(II.15.) önkormányzati rendelethez&amp;X8</oddHeader>
    <oddFooter>&amp;L&amp;X8&amp;XMódosította a  19/2019.(IX.20.) önkormányzati rendelet 8.§ (8) bekezdése, hatályos 2019. szeptember 23-tól.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35941-111A-4D3B-9BFA-C5D61E4E39BB}">
  <sheetPr>
    <tabColor theme="7" tint="0.39997558519241921"/>
    <pageSetUpPr fitToPage="1"/>
  </sheetPr>
  <dimension ref="A1:Q378"/>
  <sheetViews>
    <sheetView view="pageBreakPreview" zoomScale="70" zoomScaleNormal="80" zoomScaleSheetLayoutView="70" workbookViewId="0">
      <pane xSplit="2" ySplit="10" topLeftCell="C355" activePane="bottomRight" state="frozen"/>
      <selection pane="topRight" activeCell="C1" sqref="C1"/>
      <selection pane="bottomLeft" activeCell="A11" sqref="A11"/>
      <selection pane="bottomRight" activeCell="A325" sqref="A325:XFD326"/>
    </sheetView>
  </sheetViews>
  <sheetFormatPr defaultRowHeight="15.75" x14ac:dyDescent="0.25"/>
  <cols>
    <col min="1" max="1" width="5" style="665" customWidth="1"/>
    <col min="2" max="2" width="40.875" style="665" customWidth="1"/>
    <col min="3" max="3" width="10.125" style="665" customWidth="1"/>
    <col min="4" max="4" width="10.75" style="665" customWidth="1"/>
    <col min="5" max="5" width="10" style="665" customWidth="1"/>
    <col min="6" max="6" width="9.625" style="665" bestFit="1" customWidth="1"/>
    <col min="7" max="7" width="11.5" style="665" bestFit="1" customWidth="1"/>
    <col min="8" max="8" width="12.25" style="665" customWidth="1"/>
    <col min="9" max="9" width="11.625" style="665" customWidth="1"/>
    <col min="10" max="10" width="9.75" style="665" customWidth="1"/>
    <col min="11" max="11" width="9.875" style="665" customWidth="1"/>
    <col min="12" max="12" width="12" style="665" customWidth="1"/>
    <col min="13" max="13" width="9.875" style="665" customWidth="1"/>
    <col min="14" max="15" width="10.375" style="665" customWidth="1"/>
    <col min="16" max="16" width="16.25" style="665" customWidth="1"/>
    <col min="17" max="17" width="9.875" style="665" bestFit="1" customWidth="1"/>
    <col min="18" max="256" width="9" style="665"/>
    <col min="257" max="257" width="5" style="665" customWidth="1"/>
    <col min="258" max="258" width="40.875" style="665" customWidth="1"/>
    <col min="259" max="259" width="10.125" style="665" customWidth="1"/>
    <col min="260" max="260" width="10.75" style="665" customWidth="1"/>
    <col min="261" max="261" width="10" style="665" customWidth="1"/>
    <col min="262" max="262" width="9.625" style="665" bestFit="1" customWidth="1"/>
    <col min="263" max="263" width="10.75" style="665" customWidth="1"/>
    <col min="264" max="264" width="12.25" style="665" customWidth="1"/>
    <col min="265" max="265" width="11.625" style="665" customWidth="1"/>
    <col min="266" max="266" width="9.75" style="665" customWidth="1"/>
    <col min="267" max="267" width="9.875" style="665" customWidth="1"/>
    <col min="268" max="268" width="12" style="665" customWidth="1"/>
    <col min="269" max="269" width="9.875" style="665" customWidth="1"/>
    <col min="270" max="271" width="10.375" style="665" customWidth="1"/>
    <col min="272" max="272" width="16.25" style="665" customWidth="1"/>
    <col min="273" max="273" width="9.875" style="665" bestFit="1" customWidth="1"/>
    <col min="274" max="512" width="9" style="665"/>
    <col min="513" max="513" width="5" style="665" customWidth="1"/>
    <col min="514" max="514" width="40.875" style="665" customWidth="1"/>
    <col min="515" max="515" width="10.125" style="665" customWidth="1"/>
    <col min="516" max="516" width="10.75" style="665" customWidth="1"/>
    <col min="517" max="517" width="10" style="665" customWidth="1"/>
    <col min="518" max="518" width="9.625" style="665" bestFit="1" customWidth="1"/>
    <col min="519" max="519" width="10.75" style="665" customWidth="1"/>
    <col min="520" max="520" width="12.25" style="665" customWidth="1"/>
    <col min="521" max="521" width="11.625" style="665" customWidth="1"/>
    <col min="522" max="522" width="9.75" style="665" customWidth="1"/>
    <col min="523" max="523" width="9.875" style="665" customWidth="1"/>
    <col min="524" max="524" width="12" style="665" customWidth="1"/>
    <col min="525" max="525" width="9.875" style="665" customWidth="1"/>
    <col min="526" max="527" width="10.375" style="665" customWidth="1"/>
    <col min="528" max="528" width="16.25" style="665" customWidth="1"/>
    <col min="529" max="529" width="9.875" style="665" bestFit="1" customWidth="1"/>
    <col min="530" max="768" width="9" style="665"/>
    <col min="769" max="769" width="5" style="665" customWidth="1"/>
    <col min="770" max="770" width="40.875" style="665" customWidth="1"/>
    <col min="771" max="771" width="10.125" style="665" customWidth="1"/>
    <col min="772" max="772" width="10.75" style="665" customWidth="1"/>
    <col min="773" max="773" width="10" style="665" customWidth="1"/>
    <col min="774" max="774" width="9.625" style="665" bestFit="1" customWidth="1"/>
    <col min="775" max="775" width="10.75" style="665" customWidth="1"/>
    <col min="776" max="776" width="12.25" style="665" customWidth="1"/>
    <col min="777" max="777" width="11.625" style="665" customWidth="1"/>
    <col min="778" max="778" width="9.75" style="665" customWidth="1"/>
    <col min="779" max="779" width="9.875" style="665" customWidth="1"/>
    <col min="780" max="780" width="12" style="665" customWidth="1"/>
    <col min="781" max="781" width="9.875" style="665" customWidth="1"/>
    <col min="782" max="783" width="10.375" style="665" customWidth="1"/>
    <col min="784" max="784" width="16.25" style="665" customWidth="1"/>
    <col min="785" max="785" width="9.875" style="665" bestFit="1" customWidth="1"/>
    <col min="786" max="1024" width="9" style="665"/>
    <col min="1025" max="1025" width="5" style="665" customWidth="1"/>
    <col min="1026" max="1026" width="40.875" style="665" customWidth="1"/>
    <col min="1027" max="1027" width="10.125" style="665" customWidth="1"/>
    <col min="1028" max="1028" width="10.75" style="665" customWidth="1"/>
    <col min="1029" max="1029" width="10" style="665" customWidth="1"/>
    <col min="1030" max="1030" width="9.625" style="665" bestFit="1" customWidth="1"/>
    <col min="1031" max="1031" width="10.75" style="665" customWidth="1"/>
    <col min="1032" max="1032" width="12.25" style="665" customWidth="1"/>
    <col min="1033" max="1033" width="11.625" style="665" customWidth="1"/>
    <col min="1034" max="1034" width="9.75" style="665" customWidth="1"/>
    <col min="1035" max="1035" width="9.875" style="665" customWidth="1"/>
    <col min="1036" max="1036" width="12" style="665" customWidth="1"/>
    <col min="1037" max="1037" width="9.875" style="665" customWidth="1"/>
    <col min="1038" max="1039" width="10.375" style="665" customWidth="1"/>
    <col min="1040" max="1040" width="16.25" style="665" customWidth="1"/>
    <col min="1041" max="1041" width="9.875" style="665" bestFit="1" customWidth="1"/>
    <col min="1042" max="1280" width="9" style="665"/>
    <col min="1281" max="1281" width="5" style="665" customWidth="1"/>
    <col min="1282" max="1282" width="40.875" style="665" customWidth="1"/>
    <col min="1283" max="1283" width="10.125" style="665" customWidth="1"/>
    <col min="1284" max="1284" width="10.75" style="665" customWidth="1"/>
    <col min="1285" max="1285" width="10" style="665" customWidth="1"/>
    <col min="1286" max="1286" width="9.625" style="665" bestFit="1" customWidth="1"/>
    <col min="1287" max="1287" width="10.75" style="665" customWidth="1"/>
    <col min="1288" max="1288" width="12.25" style="665" customWidth="1"/>
    <col min="1289" max="1289" width="11.625" style="665" customWidth="1"/>
    <col min="1290" max="1290" width="9.75" style="665" customWidth="1"/>
    <col min="1291" max="1291" width="9.875" style="665" customWidth="1"/>
    <col min="1292" max="1292" width="12" style="665" customWidth="1"/>
    <col min="1293" max="1293" width="9.875" style="665" customWidth="1"/>
    <col min="1294" max="1295" width="10.375" style="665" customWidth="1"/>
    <col min="1296" max="1296" width="16.25" style="665" customWidth="1"/>
    <col min="1297" max="1297" width="9.875" style="665" bestFit="1" customWidth="1"/>
    <col min="1298" max="1536" width="9" style="665"/>
    <col min="1537" max="1537" width="5" style="665" customWidth="1"/>
    <col min="1538" max="1538" width="40.875" style="665" customWidth="1"/>
    <col min="1539" max="1539" width="10.125" style="665" customWidth="1"/>
    <col min="1540" max="1540" width="10.75" style="665" customWidth="1"/>
    <col min="1541" max="1541" width="10" style="665" customWidth="1"/>
    <col min="1542" max="1542" width="9.625" style="665" bestFit="1" customWidth="1"/>
    <col min="1543" max="1543" width="10.75" style="665" customWidth="1"/>
    <col min="1544" max="1544" width="12.25" style="665" customWidth="1"/>
    <col min="1545" max="1545" width="11.625" style="665" customWidth="1"/>
    <col min="1546" max="1546" width="9.75" style="665" customWidth="1"/>
    <col min="1547" max="1547" width="9.875" style="665" customWidth="1"/>
    <col min="1548" max="1548" width="12" style="665" customWidth="1"/>
    <col min="1549" max="1549" width="9.875" style="665" customWidth="1"/>
    <col min="1550" max="1551" width="10.375" style="665" customWidth="1"/>
    <col min="1552" max="1552" width="16.25" style="665" customWidth="1"/>
    <col min="1553" max="1553" width="9.875" style="665" bestFit="1" customWidth="1"/>
    <col min="1554" max="1792" width="9" style="665"/>
    <col min="1793" max="1793" width="5" style="665" customWidth="1"/>
    <col min="1794" max="1794" width="40.875" style="665" customWidth="1"/>
    <col min="1795" max="1795" width="10.125" style="665" customWidth="1"/>
    <col min="1796" max="1796" width="10.75" style="665" customWidth="1"/>
    <col min="1797" max="1797" width="10" style="665" customWidth="1"/>
    <col min="1798" max="1798" width="9.625" style="665" bestFit="1" customWidth="1"/>
    <col min="1799" max="1799" width="10.75" style="665" customWidth="1"/>
    <col min="1800" max="1800" width="12.25" style="665" customWidth="1"/>
    <col min="1801" max="1801" width="11.625" style="665" customWidth="1"/>
    <col min="1802" max="1802" width="9.75" style="665" customWidth="1"/>
    <col min="1803" max="1803" width="9.875" style="665" customWidth="1"/>
    <col min="1804" max="1804" width="12" style="665" customWidth="1"/>
    <col min="1805" max="1805" width="9.875" style="665" customWidth="1"/>
    <col min="1806" max="1807" width="10.375" style="665" customWidth="1"/>
    <col min="1808" max="1808" width="16.25" style="665" customWidth="1"/>
    <col min="1809" max="1809" width="9.875" style="665" bestFit="1" customWidth="1"/>
    <col min="1810" max="2048" width="9" style="665"/>
    <col min="2049" max="2049" width="5" style="665" customWidth="1"/>
    <col min="2050" max="2050" width="40.875" style="665" customWidth="1"/>
    <col min="2051" max="2051" width="10.125" style="665" customWidth="1"/>
    <col min="2052" max="2052" width="10.75" style="665" customWidth="1"/>
    <col min="2053" max="2053" width="10" style="665" customWidth="1"/>
    <col min="2054" max="2054" width="9.625" style="665" bestFit="1" customWidth="1"/>
    <col min="2055" max="2055" width="10.75" style="665" customWidth="1"/>
    <col min="2056" max="2056" width="12.25" style="665" customWidth="1"/>
    <col min="2057" max="2057" width="11.625" style="665" customWidth="1"/>
    <col min="2058" max="2058" width="9.75" style="665" customWidth="1"/>
    <col min="2059" max="2059" width="9.875" style="665" customWidth="1"/>
    <col min="2060" max="2060" width="12" style="665" customWidth="1"/>
    <col min="2061" max="2061" width="9.875" style="665" customWidth="1"/>
    <col min="2062" max="2063" width="10.375" style="665" customWidth="1"/>
    <col min="2064" max="2064" width="16.25" style="665" customWidth="1"/>
    <col min="2065" max="2065" width="9.875" style="665" bestFit="1" customWidth="1"/>
    <col min="2066" max="2304" width="9" style="665"/>
    <col min="2305" max="2305" width="5" style="665" customWidth="1"/>
    <col min="2306" max="2306" width="40.875" style="665" customWidth="1"/>
    <col min="2307" max="2307" width="10.125" style="665" customWidth="1"/>
    <col min="2308" max="2308" width="10.75" style="665" customWidth="1"/>
    <col min="2309" max="2309" width="10" style="665" customWidth="1"/>
    <col min="2310" max="2310" width="9.625" style="665" bestFit="1" customWidth="1"/>
    <col min="2311" max="2311" width="10.75" style="665" customWidth="1"/>
    <col min="2312" max="2312" width="12.25" style="665" customWidth="1"/>
    <col min="2313" max="2313" width="11.625" style="665" customWidth="1"/>
    <col min="2314" max="2314" width="9.75" style="665" customWidth="1"/>
    <col min="2315" max="2315" width="9.875" style="665" customWidth="1"/>
    <col min="2316" max="2316" width="12" style="665" customWidth="1"/>
    <col min="2317" max="2317" width="9.875" style="665" customWidth="1"/>
    <col min="2318" max="2319" width="10.375" style="665" customWidth="1"/>
    <col min="2320" max="2320" width="16.25" style="665" customWidth="1"/>
    <col min="2321" max="2321" width="9.875" style="665" bestFit="1" customWidth="1"/>
    <col min="2322" max="2560" width="9" style="665"/>
    <col min="2561" max="2561" width="5" style="665" customWidth="1"/>
    <col min="2562" max="2562" width="40.875" style="665" customWidth="1"/>
    <col min="2563" max="2563" width="10.125" style="665" customWidth="1"/>
    <col min="2564" max="2564" width="10.75" style="665" customWidth="1"/>
    <col min="2565" max="2565" width="10" style="665" customWidth="1"/>
    <col min="2566" max="2566" width="9.625" style="665" bestFit="1" customWidth="1"/>
    <col min="2567" max="2567" width="10.75" style="665" customWidth="1"/>
    <col min="2568" max="2568" width="12.25" style="665" customWidth="1"/>
    <col min="2569" max="2569" width="11.625" style="665" customWidth="1"/>
    <col min="2570" max="2570" width="9.75" style="665" customWidth="1"/>
    <col min="2571" max="2571" width="9.875" style="665" customWidth="1"/>
    <col min="2572" max="2572" width="12" style="665" customWidth="1"/>
    <col min="2573" max="2573" width="9.875" style="665" customWidth="1"/>
    <col min="2574" max="2575" width="10.375" style="665" customWidth="1"/>
    <col min="2576" max="2576" width="16.25" style="665" customWidth="1"/>
    <col min="2577" max="2577" width="9.875" style="665" bestFit="1" customWidth="1"/>
    <col min="2578" max="2816" width="9" style="665"/>
    <col min="2817" max="2817" width="5" style="665" customWidth="1"/>
    <col min="2818" max="2818" width="40.875" style="665" customWidth="1"/>
    <col min="2819" max="2819" width="10.125" style="665" customWidth="1"/>
    <col min="2820" max="2820" width="10.75" style="665" customWidth="1"/>
    <col min="2821" max="2821" width="10" style="665" customWidth="1"/>
    <col min="2822" max="2822" width="9.625" style="665" bestFit="1" customWidth="1"/>
    <col min="2823" max="2823" width="10.75" style="665" customWidth="1"/>
    <col min="2824" max="2824" width="12.25" style="665" customWidth="1"/>
    <col min="2825" max="2825" width="11.625" style="665" customWidth="1"/>
    <col min="2826" max="2826" width="9.75" style="665" customWidth="1"/>
    <col min="2827" max="2827" width="9.875" style="665" customWidth="1"/>
    <col min="2828" max="2828" width="12" style="665" customWidth="1"/>
    <col min="2829" max="2829" width="9.875" style="665" customWidth="1"/>
    <col min="2830" max="2831" width="10.375" style="665" customWidth="1"/>
    <col min="2832" max="2832" width="16.25" style="665" customWidth="1"/>
    <col min="2833" max="2833" width="9.875" style="665" bestFit="1" customWidth="1"/>
    <col min="2834" max="3072" width="9" style="665"/>
    <col min="3073" max="3073" width="5" style="665" customWidth="1"/>
    <col min="3074" max="3074" width="40.875" style="665" customWidth="1"/>
    <col min="3075" max="3075" width="10.125" style="665" customWidth="1"/>
    <col min="3076" max="3076" width="10.75" style="665" customWidth="1"/>
    <col min="3077" max="3077" width="10" style="665" customWidth="1"/>
    <col min="3078" max="3078" width="9.625" style="665" bestFit="1" customWidth="1"/>
    <col min="3079" max="3079" width="10.75" style="665" customWidth="1"/>
    <col min="3080" max="3080" width="12.25" style="665" customWidth="1"/>
    <col min="3081" max="3081" width="11.625" style="665" customWidth="1"/>
    <col min="3082" max="3082" width="9.75" style="665" customWidth="1"/>
    <col min="3083" max="3083" width="9.875" style="665" customWidth="1"/>
    <col min="3084" max="3084" width="12" style="665" customWidth="1"/>
    <col min="3085" max="3085" width="9.875" style="665" customWidth="1"/>
    <col min="3086" max="3087" width="10.375" style="665" customWidth="1"/>
    <col min="3088" max="3088" width="16.25" style="665" customWidth="1"/>
    <col min="3089" max="3089" width="9.875" style="665" bestFit="1" customWidth="1"/>
    <col min="3090" max="3328" width="9" style="665"/>
    <col min="3329" max="3329" width="5" style="665" customWidth="1"/>
    <col min="3330" max="3330" width="40.875" style="665" customWidth="1"/>
    <col min="3331" max="3331" width="10.125" style="665" customWidth="1"/>
    <col min="3332" max="3332" width="10.75" style="665" customWidth="1"/>
    <col min="3333" max="3333" width="10" style="665" customWidth="1"/>
    <col min="3334" max="3334" width="9.625" style="665" bestFit="1" customWidth="1"/>
    <col min="3335" max="3335" width="10.75" style="665" customWidth="1"/>
    <col min="3336" max="3336" width="12.25" style="665" customWidth="1"/>
    <col min="3337" max="3337" width="11.625" style="665" customWidth="1"/>
    <col min="3338" max="3338" width="9.75" style="665" customWidth="1"/>
    <col min="3339" max="3339" width="9.875" style="665" customWidth="1"/>
    <col min="3340" max="3340" width="12" style="665" customWidth="1"/>
    <col min="3341" max="3341" width="9.875" style="665" customWidth="1"/>
    <col min="3342" max="3343" width="10.375" style="665" customWidth="1"/>
    <col min="3344" max="3344" width="16.25" style="665" customWidth="1"/>
    <col min="3345" max="3345" width="9.875" style="665" bestFit="1" customWidth="1"/>
    <col min="3346" max="3584" width="9" style="665"/>
    <col min="3585" max="3585" width="5" style="665" customWidth="1"/>
    <col min="3586" max="3586" width="40.875" style="665" customWidth="1"/>
    <col min="3587" max="3587" width="10.125" style="665" customWidth="1"/>
    <col min="3588" max="3588" width="10.75" style="665" customWidth="1"/>
    <col min="3589" max="3589" width="10" style="665" customWidth="1"/>
    <col min="3590" max="3590" width="9.625" style="665" bestFit="1" customWidth="1"/>
    <col min="3591" max="3591" width="10.75" style="665" customWidth="1"/>
    <col min="3592" max="3592" width="12.25" style="665" customWidth="1"/>
    <col min="3593" max="3593" width="11.625" style="665" customWidth="1"/>
    <col min="3594" max="3594" width="9.75" style="665" customWidth="1"/>
    <col min="3595" max="3595" width="9.875" style="665" customWidth="1"/>
    <col min="3596" max="3596" width="12" style="665" customWidth="1"/>
    <col min="3597" max="3597" width="9.875" style="665" customWidth="1"/>
    <col min="3598" max="3599" width="10.375" style="665" customWidth="1"/>
    <col min="3600" max="3600" width="16.25" style="665" customWidth="1"/>
    <col min="3601" max="3601" width="9.875" style="665" bestFit="1" customWidth="1"/>
    <col min="3602" max="3840" width="9" style="665"/>
    <col min="3841" max="3841" width="5" style="665" customWidth="1"/>
    <col min="3842" max="3842" width="40.875" style="665" customWidth="1"/>
    <col min="3843" max="3843" width="10.125" style="665" customWidth="1"/>
    <col min="3844" max="3844" width="10.75" style="665" customWidth="1"/>
    <col min="3845" max="3845" width="10" style="665" customWidth="1"/>
    <col min="3846" max="3846" width="9.625" style="665" bestFit="1" customWidth="1"/>
    <col min="3847" max="3847" width="10.75" style="665" customWidth="1"/>
    <col min="3848" max="3848" width="12.25" style="665" customWidth="1"/>
    <col min="3849" max="3849" width="11.625" style="665" customWidth="1"/>
    <col min="3850" max="3850" width="9.75" style="665" customWidth="1"/>
    <col min="3851" max="3851" width="9.875" style="665" customWidth="1"/>
    <col min="3852" max="3852" width="12" style="665" customWidth="1"/>
    <col min="3853" max="3853" width="9.875" style="665" customWidth="1"/>
    <col min="3854" max="3855" width="10.375" style="665" customWidth="1"/>
    <col min="3856" max="3856" width="16.25" style="665" customWidth="1"/>
    <col min="3857" max="3857" width="9.875" style="665" bestFit="1" customWidth="1"/>
    <col min="3858" max="4096" width="9" style="665"/>
    <col min="4097" max="4097" width="5" style="665" customWidth="1"/>
    <col min="4098" max="4098" width="40.875" style="665" customWidth="1"/>
    <col min="4099" max="4099" width="10.125" style="665" customWidth="1"/>
    <col min="4100" max="4100" width="10.75" style="665" customWidth="1"/>
    <col min="4101" max="4101" width="10" style="665" customWidth="1"/>
    <col min="4102" max="4102" width="9.625" style="665" bestFit="1" customWidth="1"/>
    <col min="4103" max="4103" width="10.75" style="665" customWidth="1"/>
    <col min="4104" max="4104" width="12.25" style="665" customWidth="1"/>
    <col min="4105" max="4105" width="11.625" style="665" customWidth="1"/>
    <col min="4106" max="4106" width="9.75" style="665" customWidth="1"/>
    <col min="4107" max="4107" width="9.875" style="665" customWidth="1"/>
    <col min="4108" max="4108" width="12" style="665" customWidth="1"/>
    <col min="4109" max="4109" width="9.875" style="665" customWidth="1"/>
    <col min="4110" max="4111" width="10.375" style="665" customWidth="1"/>
    <col min="4112" max="4112" width="16.25" style="665" customWidth="1"/>
    <col min="4113" max="4113" width="9.875" style="665" bestFit="1" customWidth="1"/>
    <col min="4114" max="4352" width="9" style="665"/>
    <col min="4353" max="4353" width="5" style="665" customWidth="1"/>
    <col min="4354" max="4354" width="40.875" style="665" customWidth="1"/>
    <col min="4355" max="4355" width="10.125" style="665" customWidth="1"/>
    <col min="4356" max="4356" width="10.75" style="665" customWidth="1"/>
    <col min="4357" max="4357" width="10" style="665" customWidth="1"/>
    <col min="4358" max="4358" width="9.625" style="665" bestFit="1" customWidth="1"/>
    <col min="4359" max="4359" width="10.75" style="665" customWidth="1"/>
    <col min="4360" max="4360" width="12.25" style="665" customWidth="1"/>
    <col min="4361" max="4361" width="11.625" style="665" customWidth="1"/>
    <col min="4362" max="4362" width="9.75" style="665" customWidth="1"/>
    <col min="4363" max="4363" width="9.875" style="665" customWidth="1"/>
    <col min="4364" max="4364" width="12" style="665" customWidth="1"/>
    <col min="4365" max="4365" width="9.875" style="665" customWidth="1"/>
    <col min="4366" max="4367" width="10.375" style="665" customWidth="1"/>
    <col min="4368" max="4368" width="16.25" style="665" customWidth="1"/>
    <col min="4369" max="4369" width="9.875" style="665" bestFit="1" customWidth="1"/>
    <col min="4370" max="4608" width="9" style="665"/>
    <col min="4609" max="4609" width="5" style="665" customWidth="1"/>
    <col min="4610" max="4610" width="40.875" style="665" customWidth="1"/>
    <col min="4611" max="4611" width="10.125" style="665" customWidth="1"/>
    <col min="4612" max="4612" width="10.75" style="665" customWidth="1"/>
    <col min="4613" max="4613" width="10" style="665" customWidth="1"/>
    <col min="4614" max="4614" width="9.625" style="665" bestFit="1" customWidth="1"/>
    <col min="4615" max="4615" width="10.75" style="665" customWidth="1"/>
    <col min="4616" max="4616" width="12.25" style="665" customWidth="1"/>
    <col min="4617" max="4617" width="11.625" style="665" customWidth="1"/>
    <col min="4618" max="4618" width="9.75" style="665" customWidth="1"/>
    <col min="4619" max="4619" width="9.875" style="665" customWidth="1"/>
    <col min="4620" max="4620" width="12" style="665" customWidth="1"/>
    <col min="4621" max="4621" width="9.875" style="665" customWidth="1"/>
    <col min="4622" max="4623" width="10.375" style="665" customWidth="1"/>
    <col min="4624" max="4624" width="16.25" style="665" customWidth="1"/>
    <col min="4625" max="4625" width="9.875" style="665" bestFit="1" customWidth="1"/>
    <col min="4626" max="4864" width="9" style="665"/>
    <col min="4865" max="4865" width="5" style="665" customWidth="1"/>
    <col min="4866" max="4866" width="40.875" style="665" customWidth="1"/>
    <col min="4867" max="4867" width="10.125" style="665" customWidth="1"/>
    <col min="4868" max="4868" width="10.75" style="665" customWidth="1"/>
    <col min="4869" max="4869" width="10" style="665" customWidth="1"/>
    <col min="4870" max="4870" width="9.625" style="665" bestFit="1" customWidth="1"/>
    <col min="4871" max="4871" width="10.75" style="665" customWidth="1"/>
    <col min="4872" max="4872" width="12.25" style="665" customWidth="1"/>
    <col min="4873" max="4873" width="11.625" style="665" customWidth="1"/>
    <col min="4874" max="4874" width="9.75" style="665" customWidth="1"/>
    <col min="4875" max="4875" width="9.875" style="665" customWidth="1"/>
    <col min="4876" max="4876" width="12" style="665" customWidth="1"/>
    <col min="4877" max="4877" width="9.875" style="665" customWidth="1"/>
    <col min="4878" max="4879" width="10.375" style="665" customWidth="1"/>
    <col min="4880" max="4880" width="16.25" style="665" customWidth="1"/>
    <col min="4881" max="4881" width="9.875" style="665" bestFit="1" customWidth="1"/>
    <col min="4882" max="5120" width="9" style="665"/>
    <col min="5121" max="5121" width="5" style="665" customWidth="1"/>
    <col min="5122" max="5122" width="40.875" style="665" customWidth="1"/>
    <col min="5123" max="5123" width="10.125" style="665" customWidth="1"/>
    <col min="5124" max="5124" width="10.75" style="665" customWidth="1"/>
    <col min="5125" max="5125" width="10" style="665" customWidth="1"/>
    <col min="5126" max="5126" width="9.625" style="665" bestFit="1" customWidth="1"/>
    <col min="5127" max="5127" width="10.75" style="665" customWidth="1"/>
    <col min="5128" max="5128" width="12.25" style="665" customWidth="1"/>
    <col min="5129" max="5129" width="11.625" style="665" customWidth="1"/>
    <col min="5130" max="5130" width="9.75" style="665" customWidth="1"/>
    <col min="5131" max="5131" width="9.875" style="665" customWidth="1"/>
    <col min="5132" max="5132" width="12" style="665" customWidth="1"/>
    <col min="5133" max="5133" width="9.875" style="665" customWidth="1"/>
    <col min="5134" max="5135" width="10.375" style="665" customWidth="1"/>
    <col min="5136" max="5136" width="16.25" style="665" customWidth="1"/>
    <col min="5137" max="5137" width="9.875" style="665" bestFit="1" customWidth="1"/>
    <col min="5138" max="5376" width="9" style="665"/>
    <col min="5377" max="5377" width="5" style="665" customWidth="1"/>
    <col min="5378" max="5378" width="40.875" style="665" customWidth="1"/>
    <col min="5379" max="5379" width="10.125" style="665" customWidth="1"/>
    <col min="5380" max="5380" width="10.75" style="665" customWidth="1"/>
    <col min="5381" max="5381" width="10" style="665" customWidth="1"/>
    <col min="5382" max="5382" width="9.625" style="665" bestFit="1" customWidth="1"/>
    <col min="5383" max="5383" width="10.75" style="665" customWidth="1"/>
    <col min="5384" max="5384" width="12.25" style="665" customWidth="1"/>
    <col min="5385" max="5385" width="11.625" style="665" customWidth="1"/>
    <col min="5386" max="5386" width="9.75" style="665" customWidth="1"/>
    <col min="5387" max="5387" width="9.875" style="665" customWidth="1"/>
    <col min="5388" max="5388" width="12" style="665" customWidth="1"/>
    <col min="5389" max="5389" width="9.875" style="665" customWidth="1"/>
    <col min="5390" max="5391" width="10.375" style="665" customWidth="1"/>
    <col min="5392" max="5392" width="16.25" style="665" customWidth="1"/>
    <col min="5393" max="5393" width="9.875" style="665" bestFit="1" customWidth="1"/>
    <col min="5394" max="5632" width="9" style="665"/>
    <col min="5633" max="5633" width="5" style="665" customWidth="1"/>
    <col min="5634" max="5634" width="40.875" style="665" customWidth="1"/>
    <col min="5635" max="5635" width="10.125" style="665" customWidth="1"/>
    <col min="5636" max="5636" width="10.75" style="665" customWidth="1"/>
    <col min="5637" max="5637" width="10" style="665" customWidth="1"/>
    <col min="5638" max="5638" width="9.625" style="665" bestFit="1" customWidth="1"/>
    <col min="5639" max="5639" width="10.75" style="665" customWidth="1"/>
    <col min="5640" max="5640" width="12.25" style="665" customWidth="1"/>
    <col min="5641" max="5641" width="11.625" style="665" customWidth="1"/>
    <col min="5642" max="5642" width="9.75" style="665" customWidth="1"/>
    <col min="5643" max="5643" width="9.875" style="665" customWidth="1"/>
    <col min="5644" max="5644" width="12" style="665" customWidth="1"/>
    <col min="5645" max="5645" width="9.875" style="665" customWidth="1"/>
    <col min="5646" max="5647" width="10.375" style="665" customWidth="1"/>
    <col min="5648" max="5648" width="16.25" style="665" customWidth="1"/>
    <col min="5649" max="5649" width="9.875" style="665" bestFit="1" customWidth="1"/>
    <col min="5650" max="5888" width="9" style="665"/>
    <col min="5889" max="5889" width="5" style="665" customWidth="1"/>
    <col min="5890" max="5890" width="40.875" style="665" customWidth="1"/>
    <col min="5891" max="5891" width="10.125" style="665" customWidth="1"/>
    <col min="5892" max="5892" width="10.75" style="665" customWidth="1"/>
    <col min="5893" max="5893" width="10" style="665" customWidth="1"/>
    <col min="5894" max="5894" width="9.625" style="665" bestFit="1" customWidth="1"/>
    <col min="5895" max="5895" width="10.75" style="665" customWidth="1"/>
    <col min="5896" max="5896" width="12.25" style="665" customWidth="1"/>
    <col min="5897" max="5897" width="11.625" style="665" customWidth="1"/>
    <col min="5898" max="5898" width="9.75" style="665" customWidth="1"/>
    <col min="5899" max="5899" width="9.875" style="665" customWidth="1"/>
    <col min="5900" max="5900" width="12" style="665" customWidth="1"/>
    <col min="5901" max="5901" width="9.875" style="665" customWidth="1"/>
    <col min="5902" max="5903" width="10.375" style="665" customWidth="1"/>
    <col min="5904" max="5904" width="16.25" style="665" customWidth="1"/>
    <col min="5905" max="5905" width="9.875" style="665" bestFit="1" customWidth="1"/>
    <col min="5906" max="6144" width="9" style="665"/>
    <col min="6145" max="6145" width="5" style="665" customWidth="1"/>
    <col min="6146" max="6146" width="40.875" style="665" customWidth="1"/>
    <col min="6147" max="6147" width="10.125" style="665" customWidth="1"/>
    <col min="6148" max="6148" width="10.75" style="665" customWidth="1"/>
    <col min="6149" max="6149" width="10" style="665" customWidth="1"/>
    <col min="6150" max="6150" width="9.625" style="665" bestFit="1" customWidth="1"/>
    <col min="6151" max="6151" width="10.75" style="665" customWidth="1"/>
    <col min="6152" max="6152" width="12.25" style="665" customWidth="1"/>
    <col min="6153" max="6153" width="11.625" style="665" customWidth="1"/>
    <col min="6154" max="6154" width="9.75" style="665" customWidth="1"/>
    <col min="6155" max="6155" width="9.875" style="665" customWidth="1"/>
    <col min="6156" max="6156" width="12" style="665" customWidth="1"/>
    <col min="6157" max="6157" width="9.875" style="665" customWidth="1"/>
    <col min="6158" max="6159" width="10.375" style="665" customWidth="1"/>
    <col min="6160" max="6160" width="16.25" style="665" customWidth="1"/>
    <col min="6161" max="6161" width="9.875" style="665" bestFit="1" customWidth="1"/>
    <col min="6162" max="6400" width="9" style="665"/>
    <col min="6401" max="6401" width="5" style="665" customWidth="1"/>
    <col min="6402" max="6402" width="40.875" style="665" customWidth="1"/>
    <col min="6403" max="6403" width="10.125" style="665" customWidth="1"/>
    <col min="6404" max="6404" width="10.75" style="665" customWidth="1"/>
    <col min="6405" max="6405" width="10" style="665" customWidth="1"/>
    <col min="6406" max="6406" width="9.625" style="665" bestFit="1" customWidth="1"/>
    <col min="6407" max="6407" width="10.75" style="665" customWidth="1"/>
    <col min="6408" max="6408" width="12.25" style="665" customWidth="1"/>
    <col min="6409" max="6409" width="11.625" style="665" customWidth="1"/>
    <col min="6410" max="6410" width="9.75" style="665" customWidth="1"/>
    <col min="6411" max="6411" width="9.875" style="665" customWidth="1"/>
    <col min="6412" max="6412" width="12" style="665" customWidth="1"/>
    <col min="6413" max="6413" width="9.875" style="665" customWidth="1"/>
    <col min="6414" max="6415" width="10.375" style="665" customWidth="1"/>
    <col min="6416" max="6416" width="16.25" style="665" customWidth="1"/>
    <col min="6417" max="6417" width="9.875" style="665" bestFit="1" customWidth="1"/>
    <col min="6418" max="6656" width="9" style="665"/>
    <col min="6657" max="6657" width="5" style="665" customWidth="1"/>
    <col min="6658" max="6658" width="40.875" style="665" customWidth="1"/>
    <col min="6659" max="6659" width="10.125" style="665" customWidth="1"/>
    <col min="6660" max="6660" width="10.75" style="665" customWidth="1"/>
    <col min="6661" max="6661" width="10" style="665" customWidth="1"/>
    <col min="6662" max="6662" width="9.625" style="665" bestFit="1" customWidth="1"/>
    <col min="6663" max="6663" width="10.75" style="665" customWidth="1"/>
    <col min="6664" max="6664" width="12.25" style="665" customWidth="1"/>
    <col min="6665" max="6665" width="11.625" style="665" customWidth="1"/>
    <col min="6666" max="6666" width="9.75" style="665" customWidth="1"/>
    <col min="6667" max="6667" width="9.875" style="665" customWidth="1"/>
    <col min="6668" max="6668" width="12" style="665" customWidth="1"/>
    <col min="6669" max="6669" width="9.875" style="665" customWidth="1"/>
    <col min="6670" max="6671" width="10.375" style="665" customWidth="1"/>
    <col min="6672" max="6672" width="16.25" style="665" customWidth="1"/>
    <col min="6673" max="6673" width="9.875" style="665" bestFit="1" customWidth="1"/>
    <col min="6674" max="6912" width="9" style="665"/>
    <col min="6913" max="6913" width="5" style="665" customWidth="1"/>
    <col min="6914" max="6914" width="40.875" style="665" customWidth="1"/>
    <col min="6915" max="6915" width="10.125" style="665" customWidth="1"/>
    <col min="6916" max="6916" width="10.75" style="665" customWidth="1"/>
    <col min="6917" max="6917" width="10" style="665" customWidth="1"/>
    <col min="6918" max="6918" width="9.625" style="665" bestFit="1" customWidth="1"/>
    <col min="6919" max="6919" width="10.75" style="665" customWidth="1"/>
    <col min="6920" max="6920" width="12.25" style="665" customWidth="1"/>
    <col min="6921" max="6921" width="11.625" style="665" customWidth="1"/>
    <col min="6922" max="6922" width="9.75" style="665" customWidth="1"/>
    <col min="6923" max="6923" width="9.875" style="665" customWidth="1"/>
    <col min="6924" max="6924" width="12" style="665" customWidth="1"/>
    <col min="6925" max="6925" width="9.875" style="665" customWidth="1"/>
    <col min="6926" max="6927" width="10.375" style="665" customWidth="1"/>
    <col min="6928" max="6928" width="16.25" style="665" customWidth="1"/>
    <col min="6929" max="6929" width="9.875" style="665" bestFit="1" customWidth="1"/>
    <col min="6930" max="7168" width="9" style="665"/>
    <col min="7169" max="7169" width="5" style="665" customWidth="1"/>
    <col min="7170" max="7170" width="40.875" style="665" customWidth="1"/>
    <col min="7171" max="7171" width="10.125" style="665" customWidth="1"/>
    <col min="7172" max="7172" width="10.75" style="665" customWidth="1"/>
    <col min="7173" max="7173" width="10" style="665" customWidth="1"/>
    <col min="7174" max="7174" width="9.625" style="665" bestFit="1" customWidth="1"/>
    <col min="7175" max="7175" width="10.75" style="665" customWidth="1"/>
    <col min="7176" max="7176" width="12.25" style="665" customWidth="1"/>
    <col min="7177" max="7177" width="11.625" style="665" customWidth="1"/>
    <col min="7178" max="7178" width="9.75" style="665" customWidth="1"/>
    <col min="7179" max="7179" width="9.875" style="665" customWidth="1"/>
    <col min="7180" max="7180" width="12" style="665" customWidth="1"/>
    <col min="7181" max="7181" width="9.875" style="665" customWidth="1"/>
    <col min="7182" max="7183" width="10.375" style="665" customWidth="1"/>
    <col min="7184" max="7184" width="16.25" style="665" customWidth="1"/>
    <col min="7185" max="7185" width="9.875" style="665" bestFit="1" customWidth="1"/>
    <col min="7186" max="7424" width="9" style="665"/>
    <col min="7425" max="7425" width="5" style="665" customWidth="1"/>
    <col min="7426" max="7426" width="40.875" style="665" customWidth="1"/>
    <col min="7427" max="7427" width="10.125" style="665" customWidth="1"/>
    <col min="7428" max="7428" width="10.75" style="665" customWidth="1"/>
    <col min="7429" max="7429" width="10" style="665" customWidth="1"/>
    <col min="7430" max="7430" width="9.625" style="665" bestFit="1" customWidth="1"/>
    <col min="7431" max="7431" width="10.75" style="665" customWidth="1"/>
    <col min="7432" max="7432" width="12.25" style="665" customWidth="1"/>
    <col min="7433" max="7433" width="11.625" style="665" customWidth="1"/>
    <col min="7434" max="7434" width="9.75" style="665" customWidth="1"/>
    <col min="7435" max="7435" width="9.875" style="665" customWidth="1"/>
    <col min="7436" max="7436" width="12" style="665" customWidth="1"/>
    <col min="7437" max="7437" width="9.875" style="665" customWidth="1"/>
    <col min="7438" max="7439" width="10.375" style="665" customWidth="1"/>
    <col min="7440" max="7440" width="16.25" style="665" customWidth="1"/>
    <col min="7441" max="7441" width="9.875" style="665" bestFit="1" customWidth="1"/>
    <col min="7442" max="7680" width="9" style="665"/>
    <col min="7681" max="7681" width="5" style="665" customWidth="1"/>
    <col min="7682" max="7682" width="40.875" style="665" customWidth="1"/>
    <col min="7683" max="7683" width="10.125" style="665" customWidth="1"/>
    <col min="7684" max="7684" width="10.75" style="665" customWidth="1"/>
    <col min="7685" max="7685" width="10" style="665" customWidth="1"/>
    <col min="7686" max="7686" width="9.625" style="665" bestFit="1" customWidth="1"/>
    <col min="7687" max="7687" width="10.75" style="665" customWidth="1"/>
    <col min="7688" max="7688" width="12.25" style="665" customWidth="1"/>
    <col min="7689" max="7689" width="11.625" style="665" customWidth="1"/>
    <col min="7690" max="7690" width="9.75" style="665" customWidth="1"/>
    <col min="7691" max="7691" width="9.875" style="665" customWidth="1"/>
    <col min="7692" max="7692" width="12" style="665" customWidth="1"/>
    <col min="7693" max="7693" width="9.875" style="665" customWidth="1"/>
    <col min="7694" max="7695" width="10.375" style="665" customWidth="1"/>
    <col min="7696" max="7696" width="16.25" style="665" customWidth="1"/>
    <col min="7697" max="7697" width="9.875" style="665" bestFit="1" customWidth="1"/>
    <col min="7698" max="7936" width="9" style="665"/>
    <col min="7937" max="7937" width="5" style="665" customWidth="1"/>
    <col min="7938" max="7938" width="40.875" style="665" customWidth="1"/>
    <col min="7939" max="7939" width="10.125" style="665" customWidth="1"/>
    <col min="7940" max="7940" width="10.75" style="665" customWidth="1"/>
    <col min="7941" max="7941" width="10" style="665" customWidth="1"/>
    <col min="7942" max="7942" width="9.625" style="665" bestFit="1" customWidth="1"/>
    <col min="7943" max="7943" width="10.75" style="665" customWidth="1"/>
    <col min="7944" max="7944" width="12.25" style="665" customWidth="1"/>
    <col min="7945" max="7945" width="11.625" style="665" customWidth="1"/>
    <col min="7946" max="7946" width="9.75" style="665" customWidth="1"/>
    <col min="7947" max="7947" width="9.875" style="665" customWidth="1"/>
    <col min="7948" max="7948" width="12" style="665" customWidth="1"/>
    <col min="7949" max="7949" width="9.875" style="665" customWidth="1"/>
    <col min="7950" max="7951" width="10.375" style="665" customWidth="1"/>
    <col min="7952" max="7952" width="16.25" style="665" customWidth="1"/>
    <col min="7953" max="7953" width="9.875" style="665" bestFit="1" customWidth="1"/>
    <col min="7954" max="8192" width="9" style="665"/>
    <col min="8193" max="8193" width="5" style="665" customWidth="1"/>
    <col min="8194" max="8194" width="40.875" style="665" customWidth="1"/>
    <col min="8195" max="8195" width="10.125" style="665" customWidth="1"/>
    <col min="8196" max="8196" width="10.75" style="665" customWidth="1"/>
    <col min="8197" max="8197" width="10" style="665" customWidth="1"/>
    <col min="8198" max="8198" width="9.625" style="665" bestFit="1" customWidth="1"/>
    <col min="8199" max="8199" width="10.75" style="665" customWidth="1"/>
    <col min="8200" max="8200" width="12.25" style="665" customWidth="1"/>
    <col min="8201" max="8201" width="11.625" style="665" customWidth="1"/>
    <col min="8202" max="8202" width="9.75" style="665" customWidth="1"/>
    <col min="8203" max="8203" width="9.875" style="665" customWidth="1"/>
    <col min="8204" max="8204" width="12" style="665" customWidth="1"/>
    <col min="8205" max="8205" width="9.875" style="665" customWidth="1"/>
    <col min="8206" max="8207" width="10.375" style="665" customWidth="1"/>
    <col min="8208" max="8208" width="16.25" style="665" customWidth="1"/>
    <col min="8209" max="8209" width="9.875" style="665" bestFit="1" customWidth="1"/>
    <col min="8210" max="8448" width="9" style="665"/>
    <col min="8449" max="8449" width="5" style="665" customWidth="1"/>
    <col min="8450" max="8450" width="40.875" style="665" customWidth="1"/>
    <col min="8451" max="8451" width="10.125" style="665" customWidth="1"/>
    <col min="8452" max="8452" width="10.75" style="665" customWidth="1"/>
    <col min="8453" max="8453" width="10" style="665" customWidth="1"/>
    <col min="8454" max="8454" width="9.625" style="665" bestFit="1" customWidth="1"/>
    <col min="8455" max="8455" width="10.75" style="665" customWidth="1"/>
    <col min="8456" max="8456" width="12.25" style="665" customWidth="1"/>
    <col min="8457" max="8457" width="11.625" style="665" customWidth="1"/>
    <col min="8458" max="8458" width="9.75" style="665" customWidth="1"/>
    <col min="8459" max="8459" width="9.875" style="665" customWidth="1"/>
    <col min="8460" max="8460" width="12" style="665" customWidth="1"/>
    <col min="8461" max="8461" width="9.875" style="665" customWidth="1"/>
    <col min="8462" max="8463" width="10.375" style="665" customWidth="1"/>
    <col min="8464" max="8464" width="16.25" style="665" customWidth="1"/>
    <col min="8465" max="8465" width="9.875" style="665" bestFit="1" customWidth="1"/>
    <col min="8466" max="8704" width="9" style="665"/>
    <col min="8705" max="8705" width="5" style="665" customWidth="1"/>
    <col min="8706" max="8706" width="40.875" style="665" customWidth="1"/>
    <col min="8707" max="8707" width="10.125" style="665" customWidth="1"/>
    <col min="8708" max="8708" width="10.75" style="665" customWidth="1"/>
    <col min="8709" max="8709" width="10" style="665" customWidth="1"/>
    <col min="8710" max="8710" width="9.625" style="665" bestFit="1" customWidth="1"/>
    <col min="8711" max="8711" width="10.75" style="665" customWidth="1"/>
    <col min="8712" max="8712" width="12.25" style="665" customWidth="1"/>
    <col min="8713" max="8713" width="11.625" style="665" customWidth="1"/>
    <col min="8714" max="8714" width="9.75" style="665" customWidth="1"/>
    <col min="8715" max="8715" width="9.875" style="665" customWidth="1"/>
    <col min="8716" max="8716" width="12" style="665" customWidth="1"/>
    <col min="8717" max="8717" width="9.875" style="665" customWidth="1"/>
    <col min="8718" max="8719" width="10.375" style="665" customWidth="1"/>
    <col min="8720" max="8720" width="16.25" style="665" customWidth="1"/>
    <col min="8721" max="8721" width="9.875" style="665" bestFit="1" customWidth="1"/>
    <col min="8722" max="8960" width="9" style="665"/>
    <col min="8961" max="8961" width="5" style="665" customWidth="1"/>
    <col min="8962" max="8962" width="40.875" style="665" customWidth="1"/>
    <col min="8963" max="8963" width="10.125" style="665" customWidth="1"/>
    <col min="8964" max="8964" width="10.75" style="665" customWidth="1"/>
    <col min="8965" max="8965" width="10" style="665" customWidth="1"/>
    <col min="8966" max="8966" width="9.625" style="665" bestFit="1" customWidth="1"/>
    <col min="8967" max="8967" width="10.75" style="665" customWidth="1"/>
    <col min="8968" max="8968" width="12.25" style="665" customWidth="1"/>
    <col min="8969" max="8969" width="11.625" style="665" customWidth="1"/>
    <col min="8970" max="8970" width="9.75" style="665" customWidth="1"/>
    <col min="8971" max="8971" width="9.875" style="665" customWidth="1"/>
    <col min="8972" max="8972" width="12" style="665" customWidth="1"/>
    <col min="8973" max="8973" width="9.875" style="665" customWidth="1"/>
    <col min="8974" max="8975" width="10.375" style="665" customWidth="1"/>
    <col min="8976" max="8976" width="16.25" style="665" customWidth="1"/>
    <col min="8977" max="8977" width="9.875" style="665" bestFit="1" customWidth="1"/>
    <col min="8978" max="9216" width="9" style="665"/>
    <col min="9217" max="9217" width="5" style="665" customWidth="1"/>
    <col min="9218" max="9218" width="40.875" style="665" customWidth="1"/>
    <col min="9219" max="9219" width="10.125" style="665" customWidth="1"/>
    <col min="9220" max="9220" width="10.75" style="665" customWidth="1"/>
    <col min="9221" max="9221" width="10" style="665" customWidth="1"/>
    <col min="9222" max="9222" width="9.625" style="665" bestFit="1" customWidth="1"/>
    <col min="9223" max="9223" width="10.75" style="665" customWidth="1"/>
    <col min="9224" max="9224" width="12.25" style="665" customWidth="1"/>
    <col min="9225" max="9225" width="11.625" style="665" customWidth="1"/>
    <col min="9226" max="9226" width="9.75" style="665" customWidth="1"/>
    <col min="9227" max="9227" width="9.875" style="665" customWidth="1"/>
    <col min="9228" max="9228" width="12" style="665" customWidth="1"/>
    <col min="9229" max="9229" width="9.875" style="665" customWidth="1"/>
    <col min="9230" max="9231" width="10.375" style="665" customWidth="1"/>
    <col min="9232" max="9232" width="16.25" style="665" customWidth="1"/>
    <col min="9233" max="9233" width="9.875" style="665" bestFit="1" customWidth="1"/>
    <col min="9234" max="9472" width="9" style="665"/>
    <col min="9473" max="9473" width="5" style="665" customWidth="1"/>
    <col min="9474" max="9474" width="40.875" style="665" customWidth="1"/>
    <col min="9475" max="9475" width="10.125" style="665" customWidth="1"/>
    <col min="9476" max="9476" width="10.75" style="665" customWidth="1"/>
    <col min="9477" max="9477" width="10" style="665" customWidth="1"/>
    <col min="9478" max="9478" width="9.625" style="665" bestFit="1" customWidth="1"/>
    <col min="9479" max="9479" width="10.75" style="665" customWidth="1"/>
    <col min="9480" max="9480" width="12.25" style="665" customWidth="1"/>
    <col min="9481" max="9481" width="11.625" style="665" customWidth="1"/>
    <col min="9482" max="9482" width="9.75" style="665" customWidth="1"/>
    <col min="9483" max="9483" width="9.875" style="665" customWidth="1"/>
    <col min="9484" max="9484" width="12" style="665" customWidth="1"/>
    <col min="9485" max="9485" width="9.875" style="665" customWidth="1"/>
    <col min="9486" max="9487" width="10.375" style="665" customWidth="1"/>
    <col min="9488" max="9488" width="16.25" style="665" customWidth="1"/>
    <col min="9489" max="9489" width="9.875" style="665" bestFit="1" customWidth="1"/>
    <col min="9490" max="9728" width="9" style="665"/>
    <col min="9729" max="9729" width="5" style="665" customWidth="1"/>
    <col min="9730" max="9730" width="40.875" style="665" customWidth="1"/>
    <col min="9731" max="9731" width="10.125" style="665" customWidth="1"/>
    <col min="9732" max="9732" width="10.75" style="665" customWidth="1"/>
    <col min="9733" max="9733" width="10" style="665" customWidth="1"/>
    <col min="9734" max="9734" width="9.625" style="665" bestFit="1" customWidth="1"/>
    <col min="9735" max="9735" width="10.75" style="665" customWidth="1"/>
    <col min="9736" max="9736" width="12.25" style="665" customWidth="1"/>
    <col min="9737" max="9737" width="11.625" style="665" customWidth="1"/>
    <col min="9738" max="9738" width="9.75" style="665" customWidth="1"/>
    <col min="9739" max="9739" width="9.875" style="665" customWidth="1"/>
    <col min="9740" max="9740" width="12" style="665" customWidth="1"/>
    <col min="9741" max="9741" width="9.875" style="665" customWidth="1"/>
    <col min="9742" max="9743" width="10.375" style="665" customWidth="1"/>
    <col min="9744" max="9744" width="16.25" style="665" customWidth="1"/>
    <col min="9745" max="9745" width="9.875" style="665" bestFit="1" customWidth="1"/>
    <col min="9746" max="9984" width="9" style="665"/>
    <col min="9985" max="9985" width="5" style="665" customWidth="1"/>
    <col min="9986" max="9986" width="40.875" style="665" customWidth="1"/>
    <col min="9987" max="9987" width="10.125" style="665" customWidth="1"/>
    <col min="9988" max="9988" width="10.75" style="665" customWidth="1"/>
    <col min="9989" max="9989" width="10" style="665" customWidth="1"/>
    <col min="9990" max="9990" width="9.625" style="665" bestFit="1" customWidth="1"/>
    <col min="9991" max="9991" width="10.75" style="665" customWidth="1"/>
    <col min="9992" max="9992" width="12.25" style="665" customWidth="1"/>
    <col min="9993" max="9993" width="11.625" style="665" customWidth="1"/>
    <col min="9994" max="9994" width="9.75" style="665" customWidth="1"/>
    <col min="9995" max="9995" width="9.875" style="665" customWidth="1"/>
    <col min="9996" max="9996" width="12" style="665" customWidth="1"/>
    <col min="9997" max="9997" width="9.875" style="665" customWidth="1"/>
    <col min="9998" max="9999" width="10.375" style="665" customWidth="1"/>
    <col min="10000" max="10000" width="16.25" style="665" customWidth="1"/>
    <col min="10001" max="10001" width="9.875" style="665" bestFit="1" customWidth="1"/>
    <col min="10002" max="10240" width="9" style="665"/>
    <col min="10241" max="10241" width="5" style="665" customWidth="1"/>
    <col min="10242" max="10242" width="40.875" style="665" customWidth="1"/>
    <col min="10243" max="10243" width="10.125" style="665" customWidth="1"/>
    <col min="10244" max="10244" width="10.75" style="665" customWidth="1"/>
    <col min="10245" max="10245" width="10" style="665" customWidth="1"/>
    <col min="10246" max="10246" width="9.625" style="665" bestFit="1" customWidth="1"/>
    <col min="10247" max="10247" width="10.75" style="665" customWidth="1"/>
    <col min="10248" max="10248" width="12.25" style="665" customWidth="1"/>
    <col min="10249" max="10249" width="11.625" style="665" customWidth="1"/>
    <col min="10250" max="10250" width="9.75" style="665" customWidth="1"/>
    <col min="10251" max="10251" width="9.875" style="665" customWidth="1"/>
    <col min="10252" max="10252" width="12" style="665" customWidth="1"/>
    <col min="10253" max="10253" width="9.875" style="665" customWidth="1"/>
    <col min="10254" max="10255" width="10.375" style="665" customWidth="1"/>
    <col min="10256" max="10256" width="16.25" style="665" customWidth="1"/>
    <col min="10257" max="10257" width="9.875" style="665" bestFit="1" customWidth="1"/>
    <col min="10258" max="10496" width="9" style="665"/>
    <col min="10497" max="10497" width="5" style="665" customWidth="1"/>
    <col min="10498" max="10498" width="40.875" style="665" customWidth="1"/>
    <col min="10499" max="10499" width="10.125" style="665" customWidth="1"/>
    <col min="10500" max="10500" width="10.75" style="665" customWidth="1"/>
    <col min="10501" max="10501" width="10" style="665" customWidth="1"/>
    <col min="10502" max="10502" width="9.625" style="665" bestFit="1" customWidth="1"/>
    <col min="10503" max="10503" width="10.75" style="665" customWidth="1"/>
    <col min="10504" max="10504" width="12.25" style="665" customWidth="1"/>
    <col min="10505" max="10505" width="11.625" style="665" customWidth="1"/>
    <col min="10506" max="10506" width="9.75" style="665" customWidth="1"/>
    <col min="10507" max="10507" width="9.875" style="665" customWidth="1"/>
    <col min="10508" max="10508" width="12" style="665" customWidth="1"/>
    <col min="10509" max="10509" width="9.875" style="665" customWidth="1"/>
    <col min="10510" max="10511" width="10.375" style="665" customWidth="1"/>
    <col min="10512" max="10512" width="16.25" style="665" customWidth="1"/>
    <col min="10513" max="10513" width="9.875" style="665" bestFit="1" customWidth="1"/>
    <col min="10514" max="10752" width="9" style="665"/>
    <col min="10753" max="10753" width="5" style="665" customWidth="1"/>
    <col min="10754" max="10754" width="40.875" style="665" customWidth="1"/>
    <col min="10755" max="10755" width="10.125" style="665" customWidth="1"/>
    <col min="10756" max="10756" width="10.75" style="665" customWidth="1"/>
    <col min="10757" max="10757" width="10" style="665" customWidth="1"/>
    <col min="10758" max="10758" width="9.625" style="665" bestFit="1" customWidth="1"/>
    <col min="10759" max="10759" width="10.75" style="665" customWidth="1"/>
    <col min="10760" max="10760" width="12.25" style="665" customWidth="1"/>
    <col min="10761" max="10761" width="11.625" style="665" customWidth="1"/>
    <col min="10762" max="10762" width="9.75" style="665" customWidth="1"/>
    <col min="10763" max="10763" width="9.875" style="665" customWidth="1"/>
    <col min="10764" max="10764" width="12" style="665" customWidth="1"/>
    <col min="10765" max="10765" width="9.875" style="665" customWidth="1"/>
    <col min="10766" max="10767" width="10.375" style="665" customWidth="1"/>
    <col min="10768" max="10768" width="16.25" style="665" customWidth="1"/>
    <col min="10769" max="10769" width="9.875" style="665" bestFit="1" customWidth="1"/>
    <col min="10770" max="11008" width="9" style="665"/>
    <col min="11009" max="11009" width="5" style="665" customWidth="1"/>
    <col min="11010" max="11010" width="40.875" style="665" customWidth="1"/>
    <col min="11011" max="11011" width="10.125" style="665" customWidth="1"/>
    <col min="11012" max="11012" width="10.75" style="665" customWidth="1"/>
    <col min="11013" max="11013" width="10" style="665" customWidth="1"/>
    <col min="11014" max="11014" width="9.625" style="665" bestFit="1" customWidth="1"/>
    <col min="11015" max="11015" width="10.75" style="665" customWidth="1"/>
    <col min="11016" max="11016" width="12.25" style="665" customWidth="1"/>
    <col min="11017" max="11017" width="11.625" style="665" customWidth="1"/>
    <col min="11018" max="11018" width="9.75" style="665" customWidth="1"/>
    <col min="11019" max="11019" width="9.875" style="665" customWidth="1"/>
    <col min="11020" max="11020" width="12" style="665" customWidth="1"/>
    <col min="11021" max="11021" width="9.875" style="665" customWidth="1"/>
    <col min="11022" max="11023" width="10.375" style="665" customWidth="1"/>
    <col min="11024" max="11024" width="16.25" style="665" customWidth="1"/>
    <col min="11025" max="11025" width="9.875" style="665" bestFit="1" customWidth="1"/>
    <col min="11026" max="11264" width="9" style="665"/>
    <col min="11265" max="11265" width="5" style="665" customWidth="1"/>
    <col min="11266" max="11266" width="40.875" style="665" customWidth="1"/>
    <col min="11267" max="11267" width="10.125" style="665" customWidth="1"/>
    <col min="11268" max="11268" width="10.75" style="665" customWidth="1"/>
    <col min="11269" max="11269" width="10" style="665" customWidth="1"/>
    <col min="11270" max="11270" width="9.625" style="665" bestFit="1" customWidth="1"/>
    <col min="11271" max="11271" width="10.75" style="665" customWidth="1"/>
    <col min="11272" max="11272" width="12.25" style="665" customWidth="1"/>
    <col min="11273" max="11273" width="11.625" style="665" customWidth="1"/>
    <col min="11274" max="11274" width="9.75" style="665" customWidth="1"/>
    <col min="11275" max="11275" width="9.875" style="665" customWidth="1"/>
    <col min="11276" max="11276" width="12" style="665" customWidth="1"/>
    <col min="11277" max="11277" width="9.875" style="665" customWidth="1"/>
    <col min="11278" max="11279" width="10.375" style="665" customWidth="1"/>
    <col min="11280" max="11280" width="16.25" style="665" customWidth="1"/>
    <col min="11281" max="11281" width="9.875" style="665" bestFit="1" customWidth="1"/>
    <col min="11282" max="11520" width="9" style="665"/>
    <col min="11521" max="11521" width="5" style="665" customWidth="1"/>
    <col min="11522" max="11522" width="40.875" style="665" customWidth="1"/>
    <col min="11523" max="11523" width="10.125" style="665" customWidth="1"/>
    <col min="11524" max="11524" width="10.75" style="665" customWidth="1"/>
    <col min="11525" max="11525" width="10" style="665" customWidth="1"/>
    <col min="11526" max="11526" width="9.625" style="665" bestFit="1" customWidth="1"/>
    <col min="11527" max="11527" width="10.75" style="665" customWidth="1"/>
    <col min="11528" max="11528" width="12.25" style="665" customWidth="1"/>
    <col min="11529" max="11529" width="11.625" style="665" customWidth="1"/>
    <col min="11530" max="11530" width="9.75" style="665" customWidth="1"/>
    <col min="11531" max="11531" width="9.875" style="665" customWidth="1"/>
    <col min="11532" max="11532" width="12" style="665" customWidth="1"/>
    <col min="11533" max="11533" width="9.875" style="665" customWidth="1"/>
    <col min="11534" max="11535" width="10.375" style="665" customWidth="1"/>
    <col min="11536" max="11536" width="16.25" style="665" customWidth="1"/>
    <col min="11537" max="11537" width="9.875" style="665" bestFit="1" customWidth="1"/>
    <col min="11538" max="11776" width="9" style="665"/>
    <col min="11777" max="11777" width="5" style="665" customWidth="1"/>
    <col min="11778" max="11778" width="40.875" style="665" customWidth="1"/>
    <col min="11779" max="11779" width="10.125" style="665" customWidth="1"/>
    <col min="11780" max="11780" width="10.75" style="665" customWidth="1"/>
    <col min="11781" max="11781" width="10" style="665" customWidth="1"/>
    <col min="11782" max="11782" width="9.625" style="665" bestFit="1" customWidth="1"/>
    <col min="11783" max="11783" width="10.75" style="665" customWidth="1"/>
    <col min="11784" max="11784" width="12.25" style="665" customWidth="1"/>
    <col min="11785" max="11785" width="11.625" style="665" customWidth="1"/>
    <col min="11786" max="11786" width="9.75" style="665" customWidth="1"/>
    <col min="11787" max="11787" width="9.875" style="665" customWidth="1"/>
    <col min="11788" max="11788" width="12" style="665" customWidth="1"/>
    <col min="11789" max="11789" width="9.875" style="665" customWidth="1"/>
    <col min="11790" max="11791" width="10.375" style="665" customWidth="1"/>
    <col min="11792" max="11792" width="16.25" style="665" customWidth="1"/>
    <col min="11793" max="11793" width="9.875" style="665" bestFit="1" customWidth="1"/>
    <col min="11794" max="12032" width="9" style="665"/>
    <col min="12033" max="12033" width="5" style="665" customWidth="1"/>
    <col min="12034" max="12034" width="40.875" style="665" customWidth="1"/>
    <col min="12035" max="12035" width="10.125" style="665" customWidth="1"/>
    <col min="12036" max="12036" width="10.75" style="665" customWidth="1"/>
    <col min="12037" max="12037" width="10" style="665" customWidth="1"/>
    <col min="12038" max="12038" width="9.625" style="665" bestFit="1" customWidth="1"/>
    <col min="12039" max="12039" width="10.75" style="665" customWidth="1"/>
    <col min="12040" max="12040" width="12.25" style="665" customWidth="1"/>
    <col min="12041" max="12041" width="11.625" style="665" customWidth="1"/>
    <col min="12042" max="12042" width="9.75" style="665" customWidth="1"/>
    <col min="12043" max="12043" width="9.875" style="665" customWidth="1"/>
    <col min="12044" max="12044" width="12" style="665" customWidth="1"/>
    <col min="12045" max="12045" width="9.875" style="665" customWidth="1"/>
    <col min="12046" max="12047" width="10.375" style="665" customWidth="1"/>
    <col min="12048" max="12048" width="16.25" style="665" customWidth="1"/>
    <col min="12049" max="12049" width="9.875" style="665" bestFit="1" customWidth="1"/>
    <col min="12050" max="12288" width="9" style="665"/>
    <col min="12289" max="12289" width="5" style="665" customWidth="1"/>
    <col min="12290" max="12290" width="40.875" style="665" customWidth="1"/>
    <col min="12291" max="12291" width="10.125" style="665" customWidth="1"/>
    <col min="12292" max="12292" width="10.75" style="665" customWidth="1"/>
    <col min="12293" max="12293" width="10" style="665" customWidth="1"/>
    <col min="12294" max="12294" width="9.625" style="665" bestFit="1" customWidth="1"/>
    <col min="12295" max="12295" width="10.75" style="665" customWidth="1"/>
    <col min="12296" max="12296" width="12.25" style="665" customWidth="1"/>
    <col min="12297" max="12297" width="11.625" style="665" customWidth="1"/>
    <col min="12298" max="12298" width="9.75" style="665" customWidth="1"/>
    <col min="12299" max="12299" width="9.875" style="665" customWidth="1"/>
    <col min="12300" max="12300" width="12" style="665" customWidth="1"/>
    <col min="12301" max="12301" width="9.875" style="665" customWidth="1"/>
    <col min="12302" max="12303" width="10.375" style="665" customWidth="1"/>
    <col min="12304" max="12304" width="16.25" style="665" customWidth="1"/>
    <col min="12305" max="12305" width="9.875" style="665" bestFit="1" customWidth="1"/>
    <col min="12306" max="12544" width="9" style="665"/>
    <col min="12545" max="12545" width="5" style="665" customWidth="1"/>
    <col min="12546" max="12546" width="40.875" style="665" customWidth="1"/>
    <col min="12547" max="12547" width="10.125" style="665" customWidth="1"/>
    <col min="12548" max="12548" width="10.75" style="665" customWidth="1"/>
    <col min="12549" max="12549" width="10" style="665" customWidth="1"/>
    <col min="12550" max="12550" width="9.625" style="665" bestFit="1" customWidth="1"/>
    <col min="12551" max="12551" width="10.75" style="665" customWidth="1"/>
    <col min="12552" max="12552" width="12.25" style="665" customWidth="1"/>
    <col min="12553" max="12553" width="11.625" style="665" customWidth="1"/>
    <col min="12554" max="12554" width="9.75" style="665" customWidth="1"/>
    <col min="12555" max="12555" width="9.875" style="665" customWidth="1"/>
    <col min="12556" max="12556" width="12" style="665" customWidth="1"/>
    <col min="12557" max="12557" width="9.875" style="665" customWidth="1"/>
    <col min="12558" max="12559" width="10.375" style="665" customWidth="1"/>
    <col min="12560" max="12560" width="16.25" style="665" customWidth="1"/>
    <col min="12561" max="12561" width="9.875" style="665" bestFit="1" customWidth="1"/>
    <col min="12562" max="12800" width="9" style="665"/>
    <col min="12801" max="12801" width="5" style="665" customWidth="1"/>
    <col min="12802" max="12802" width="40.875" style="665" customWidth="1"/>
    <col min="12803" max="12803" width="10.125" style="665" customWidth="1"/>
    <col min="12804" max="12804" width="10.75" style="665" customWidth="1"/>
    <col min="12805" max="12805" width="10" style="665" customWidth="1"/>
    <col min="12806" max="12806" width="9.625" style="665" bestFit="1" customWidth="1"/>
    <col min="12807" max="12807" width="10.75" style="665" customWidth="1"/>
    <col min="12808" max="12808" width="12.25" style="665" customWidth="1"/>
    <col min="12809" max="12809" width="11.625" style="665" customWidth="1"/>
    <col min="12810" max="12810" width="9.75" style="665" customWidth="1"/>
    <col min="12811" max="12811" width="9.875" style="665" customWidth="1"/>
    <col min="12812" max="12812" width="12" style="665" customWidth="1"/>
    <col min="12813" max="12813" width="9.875" style="665" customWidth="1"/>
    <col min="12814" max="12815" width="10.375" style="665" customWidth="1"/>
    <col min="12816" max="12816" width="16.25" style="665" customWidth="1"/>
    <col min="12817" max="12817" width="9.875" style="665" bestFit="1" customWidth="1"/>
    <col min="12818" max="13056" width="9" style="665"/>
    <col min="13057" max="13057" width="5" style="665" customWidth="1"/>
    <col min="13058" max="13058" width="40.875" style="665" customWidth="1"/>
    <col min="13059" max="13059" width="10.125" style="665" customWidth="1"/>
    <col min="13060" max="13060" width="10.75" style="665" customWidth="1"/>
    <col min="13061" max="13061" width="10" style="665" customWidth="1"/>
    <col min="13062" max="13062" width="9.625" style="665" bestFit="1" customWidth="1"/>
    <col min="13063" max="13063" width="10.75" style="665" customWidth="1"/>
    <col min="13064" max="13064" width="12.25" style="665" customWidth="1"/>
    <col min="13065" max="13065" width="11.625" style="665" customWidth="1"/>
    <col min="13066" max="13066" width="9.75" style="665" customWidth="1"/>
    <col min="13067" max="13067" width="9.875" style="665" customWidth="1"/>
    <col min="13068" max="13068" width="12" style="665" customWidth="1"/>
    <col min="13069" max="13069" width="9.875" style="665" customWidth="1"/>
    <col min="13070" max="13071" width="10.375" style="665" customWidth="1"/>
    <col min="13072" max="13072" width="16.25" style="665" customWidth="1"/>
    <col min="13073" max="13073" width="9.875" style="665" bestFit="1" customWidth="1"/>
    <col min="13074" max="13312" width="9" style="665"/>
    <col min="13313" max="13313" width="5" style="665" customWidth="1"/>
    <col min="13314" max="13314" width="40.875" style="665" customWidth="1"/>
    <col min="13315" max="13315" width="10.125" style="665" customWidth="1"/>
    <col min="13316" max="13316" width="10.75" style="665" customWidth="1"/>
    <col min="13317" max="13317" width="10" style="665" customWidth="1"/>
    <col min="13318" max="13318" width="9.625" style="665" bestFit="1" customWidth="1"/>
    <col min="13319" max="13319" width="10.75" style="665" customWidth="1"/>
    <col min="13320" max="13320" width="12.25" style="665" customWidth="1"/>
    <col min="13321" max="13321" width="11.625" style="665" customWidth="1"/>
    <col min="13322" max="13322" width="9.75" style="665" customWidth="1"/>
    <col min="13323" max="13323" width="9.875" style="665" customWidth="1"/>
    <col min="13324" max="13324" width="12" style="665" customWidth="1"/>
    <col min="13325" max="13325" width="9.875" style="665" customWidth="1"/>
    <col min="13326" max="13327" width="10.375" style="665" customWidth="1"/>
    <col min="13328" max="13328" width="16.25" style="665" customWidth="1"/>
    <col min="13329" max="13329" width="9.875" style="665" bestFit="1" customWidth="1"/>
    <col min="13330" max="13568" width="9" style="665"/>
    <col min="13569" max="13569" width="5" style="665" customWidth="1"/>
    <col min="13570" max="13570" width="40.875" style="665" customWidth="1"/>
    <col min="13571" max="13571" width="10.125" style="665" customWidth="1"/>
    <col min="13572" max="13572" width="10.75" style="665" customWidth="1"/>
    <col min="13573" max="13573" width="10" style="665" customWidth="1"/>
    <col min="13574" max="13574" width="9.625" style="665" bestFit="1" customWidth="1"/>
    <col min="13575" max="13575" width="10.75" style="665" customWidth="1"/>
    <col min="13576" max="13576" width="12.25" style="665" customWidth="1"/>
    <col min="13577" max="13577" width="11.625" style="665" customWidth="1"/>
    <col min="13578" max="13578" width="9.75" style="665" customWidth="1"/>
    <col min="13579" max="13579" width="9.875" style="665" customWidth="1"/>
    <col min="13580" max="13580" width="12" style="665" customWidth="1"/>
    <col min="13581" max="13581" width="9.875" style="665" customWidth="1"/>
    <col min="13582" max="13583" width="10.375" style="665" customWidth="1"/>
    <col min="13584" max="13584" width="16.25" style="665" customWidth="1"/>
    <col min="13585" max="13585" width="9.875" style="665" bestFit="1" customWidth="1"/>
    <col min="13586" max="13824" width="9" style="665"/>
    <col min="13825" max="13825" width="5" style="665" customWidth="1"/>
    <col min="13826" max="13826" width="40.875" style="665" customWidth="1"/>
    <col min="13827" max="13827" width="10.125" style="665" customWidth="1"/>
    <col min="13828" max="13828" width="10.75" style="665" customWidth="1"/>
    <col min="13829" max="13829" width="10" style="665" customWidth="1"/>
    <col min="13830" max="13830" width="9.625" style="665" bestFit="1" customWidth="1"/>
    <col min="13831" max="13831" width="10.75" style="665" customWidth="1"/>
    <col min="13832" max="13832" width="12.25" style="665" customWidth="1"/>
    <col min="13833" max="13833" width="11.625" style="665" customWidth="1"/>
    <col min="13834" max="13834" width="9.75" style="665" customWidth="1"/>
    <col min="13835" max="13835" width="9.875" style="665" customWidth="1"/>
    <col min="13836" max="13836" width="12" style="665" customWidth="1"/>
    <col min="13837" max="13837" width="9.875" style="665" customWidth="1"/>
    <col min="13838" max="13839" width="10.375" style="665" customWidth="1"/>
    <col min="13840" max="13840" width="16.25" style="665" customWidth="1"/>
    <col min="13841" max="13841" width="9.875" style="665" bestFit="1" customWidth="1"/>
    <col min="13842" max="14080" width="9" style="665"/>
    <col min="14081" max="14081" width="5" style="665" customWidth="1"/>
    <col min="14082" max="14082" width="40.875" style="665" customWidth="1"/>
    <col min="14083" max="14083" width="10.125" style="665" customWidth="1"/>
    <col min="14084" max="14084" width="10.75" style="665" customWidth="1"/>
    <col min="14085" max="14085" width="10" style="665" customWidth="1"/>
    <col min="14086" max="14086" width="9.625" style="665" bestFit="1" customWidth="1"/>
    <col min="14087" max="14087" width="10.75" style="665" customWidth="1"/>
    <col min="14088" max="14088" width="12.25" style="665" customWidth="1"/>
    <col min="14089" max="14089" width="11.625" style="665" customWidth="1"/>
    <col min="14090" max="14090" width="9.75" style="665" customWidth="1"/>
    <col min="14091" max="14091" width="9.875" style="665" customWidth="1"/>
    <col min="14092" max="14092" width="12" style="665" customWidth="1"/>
    <col min="14093" max="14093" width="9.875" style="665" customWidth="1"/>
    <col min="14094" max="14095" width="10.375" style="665" customWidth="1"/>
    <col min="14096" max="14096" width="16.25" style="665" customWidth="1"/>
    <col min="14097" max="14097" width="9.875" style="665" bestFit="1" customWidth="1"/>
    <col min="14098" max="14336" width="9" style="665"/>
    <col min="14337" max="14337" width="5" style="665" customWidth="1"/>
    <col min="14338" max="14338" width="40.875" style="665" customWidth="1"/>
    <col min="14339" max="14339" width="10.125" style="665" customWidth="1"/>
    <col min="14340" max="14340" width="10.75" style="665" customWidth="1"/>
    <col min="14341" max="14341" width="10" style="665" customWidth="1"/>
    <col min="14342" max="14342" width="9.625" style="665" bestFit="1" customWidth="1"/>
    <col min="14343" max="14343" width="10.75" style="665" customWidth="1"/>
    <col min="14344" max="14344" width="12.25" style="665" customWidth="1"/>
    <col min="14345" max="14345" width="11.625" style="665" customWidth="1"/>
    <col min="14346" max="14346" width="9.75" style="665" customWidth="1"/>
    <col min="14347" max="14347" width="9.875" style="665" customWidth="1"/>
    <col min="14348" max="14348" width="12" style="665" customWidth="1"/>
    <col min="14349" max="14349" width="9.875" style="665" customWidth="1"/>
    <col min="14350" max="14351" width="10.375" style="665" customWidth="1"/>
    <col min="14352" max="14352" width="16.25" style="665" customWidth="1"/>
    <col min="14353" max="14353" width="9.875" style="665" bestFit="1" customWidth="1"/>
    <col min="14354" max="14592" width="9" style="665"/>
    <col min="14593" max="14593" width="5" style="665" customWidth="1"/>
    <col min="14594" max="14594" width="40.875" style="665" customWidth="1"/>
    <col min="14595" max="14595" width="10.125" style="665" customWidth="1"/>
    <col min="14596" max="14596" width="10.75" style="665" customWidth="1"/>
    <col min="14597" max="14597" width="10" style="665" customWidth="1"/>
    <col min="14598" max="14598" width="9.625" style="665" bestFit="1" customWidth="1"/>
    <col min="14599" max="14599" width="10.75" style="665" customWidth="1"/>
    <col min="14600" max="14600" width="12.25" style="665" customWidth="1"/>
    <col min="14601" max="14601" width="11.625" style="665" customWidth="1"/>
    <col min="14602" max="14602" width="9.75" style="665" customWidth="1"/>
    <col min="14603" max="14603" width="9.875" style="665" customWidth="1"/>
    <col min="14604" max="14604" width="12" style="665" customWidth="1"/>
    <col min="14605" max="14605" width="9.875" style="665" customWidth="1"/>
    <col min="14606" max="14607" width="10.375" style="665" customWidth="1"/>
    <col min="14608" max="14608" width="16.25" style="665" customWidth="1"/>
    <col min="14609" max="14609" width="9.875" style="665" bestFit="1" customWidth="1"/>
    <col min="14610" max="14848" width="9" style="665"/>
    <col min="14849" max="14849" width="5" style="665" customWidth="1"/>
    <col min="14850" max="14850" width="40.875" style="665" customWidth="1"/>
    <col min="14851" max="14851" width="10.125" style="665" customWidth="1"/>
    <col min="14852" max="14852" width="10.75" style="665" customWidth="1"/>
    <col min="14853" max="14853" width="10" style="665" customWidth="1"/>
    <col min="14854" max="14854" width="9.625" style="665" bestFit="1" customWidth="1"/>
    <col min="14855" max="14855" width="10.75" style="665" customWidth="1"/>
    <col min="14856" max="14856" width="12.25" style="665" customWidth="1"/>
    <col min="14857" max="14857" width="11.625" style="665" customWidth="1"/>
    <col min="14858" max="14858" width="9.75" style="665" customWidth="1"/>
    <col min="14859" max="14859" width="9.875" style="665" customWidth="1"/>
    <col min="14860" max="14860" width="12" style="665" customWidth="1"/>
    <col min="14861" max="14861" width="9.875" style="665" customWidth="1"/>
    <col min="14862" max="14863" width="10.375" style="665" customWidth="1"/>
    <col min="14864" max="14864" width="16.25" style="665" customWidth="1"/>
    <col min="14865" max="14865" width="9.875" style="665" bestFit="1" customWidth="1"/>
    <col min="14866" max="15104" width="9" style="665"/>
    <col min="15105" max="15105" width="5" style="665" customWidth="1"/>
    <col min="15106" max="15106" width="40.875" style="665" customWidth="1"/>
    <col min="15107" max="15107" width="10.125" style="665" customWidth="1"/>
    <col min="15108" max="15108" width="10.75" style="665" customWidth="1"/>
    <col min="15109" max="15109" width="10" style="665" customWidth="1"/>
    <col min="15110" max="15110" width="9.625" style="665" bestFit="1" customWidth="1"/>
    <col min="15111" max="15111" width="10.75" style="665" customWidth="1"/>
    <col min="15112" max="15112" width="12.25" style="665" customWidth="1"/>
    <col min="15113" max="15113" width="11.625" style="665" customWidth="1"/>
    <col min="15114" max="15114" width="9.75" style="665" customWidth="1"/>
    <col min="15115" max="15115" width="9.875" style="665" customWidth="1"/>
    <col min="15116" max="15116" width="12" style="665" customWidth="1"/>
    <col min="15117" max="15117" width="9.875" style="665" customWidth="1"/>
    <col min="15118" max="15119" width="10.375" style="665" customWidth="1"/>
    <col min="15120" max="15120" width="16.25" style="665" customWidth="1"/>
    <col min="15121" max="15121" width="9.875" style="665" bestFit="1" customWidth="1"/>
    <col min="15122" max="15360" width="9" style="665"/>
    <col min="15361" max="15361" width="5" style="665" customWidth="1"/>
    <col min="15362" max="15362" width="40.875" style="665" customWidth="1"/>
    <col min="15363" max="15363" width="10.125" style="665" customWidth="1"/>
    <col min="15364" max="15364" width="10.75" style="665" customWidth="1"/>
    <col min="15365" max="15365" width="10" style="665" customWidth="1"/>
    <col min="15366" max="15366" width="9.625" style="665" bestFit="1" customWidth="1"/>
    <col min="15367" max="15367" width="10.75" style="665" customWidth="1"/>
    <col min="15368" max="15368" width="12.25" style="665" customWidth="1"/>
    <col min="15369" max="15369" width="11.625" style="665" customWidth="1"/>
    <col min="15370" max="15370" width="9.75" style="665" customWidth="1"/>
    <col min="15371" max="15371" width="9.875" style="665" customWidth="1"/>
    <col min="15372" max="15372" width="12" style="665" customWidth="1"/>
    <col min="15373" max="15373" width="9.875" style="665" customWidth="1"/>
    <col min="15374" max="15375" width="10.375" style="665" customWidth="1"/>
    <col min="15376" max="15376" width="16.25" style="665" customWidth="1"/>
    <col min="15377" max="15377" width="9.875" style="665" bestFit="1" customWidth="1"/>
    <col min="15378" max="15616" width="9" style="665"/>
    <col min="15617" max="15617" width="5" style="665" customWidth="1"/>
    <col min="15618" max="15618" width="40.875" style="665" customWidth="1"/>
    <col min="15619" max="15619" width="10.125" style="665" customWidth="1"/>
    <col min="15620" max="15620" width="10.75" style="665" customWidth="1"/>
    <col min="15621" max="15621" width="10" style="665" customWidth="1"/>
    <col min="15622" max="15622" width="9.625" style="665" bestFit="1" customWidth="1"/>
    <col min="15623" max="15623" width="10.75" style="665" customWidth="1"/>
    <col min="15624" max="15624" width="12.25" style="665" customWidth="1"/>
    <col min="15625" max="15625" width="11.625" style="665" customWidth="1"/>
    <col min="15626" max="15626" width="9.75" style="665" customWidth="1"/>
    <col min="15627" max="15627" width="9.875" style="665" customWidth="1"/>
    <col min="15628" max="15628" width="12" style="665" customWidth="1"/>
    <col min="15629" max="15629" width="9.875" style="665" customWidth="1"/>
    <col min="15630" max="15631" width="10.375" style="665" customWidth="1"/>
    <col min="15632" max="15632" width="16.25" style="665" customWidth="1"/>
    <col min="15633" max="15633" width="9.875" style="665" bestFit="1" customWidth="1"/>
    <col min="15634" max="15872" width="9" style="665"/>
    <col min="15873" max="15873" width="5" style="665" customWidth="1"/>
    <col min="15874" max="15874" width="40.875" style="665" customWidth="1"/>
    <col min="15875" max="15875" width="10.125" style="665" customWidth="1"/>
    <col min="15876" max="15876" width="10.75" style="665" customWidth="1"/>
    <col min="15877" max="15877" width="10" style="665" customWidth="1"/>
    <col min="15878" max="15878" width="9.625" style="665" bestFit="1" customWidth="1"/>
    <col min="15879" max="15879" width="10.75" style="665" customWidth="1"/>
    <col min="15880" max="15880" width="12.25" style="665" customWidth="1"/>
    <col min="15881" max="15881" width="11.625" style="665" customWidth="1"/>
    <col min="15882" max="15882" width="9.75" style="665" customWidth="1"/>
    <col min="15883" max="15883" width="9.875" style="665" customWidth="1"/>
    <col min="15884" max="15884" width="12" style="665" customWidth="1"/>
    <col min="15885" max="15885" width="9.875" style="665" customWidth="1"/>
    <col min="15886" max="15887" width="10.375" style="665" customWidth="1"/>
    <col min="15888" max="15888" width="16.25" style="665" customWidth="1"/>
    <col min="15889" max="15889" width="9.875" style="665" bestFit="1" customWidth="1"/>
    <col min="15890" max="16128" width="9" style="665"/>
    <col min="16129" max="16129" width="5" style="665" customWidth="1"/>
    <col min="16130" max="16130" width="40.875" style="665" customWidth="1"/>
    <col min="16131" max="16131" width="10.125" style="665" customWidth="1"/>
    <col min="16132" max="16132" width="10.75" style="665" customWidth="1"/>
    <col min="16133" max="16133" width="10" style="665" customWidth="1"/>
    <col min="16134" max="16134" width="9.625" style="665" bestFit="1" customWidth="1"/>
    <col min="16135" max="16135" width="10.75" style="665" customWidth="1"/>
    <col min="16136" max="16136" width="12.25" style="665" customWidth="1"/>
    <col min="16137" max="16137" width="11.625" style="665" customWidth="1"/>
    <col min="16138" max="16138" width="9.75" style="665" customWidth="1"/>
    <col min="16139" max="16139" width="9.875" style="665" customWidth="1"/>
    <col min="16140" max="16140" width="12" style="665" customWidth="1"/>
    <col min="16141" max="16141" width="9.875" style="665" customWidth="1"/>
    <col min="16142" max="16143" width="10.375" style="665" customWidth="1"/>
    <col min="16144" max="16144" width="16.25" style="665" customWidth="1"/>
    <col min="16145" max="16145" width="9.875" style="665" bestFit="1" customWidth="1"/>
    <col min="16146" max="16384" width="9" style="665"/>
  </cols>
  <sheetData>
    <row r="1" spans="1:17" x14ac:dyDescent="0.25">
      <c r="A1" s="1061" t="s">
        <v>1073</v>
      </c>
      <c r="B1" s="1061"/>
      <c r="C1" s="1061"/>
      <c r="D1" s="1061"/>
      <c r="E1" s="1061"/>
      <c r="F1" s="1061"/>
      <c r="G1" s="1061"/>
      <c r="H1" s="1061"/>
      <c r="I1" s="1061"/>
      <c r="J1" s="1061"/>
      <c r="K1" s="1061"/>
      <c r="L1" s="1061"/>
      <c r="M1" s="1061"/>
      <c r="N1" s="1061"/>
      <c r="O1" s="1061"/>
      <c r="P1" s="1061"/>
    </row>
    <row r="2" spans="1:17" x14ac:dyDescent="0.25">
      <c r="A2" s="1021"/>
      <c r="B2" s="1021"/>
      <c r="C2" s="1021"/>
      <c r="D2" s="1021"/>
      <c r="E2" s="1021"/>
      <c r="F2" s="1021"/>
      <c r="G2" s="1021"/>
      <c r="H2" s="1021"/>
      <c r="I2" s="1021"/>
      <c r="J2" s="1021"/>
      <c r="K2" s="1021"/>
      <c r="L2" s="1021"/>
      <c r="M2" s="1021"/>
      <c r="N2" s="1021"/>
      <c r="O2" s="1021"/>
      <c r="P2" s="1021"/>
    </row>
    <row r="3" spans="1:17" ht="16.5" thickBot="1" x14ac:dyDescent="0.3"/>
    <row r="4" spans="1:17" s="670" customFormat="1" ht="77.25" thickBot="1" x14ac:dyDescent="0.3">
      <c r="A4" s="666"/>
      <c r="B4" s="667" t="s">
        <v>165</v>
      </c>
      <c r="C4" s="667" t="s">
        <v>852</v>
      </c>
      <c r="D4" s="667" t="s">
        <v>35</v>
      </c>
      <c r="E4" s="667" t="s">
        <v>853</v>
      </c>
      <c r="F4" s="668" t="s">
        <v>648</v>
      </c>
      <c r="G4" s="668" t="s">
        <v>436</v>
      </c>
      <c r="H4" s="667" t="s">
        <v>1074</v>
      </c>
      <c r="I4" s="669" t="s">
        <v>77</v>
      </c>
      <c r="J4" s="669" t="s">
        <v>86</v>
      </c>
      <c r="K4" s="668" t="s">
        <v>437</v>
      </c>
      <c r="L4" s="667" t="s">
        <v>1075</v>
      </c>
      <c r="M4" s="669" t="s">
        <v>102</v>
      </c>
      <c r="N4" s="668" t="s">
        <v>97</v>
      </c>
      <c r="O4" s="667" t="s">
        <v>55</v>
      </c>
      <c r="P4" s="667" t="s">
        <v>384</v>
      </c>
    </row>
    <row r="5" spans="1:17" s="670" customFormat="1" ht="16.5" thickBot="1" x14ac:dyDescent="0.3">
      <c r="A5" s="666"/>
      <c r="B5" s="667"/>
      <c r="C5" s="667" t="s">
        <v>231</v>
      </c>
      <c r="D5" s="667" t="s">
        <v>232</v>
      </c>
      <c r="E5" s="667" t="s">
        <v>233</v>
      </c>
      <c r="F5" s="668" t="s">
        <v>234</v>
      </c>
      <c r="G5" s="668" t="s">
        <v>387</v>
      </c>
      <c r="H5" s="667" t="s">
        <v>441</v>
      </c>
      <c r="I5" s="669" t="s">
        <v>235</v>
      </c>
      <c r="J5" s="669" t="s">
        <v>236</v>
      </c>
      <c r="K5" s="668" t="s">
        <v>237</v>
      </c>
      <c r="L5" s="667" t="s">
        <v>442</v>
      </c>
      <c r="M5" s="671"/>
      <c r="N5" s="668"/>
      <c r="O5" s="667" t="s">
        <v>439</v>
      </c>
      <c r="P5" s="667" t="s">
        <v>440</v>
      </c>
    </row>
    <row r="6" spans="1:17" s="676" customFormat="1" ht="16.5" thickBot="1" x14ac:dyDescent="0.3">
      <c r="A6" s="672"/>
      <c r="B6" s="672" t="s">
        <v>168</v>
      </c>
      <c r="C6" s="672" t="s">
        <v>169</v>
      </c>
      <c r="D6" s="672" t="s">
        <v>170</v>
      </c>
      <c r="E6" s="672" t="s">
        <v>171</v>
      </c>
      <c r="F6" s="673" t="s">
        <v>172</v>
      </c>
      <c r="G6" s="673" t="s">
        <v>173</v>
      </c>
      <c r="H6" s="672" t="s">
        <v>36</v>
      </c>
      <c r="I6" s="674" t="s">
        <v>37</v>
      </c>
      <c r="J6" s="672" t="s">
        <v>38</v>
      </c>
      <c r="K6" s="673" t="s">
        <v>39</v>
      </c>
      <c r="L6" s="672" t="s">
        <v>40</v>
      </c>
      <c r="M6" s="675" t="s">
        <v>41</v>
      </c>
      <c r="N6" s="673" t="s">
        <v>42</v>
      </c>
      <c r="O6" s="672" t="s">
        <v>430</v>
      </c>
      <c r="P6" s="672" t="s">
        <v>445</v>
      </c>
    </row>
    <row r="7" spans="1:17" s="683" customFormat="1" x14ac:dyDescent="0.25">
      <c r="A7" s="677"/>
      <c r="B7" s="678"/>
      <c r="C7" s="679"/>
      <c r="D7" s="679"/>
      <c r="E7" s="679"/>
      <c r="F7" s="679"/>
      <c r="G7" s="680"/>
      <c r="H7" s="681"/>
      <c r="I7" s="679"/>
      <c r="J7" s="679"/>
      <c r="K7" s="680"/>
      <c r="L7" s="681"/>
      <c r="M7" s="679"/>
      <c r="N7" s="680"/>
      <c r="O7" s="682"/>
      <c r="P7" s="681"/>
    </row>
    <row r="8" spans="1:17" s="690" customFormat="1" x14ac:dyDescent="0.25">
      <c r="A8" s="684"/>
      <c r="B8" s="685" t="s">
        <v>1076</v>
      </c>
      <c r="C8" s="686">
        <v>447946</v>
      </c>
      <c r="D8" s="686">
        <v>99174</v>
      </c>
      <c r="E8" s="686">
        <v>4639773</v>
      </c>
      <c r="F8" s="687">
        <v>190000</v>
      </c>
      <c r="G8" s="688">
        <v>12738018</v>
      </c>
      <c r="H8" s="689">
        <f>SUM(C8:G8)</f>
        <v>18114911</v>
      </c>
      <c r="I8" s="686">
        <v>28396784</v>
      </c>
      <c r="J8" s="686">
        <v>1860425</v>
      </c>
      <c r="K8" s="688">
        <v>1475623</v>
      </c>
      <c r="L8" s="689">
        <f>SUM(I8:K8)</f>
        <v>31732832</v>
      </c>
      <c r="M8" s="686">
        <v>325000</v>
      </c>
      <c r="N8" s="688">
        <v>2968133</v>
      </c>
      <c r="O8" s="689">
        <f>SUM(M8:N8)</f>
        <v>3293133</v>
      </c>
      <c r="P8" s="689">
        <f>SUM(O8+L8+H8)</f>
        <v>53140876</v>
      </c>
    </row>
    <row r="9" spans="1:17" s="690" customFormat="1" x14ac:dyDescent="0.25">
      <c r="A9" s="684"/>
      <c r="B9" s="691" t="s">
        <v>1162</v>
      </c>
      <c r="C9" s="686">
        <v>441650</v>
      </c>
      <c r="D9" s="686">
        <v>99593</v>
      </c>
      <c r="E9" s="686">
        <v>4869307</v>
      </c>
      <c r="F9" s="692">
        <v>190000</v>
      </c>
      <c r="G9" s="688">
        <v>13575118</v>
      </c>
      <c r="H9" s="689">
        <f>SUM(C9:G9)</f>
        <v>19175668</v>
      </c>
      <c r="I9" s="686">
        <v>28565799</v>
      </c>
      <c r="J9" s="686">
        <v>1939511</v>
      </c>
      <c r="K9" s="688">
        <v>1475623</v>
      </c>
      <c r="L9" s="689">
        <f>SUM(I9:K9)</f>
        <v>31980933</v>
      </c>
      <c r="M9" s="686">
        <v>250069</v>
      </c>
      <c r="N9" s="688">
        <v>2798992</v>
      </c>
      <c r="O9" s="689">
        <f>SUM(M9:N9)</f>
        <v>3049061</v>
      </c>
      <c r="P9" s="689">
        <f>SUM(O9+L9+H9)</f>
        <v>54205662</v>
      </c>
    </row>
    <row r="10" spans="1:17" s="690" customFormat="1" x14ac:dyDescent="0.25">
      <c r="A10" s="684"/>
      <c r="B10" s="691" t="s">
        <v>1307</v>
      </c>
      <c r="C10" s="686">
        <v>393676</v>
      </c>
      <c r="D10" s="686">
        <v>88752</v>
      </c>
      <c r="E10" s="686">
        <v>5262050</v>
      </c>
      <c r="F10" s="692">
        <v>223382</v>
      </c>
      <c r="G10" s="688">
        <v>13830850</v>
      </c>
      <c r="H10" s="689">
        <f>SUM(C10:G10)</f>
        <v>19798710</v>
      </c>
      <c r="I10" s="686">
        <v>28772091</v>
      </c>
      <c r="J10" s="686">
        <v>1791550</v>
      </c>
      <c r="K10" s="688">
        <v>1643401</v>
      </c>
      <c r="L10" s="689">
        <f>SUM(I10:K10)</f>
        <v>32207042</v>
      </c>
      <c r="M10" s="686">
        <v>240200</v>
      </c>
      <c r="N10" s="688">
        <v>2143704</v>
      </c>
      <c r="O10" s="689">
        <f>SUM(M10:N10)</f>
        <v>2383904</v>
      </c>
      <c r="P10" s="689">
        <f>SUM(O10+L10+H10)</f>
        <v>54389656</v>
      </c>
    </row>
    <row r="11" spans="1:17" x14ac:dyDescent="0.25">
      <c r="A11" s="677"/>
      <c r="B11" s="693"/>
      <c r="C11" s="694"/>
      <c r="D11" s="695"/>
      <c r="E11" s="695"/>
      <c r="F11" s="695"/>
      <c r="G11" s="696"/>
      <c r="H11" s="681"/>
      <c r="I11" s="694"/>
      <c r="J11" s="694"/>
      <c r="K11" s="697"/>
      <c r="L11" s="698"/>
      <c r="M11" s="694"/>
      <c r="N11" s="697"/>
      <c r="O11" s="699"/>
      <c r="P11" s="681"/>
    </row>
    <row r="12" spans="1:17" x14ac:dyDescent="0.25">
      <c r="A12" s="677" t="s">
        <v>1077</v>
      </c>
      <c r="B12" s="700" t="s">
        <v>44</v>
      </c>
      <c r="C12" s="694"/>
      <c r="D12" s="694"/>
      <c r="E12" s="694"/>
      <c r="F12" s="694"/>
      <c r="G12" s="696"/>
      <c r="H12" s="681"/>
      <c r="I12" s="694"/>
      <c r="J12" s="694"/>
      <c r="K12" s="696"/>
      <c r="L12" s="698"/>
      <c r="M12" s="694"/>
      <c r="N12" s="696"/>
      <c r="O12" s="699"/>
      <c r="P12" s="681"/>
    </row>
    <row r="13" spans="1:17" x14ac:dyDescent="0.25">
      <c r="A13" s="677"/>
      <c r="B13" s="700" t="s">
        <v>105</v>
      </c>
      <c r="C13" s="694"/>
      <c r="D13" s="694"/>
      <c r="E13" s="694"/>
      <c r="F13" s="694"/>
      <c r="G13" s="696"/>
      <c r="H13" s="681"/>
      <c r="I13" s="694"/>
      <c r="J13" s="694"/>
      <c r="K13" s="696"/>
      <c r="L13" s="698"/>
      <c r="M13" s="694"/>
      <c r="N13" s="696"/>
      <c r="O13" s="699"/>
      <c r="P13" s="681"/>
    </row>
    <row r="14" spans="1:17" x14ac:dyDescent="0.25">
      <c r="A14" s="677"/>
      <c r="B14" s="691" t="s">
        <v>106</v>
      </c>
      <c r="C14" s="694"/>
      <c r="D14" s="694"/>
      <c r="E14" s="694"/>
      <c r="F14" s="694"/>
      <c r="G14" s="696"/>
      <c r="H14" s="681"/>
      <c r="I14" s="694"/>
      <c r="J14" s="694"/>
      <c r="K14" s="696"/>
      <c r="L14" s="698"/>
      <c r="M14" s="694"/>
      <c r="N14" s="696"/>
      <c r="O14" s="699"/>
      <c r="P14" s="681"/>
    </row>
    <row r="15" spans="1:17" s="707" customFormat="1" x14ac:dyDescent="0.25">
      <c r="A15" s="701"/>
      <c r="B15" s="702" t="s">
        <v>1079</v>
      </c>
      <c r="C15" s="703"/>
      <c r="D15" s="703"/>
      <c r="E15" s="703"/>
      <c r="F15" s="703"/>
      <c r="G15" s="704"/>
      <c r="H15" s="705"/>
      <c r="I15" s="703"/>
      <c r="J15" s="703"/>
      <c r="K15" s="704"/>
      <c r="L15" s="706"/>
      <c r="M15" s="703"/>
      <c r="N15" s="704"/>
      <c r="O15" s="705"/>
      <c r="P15" s="705"/>
    </row>
    <row r="16" spans="1:17" x14ac:dyDescent="0.25">
      <c r="A16" s="708"/>
      <c r="B16" s="693"/>
      <c r="C16" s="694"/>
      <c r="D16" s="694"/>
      <c r="E16" s="694"/>
      <c r="F16" s="694"/>
      <c r="G16" s="696"/>
      <c r="H16" s="681">
        <f>SUM(C16:G16)</f>
        <v>0</v>
      </c>
      <c r="I16" s="679"/>
      <c r="J16" s="679"/>
      <c r="K16" s="680"/>
      <c r="L16" s="698">
        <f>SUM(I16:K16)</f>
        <v>0</v>
      </c>
      <c r="M16" s="679"/>
      <c r="N16" s="680"/>
      <c r="O16" s="681"/>
      <c r="P16" s="681">
        <f>O16+L16+H16</f>
        <v>0</v>
      </c>
      <c r="Q16" s="665" t="s">
        <v>1078</v>
      </c>
    </row>
    <row r="17" spans="1:17" ht="37.5" customHeight="1" x14ac:dyDescent="0.25">
      <c r="A17" s="710"/>
      <c r="B17" s="711" t="s">
        <v>1163</v>
      </c>
      <c r="C17" s="712"/>
      <c r="D17" s="713"/>
      <c r="E17" s="713"/>
      <c r="F17" s="713"/>
      <c r="G17" s="714"/>
      <c r="H17" s="681"/>
      <c r="I17" s="712"/>
      <c r="J17" s="712"/>
      <c r="K17" s="715"/>
      <c r="L17" s="698"/>
      <c r="M17" s="712"/>
      <c r="N17" s="715"/>
      <c r="O17" s="709"/>
      <c r="P17" s="681"/>
    </row>
    <row r="18" spans="1:17" x14ac:dyDescent="0.25">
      <c r="A18" s="708"/>
      <c r="B18" s="693"/>
      <c r="C18" s="694"/>
      <c r="D18" s="694"/>
      <c r="E18" s="694"/>
      <c r="F18" s="694"/>
      <c r="G18" s="696"/>
      <c r="H18" s="681">
        <f>SUM(C18:G18)</f>
        <v>0</v>
      </c>
      <c r="I18" s="679"/>
      <c r="J18" s="679"/>
      <c r="K18" s="680"/>
      <c r="L18" s="698">
        <f>SUM(I18:K18)</f>
        <v>0</v>
      </c>
      <c r="M18" s="679"/>
      <c r="N18" s="680"/>
      <c r="O18" s="681"/>
      <c r="P18" s="681">
        <f>O18+L18+H18</f>
        <v>0</v>
      </c>
      <c r="Q18" s="665" t="s">
        <v>1080</v>
      </c>
    </row>
    <row r="19" spans="1:17" ht="51" customHeight="1" x14ac:dyDescent="0.25">
      <c r="A19" s="710"/>
      <c r="B19" s="711" t="s">
        <v>1164</v>
      </c>
      <c r="C19" s="712"/>
      <c r="D19" s="713"/>
      <c r="E19" s="713"/>
      <c r="F19" s="713"/>
      <c r="G19" s="714"/>
      <c r="H19" s="681"/>
      <c r="I19" s="712"/>
      <c r="J19" s="712"/>
      <c r="K19" s="715"/>
      <c r="L19" s="698"/>
      <c r="M19" s="712"/>
      <c r="N19" s="715"/>
      <c r="O19" s="709"/>
      <c r="P19" s="681"/>
    </row>
    <row r="20" spans="1:17" x14ac:dyDescent="0.25">
      <c r="A20" s="708"/>
      <c r="B20" s="693"/>
      <c r="C20" s="694"/>
      <c r="D20" s="694"/>
      <c r="E20" s="694"/>
      <c r="F20" s="694"/>
      <c r="G20" s="696"/>
      <c r="H20" s="681">
        <f>SUM(C20:G20)</f>
        <v>0</v>
      </c>
      <c r="I20" s="679"/>
      <c r="J20" s="679"/>
      <c r="K20" s="680"/>
      <c r="L20" s="698">
        <f>SUM(I20:K20)</f>
        <v>0</v>
      </c>
      <c r="M20" s="679"/>
      <c r="N20" s="680"/>
      <c r="O20" s="681"/>
      <c r="P20" s="681">
        <f>O20+L20+H20</f>
        <v>0</v>
      </c>
      <c r="Q20" s="665" t="s">
        <v>1080</v>
      </c>
    </row>
    <row r="21" spans="1:17" ht="31.5" x14ac:dyDescent="0.25">
      <c r="A21" s="677"/>
      <c r="B21" s="700" t="s">
        <v>107</v>
      </c>
      <c r="C21" s="694"/>
      <c r="D21" s="694"/>
      <c r="E21" s="694"/>
      <c r="F21" s="694"/>
      <c r="G21" s="696"/>
      <c r="H21" s="681"/>
      <c r="I21" s="694"/>
      <c r="J21" s="694"/>
      <c r="K21" s="696"/>
      <c r="L21" s="698"/>
      <c r="M21" s="694"/>
      <c r="N21" s="696"/>
      <c r="O21" s="699"/>
      <c r="P21" s="681"/>
    </row>
    <row r="22" spans="1:17" x14ac:dyDescent="0.25">
      <c r="A22" s="677"/>
      <c r="B22" s="691" t="s">
        <v>108</v>
      </c>
      <c r="C22" s="694"/>
      <c r="D22" s="694"/>
      <c r="E22" s="694"/>
      <c r="F22" s="694"/>
      <c r="G22" s="696"/>
      <c r="H22" s="681"/>
      <c r="I22" s="694"/>
      <c r="J22" s="694"/>
      <c r="K22" s="696"/>
      <c r="L22" s="698"/>
      <c r="M22" s="694"/>
      <c r="N22" s="696"/>
      <c r="O22" s="699"/>
      <c r="P22" s="681"/>
    </row>
    <row r="23" spans="1:17" ht="51" customHeight="1" x14ac:dyDescent="0.25">
      <c r="A23" s="710"/>
      <c r="B23" s="711" t="s">
        <v>1164</v>
      </c>
      <c r="C23" s="712"/>
      <c r="D23" s="713"/>
      <c r="E23" s="713"/>
      <c r="F23" s="713"/>
      <c r="G23" s="714"/>
      <c r="H23" s="681"/>
      <c r="I23" s="712"/>
      <c r="J23" s="712"/>
      <c r="K23" s="715"/>
      <c r="L23" s="698"/>
      <c r="M23" s="712"/>
      <c r="N23" s="715"/>
      <c r="O23" s="709"/>
      <c r="P23" s="681"/>
    </row>
    <row r="24" spans="1:17" ht="47.25" x14ac:dyDescent="0.25">
      <c r="A24" s="708"/>
      <c r="B24" s="693" t="s">
        <v>1308</v>
      </c>
      <c r="C24" s="694">
        <v>300</v>
      </c>
      <c r="D24" s="694">
        <v>350</v>
      </c>
      <c r="E24" s="694">
        <v>4350</v>
      </c>
      <c r="F24" s="694"/>
      <c r="G24" s="696"/>
      <c r="H24" s="681">
        <f>SUM(C24:G24)</f>
        <v>5000</v>
      </c>
      <c r="I24" s="679"/>
      <c r="J24" s="679"/>
      <c r="K24" s="680"/>
      <c r="L24" s="698">
        <f>SUM(I24:K24)</f>
        <v>0</v>
      </c>
      <c r="M24" s="679"/>
      <c r="N24" s="680"/>
      <c r="O24" s="681"/>
      <c r="P24" s="681">
        <f>O24+L24+H24</f>
        <v>5000</v>
      </c>
      <c r="Q24" s="665" t="s">
        <v>1080</v>
      </c>
    </row>
    <row r="25" spans="1:17" x14ac:dyDescent="0.25">
      <c r="A25" s="708"/>
      <c r="B25" s="693"/>
      <c r="C25" s="694"/>
      <c r="D25" s="694"/>
      <c r="E25" s="694"/>
      <c r="F25" s="694"/>
      <c r="G25" s="696"/>
      <c r="H25" s="681"/>
      <c r="I25" s="679"/>
      <c r="J25" s="679"/>
      <c r="K25" s="680"/>
      <c r="L25" s="698"/>
      <c r="M25" s="679"/>
      <c r="N25" s="680"/>
      <c r="O25" s="681"/>
      <c r="P25" s="681"/>
    </row>
    <row r="26" spans="1:17" ht="34.5" customHeight="1" x14ac:dyDescent="0.25">
      <c r="A26" s="710"/>
      <c r="B26" s="711" t="s">
        <v>1167</v>
      </c>
      <c r="C26" s="712"/>
      <c r="D26" s="713"/>
      <c r="E26" s="713"/>
      <c r="F26" s="713"/>
      <c r="G26" s="714"/>
      <c r="H26" s="681"/>
      <c r="I26" s="712"/>
      <c r="J26" s="712"/>
      <c r="K26" s="715"/>
      <c r="L26" s="698"/>
      <c r="M26" s="712"/>
      <c r="N26" s="715"/>
      <c r="O26" s="709"/>
      <c r="P26" s="681"/>
    </row>
    <row r="27" spans="1:17" ht="47.25" x14ac:dyDescent="0.25">
      <c r="A27" s="677"/>
      <c r="B27" s="716" t="s">
        <v>1309</v>
      </c>
      <c r="C27" s="694"/>
      <c r="D27" s="694"/>
      <c r="E27" s="694"/>
      <c r="F27" s="694"/>
      <c r="G27" s="696">
        <v>1000</v>
      </c>
      <c r="H27" s="681">
        <f t="shared" ref="H27" si="0">SUM(C27:G27)</f>
        <v>1000</v>
      </c>
      <c r="I27" s="694"/>
      <c r="J27" s="694"/>
      <c r="K27" s="696"/>
      <c r="L27" s="698">
        <f t="shared" ref="L27:L29" si="1">SUM(I27:K27)</f>
        <v>0</v>
      </c>
      <c r="M27" s="694"/>
      <c r="N27" s="696"/>
      <c r="O27" s="699"/>
      <c r="P27" s="681">
        <f t="shared" ref="P27:P29" si="2">O27+L27+H27</f>
        <v>1000</v>
      </c>
      <c r="Q27" s="665" t="s">
        <v>1080</v>
      </c>
    </row>
    <row r="28" spans="1:17" x14ac:dyDescent="0.25">
      <c r="A28" s="677"/>
      <c r="B28" s="716" t="s">
        <v>1310</v>
      </c>
      <c r="C28" s="694"/>
      <c r="D28" s="694"/>
      <c r="E28" s="694"/>
      <c r="F28" s="694"/>
      <c r="G28" s="696">
        <v>1100</v>
      </c>
      <c r="H28" s="681">
        <f t="shared" ref="H28:H29" si="3">SUM(C28:G28)</f>
        <v>1100</v>
      </c>
      <c r="I28" s="694"/>
      <c r="J28" s="694"/>
      <c r="K28" s="696"/>
      <c r="L28" s="698">
        <f t="shared" si="1"/>
        <v>0</v>
      </c>
      <c r="M28" s="694"/>
      <c r="N28" s="696"/>
      <c r="O28" s="699"/>
      <c r="P28" s="681">
        <f t="shared" si="2"/>
        <v>1100</v>
      </c>
      <c r="Q28" s="665" t="s">
        <v>1080</v>
      </c>
    </row>
    <row r="29" spans="1:17" x14ac:dyDescent="0.25">
      <c r="A29" s="677"/>
      <c r="B29" s="693" t="s">
        <v>1311</v>
      </c>
      <c r="C29" s="694"/>
      <c r="D29" s="694"/>
      <c r="E29" s="694"/>
      <c r="F29" s="694"/>
      <c r="G29" s="696">
        <v>1500</v>
      </c>
      <c r="H29" s="681">
        <f t="shared" si="3"/>
        <v>1500</v>
      </c>
      <c r="I29" s="694"/>
      <c r="J29" s="694"/>
      <c r="K29" s="696"/>
      <c r="L29" s="698">
        <f t="shared" si="1"/>
        <v>0</v>
      </c>
      <c r="M29" s="694"/>
      <c r="N29" s="696"/>
      <c r="O29" s="699"/>
      <c r="P29" s="681">
        <f t="shared" si="2"/>
        <v>1500</v>
      </c>
      <c r="Q29" s="665" t="s">
        <v>1080</v>
      </c>
    </row>
    <row r="30" spans="1:17" x14ac:dyDescent="0.25">
      <c r="A30" s="677"/>
      <c r="B30" s="717" t="s">
        <v>206</v>
      </c>
      <c r="C30" s="694"/>
      <c r="D30" s="694"/>
      <c r="E30" s="694"/>
      <c r="F30" s="694"/>
      <c r="G30" s="696"/>
      <c r="H30" s="681"/>
      <c r="I30" s="694"/>
      <c r="J30" s="694"/>
      <c r="K30" s="696"/>
      <c r="L30" s="698"/>
      <c r="M30" s="694"/>
      <c r="N30" s="696"/>
      <c r="O30" s="699"/>
      <c r="P30" s="681"/>
    </row>
    <row r="31" spans="1:17" x14ac:dyDescent="0.25">
      <c r="A31" s="677"/>
      <c r="B31" s="711" t="s">
        <v>1163</v>
      </c>
      <c r="C31" s="694"/>
      <c r="D31" s="694"/>
      <c r="E31" s="694"/>
      <c r="F31" s="694"/>
      <c r="G31" s="696"/>
      <c r="H31" s="681"/>
      <c r="I31" s="694"/>
      <c r="J31" s="694"/>
      <c r="K31" s="696"/>
      <c r="L31" s="698"/>
      <c r="M31" s="694"/>
      <c r="N31" s="696"/>
      <c r="O31" s="699"/>
      <c r="P31" s="681"/>
    </row>
    <row r="32" spans="1:17" ht="31.5" x14ac:dyDescent="0.25">
      <c r="A32" s="677"/>
      <c r="B32" s="693" t="s">
        <v>1165</v>
      </c>
      <c r="C32" s="694"/>
      <c r="D32" s="694"/>
      <c r="E32" s="694"/>
      <c r="F32" s="694"/>
      <c r="G32" s="694">
        <v>-16269</v>
      </c>
      <c r="H32" s="681">
        <f t="shared" ref="H32:H33" si="4">SUM(C32:G32)</f>
        <v>-16269</v>
      </c>
      <c r="I32" s="694">
        <v>16269</v>
      </c>
      <c r="J32" s="694"/>
      <c r="K32" s="696"/>
      <c r="L32" s="698">
        <f t="shared" ref="L32:L33" si="5">SUM(I32:K32)</f>
        <v>16269</v>
      </c>
      <c r="M32" s="694"/>
      <c r="N32" s="696"/>
      <c r="O32" s="699"/>
      <c r="P32" s="681">
        <f t="shared" ref="P32:P33" si="6">O32+L32+H32</f>
        <v>0</v>
      </c>
      <c r="Q32" s="665" t="s">
        <v>1080</v>
      </c>
    </row>
    <row r="33" spans="1:17" ht="31.5" x14ac:dyDescent="0.25">
      <c r="A33" s="710"/>
      <c r="B33" s="1111" t="s">
        <v>1166</v>
      </c>
      <c r="C33" s="712">
        <v>286</v>
      </c>
      <c r="D33" s="712"/>
      <c r="E33" s="712">
        <v>-876</v>
      </c>
      <c r="F33" s="712"/>
      <c r="G33" s="714">
        <v>590</v>
      </c>
      <c r="H33" s="698">
        <f t="shared" si="4"/>
        <v>0</v>
      </c>
      <c r="I33" s="712"/>
      <c r="J33" s="712"/>
      <c r="K33" s="714"/>
      <c r="L33" s="698">
        <f t="shared" si="5"/>
        <v>0</v>
      </c>
      <c r="M33" s="712"/>
      <c r="N33" s="714"/>
      <c r="O33" s="709"/>
      <c r="P33" s="698">
        <f t="shared" si="6"/>
        <v>0</v>
      </c>
      <c r="Q33" s="665" t="s">
        <v>1080</v>
      </c>
    </row>
    <row r="34" spans="1:17" x14ac:dyDescent="0.25">
      <c r="A34" s="677"/>
      <c r="B34" s="716"/>
      <c r="C34" s="694"/>
      <c r="D34" s="694"/>
      <c r="E34" s="694"/>
      <c r="F34" s="694"/>
      <c r="G34" s="696"/>
      <c r="H34" s="681"/>
      <c r="I34" s="694"/>
      <c r="J34" s="694"/>
      <c r="K34" s="696"/>
      <c r="L34" s="698"/>
      <c r="M34" s="694"/>
      <c r="N34" s="696"/>
      <c r="O34" s="699"/>
      <c r="P34" s="681"/>
    </row>
    <row r="35" spans="1:17" x14ac:dyDescent="0.25">
      <c r="A35" s="710"/>
      <c r="B35" s="719" t="s">
        <v>131</v>
      </c>
      <c r="C35" s="712"/>
      <c r="D35" s="713"/>
      <c r="E35" s="713"/>
      <c r="F35" s="713"/>
      <c r="G35" s="714"/>
      <c r="H35" s="681"/>
      <c r="I35" s="712"/>
      <c r="J35" s="712"/>
      <c r="K35" s="715"/>
      <c r="L35" s="698"/>
      <c r="M35" s="712"/>
      <c r="N35" s="715"/>
      <c r="O35" s="709"/>
      <c r="P35" s="681"/>
    </row>
    <row r="36" spans="1:17" s="707" customFormat="1" x14ac:dyDescent="0.25">
      <c r="A36" s="701"/>
      <c r="B36" s="717" t="s">
        <v>1081</v>
      </c>
      <c r="C36" s="703"/>
      <c r="D36" s="703"/>
      <c r="E36" s="703"/>
      <c r="F36" s="703"/>
      <c r="G36" s="704"/>
      <c r="H36" s="705"/>
      <c r="I36" s="703"/>
      <c r="J36" s="703"/>
      <c r="K36" s="704"/>
      <c r="L36" s="706"/>
      <c r="M36" s="703"/>
      <c r="N36" s="704"/>
      <c r="O36" s="705"/>
      <c r="P36" s="705"/>
    </row>
    <row r="37" spans="1:17" x14ac:dyDescent="0.25">
      <c r="A37" s="708"/>
      <c r="B37" s="693"/>
      <c r="C37" s="694"/>
      <c r="D37" s="694"/>
      <c r="E37" s="694"/>
      <c r="F37" s="694"/>
      <c r="G37" s="696"/>
      <c r="H37" s="681">
        <f>SUM(C37:G37)</f>
        <v>0</v>
      </c>
      <c r="I37" s="679"/>
      <c r="J37" s="679"/>
      <c r="K37" s="696"/>
      <c r="L37" s="698">
        <f>SUM(I37:K37)</f>
        <v>0</v>
      </c>
      <c r="M37" s="679"/>
      <c r="N37" s="680"/>
      <c r="O37" s="681"/>
      <c r="P37" s="681">
        <f>O37+L37+H37</f>
        <v>0</v>
      </c>
      <c r="Q37" s="665" t="s">
        <v>1080</v>
      </c>
    </row>
    <row r="38" spans="1:17" x14ac:dyDescent="0.25">
      <c r="A38" s="710"/>
      <c r="B38" s="719" t="s">
        <v>109</v>
      </c>
      <c r="C38" s="712"/>
      <c r="D38" s="713"/>
      <c r="E38" s="713"/>
      <c r="F38" s="713"/>
      <c r="G38" s="714"/>
      <c r="H38" s="681"/>
      <c r="I38" s="712"/>
      <c r="J38" s="712"/>
      <c r="K38" s="715"/>
      <c r="L38" s="698"/>
      <c r="M38" s="712"/>
      <c r="N38" s="715"/>
      <c r="O38" s="709"/>
      <c r="P38" s="681"/>
    </row>
    <row r="39" spans="1:17" ht="33.75" customHeight="1" x14ac:dyDescent="0.25">
      <c r="A39" s="710"/>
      <c r="B39" s="711" t="s">
        <v>1163</v>
      </c>
      <c r="C39" s="712"/>
      <c r="D39" s="713"/>
      <c r="E39" s="713"/>
      <c r="F39" s="713"/>
      <c r="G39" s="714"/>
      <c r="H39" s="681"/>
      <c r="I39" s="712"/>
      <c r="J39" s="712"/>
      <c r="K39" s="715"/>
      <c r="L39" s="698"/>
      <c r="M39" s="712"/>
      <c r="N39" s="715"/>
      <c r="O39" s="709"/>
      <c r="P39" s="681"/>
    </row>
    <row r="40" spans="1:17" x14ac:dyDescent="0.25">
      <c r="A40" s="708"/>
      <c r="B40" s="693" t="s">
        <v>1168</v>
      </c>
      <c r="C40" s="694">
        <v>-38508</v>
      </c>
      <c r="D40" s="694">
        <v>1500</v>
      </c>
      <c r="E40" s="694">
        <v>19228</v>
      </c>
      <c r="F40" s="694"/>
      <c r="G40" s="696"/>
      <c r="H40" s="681">
        <f>SUM(C40:G40)</f>
        <v>-17780</v>
      </c>
      <c r="I40" s="694">
        <v>17780</v>
      </c>
      <c r="J40" s="679"/>
      <c r="K40" s="680"/>
      <c r="L40" s="698">
        <f>SUM(I40:K40)</f>
        <v>17780</v>
      </c>
      <c r="M40" s="679"/>
      <c r="N40" s="680"/>
      <c r="O40" s="681"/>
      <c r="P40" s="681">
        <f>O40+L40+H40</f>
        <v>0</v>
      </c>
      <c r="Q40" s="665" t="s">
        <v>1080</v>
      </c>
    </row>
    <row r="41" spans="1:17" ht="34.5" customHeight="1" x14ac:dyDescent="0.25">
      <c r="A41" s="710"/>
      <c r="B41" s="711" t="s">
        <v>1167</v>
      </c>
      <c r="C41" s="712"/>
      <c r="D41" s="713"/>
      <c r="E41" s="713"/>
      <c r="F41" s="713"/>
      <c r="G41" s="714"/>
      <c r="H41" s="681"/>
      <c r="I41" s="712"/>
      <c r="J41" s="712"/>
      <c r="K41" s="715"/>
      <c r="L41" s="698"/>
      <c r="M41" s="712"/>
      <c r="N41" s="715"/>
      <c r="O41" s="709"/>
      <c r="P41" s="681"/>
    </row>
    <row r="42" spans="1:17" x14ac:dyDescent="0.25">
      <c r="A42" s="677"/>
      <c r="B42" s="693" t="s">
        <v>1168</v>
      </c>
      <c r="C42" s="694">
        <v>2500</v>
      </c>
      <c r="D42" s="694">
        <v>500</v>
      </c>
      <c r="E42" s="694">
        <v>16000</v>
      </c>
      <c r="F42" s="694"/>
      <c r="G42" s="696"/>
      <c r="H42" s="681">
        <f t="shared" ref="H42" si="7">SUM(C42:G42)</f>
        <v>19000</v>
      </c>
      <c r="I42" s="694"/>
      <c r="J42" s="694"/>
      <c r="K42" s="696"/>
      <c r="L42" s="698">
        <f t="shared" ref="L42" si="8">SUM(I42:K42)</f>
        <v>0</v>
      </c>
      <c r="M42" s="694"/>
      <c r="N42" s="696"/>
      <c r="O42" s="699"/>
      <c r="P42" s="681">
        <f t="shared" ref="P42" si="9">O42+L42+H42</f>
        <v>19000</v>
      </c>
      <c r="Q42" s="665" t="s">
        <v>1080</v>
      </c>
    </row>
    <row r="43" spans="1:17" x14ac:dyDescent="0.25">
      <c r="A43" s="708"/>
      <c r="B43" s="693"/>
      <c r="C43" s="694"/>
      <c r="D43" s="694"/>
      <c r="E43" s="694"/>
      <c r="F43" s="694"/>
      <c r="G43" s="696"/>
      <c r="H43" s="681"/>
      <c r="I43" s="679"/>
      <c r="J43" s="679"/>
      <c r="K43" s="680"/>
      <c r="L43" s="698"/>
      <c r="M43" s="679"/>
      <c r="N43" s="680"/>
      <c r="O43" s="681"/>
      <c r="P43" s="681"/>
    </row>
    <row r="44" spans="1:17" x14ac:dyDescent="0.25">
      <c r="A44" s="710"/>
      <c r="B44" s="719" t="s">
        <v>1082</v>
      </c>
      <c r="C44" s="712"/>
      <c r="D44" s="713"/>
      <c r="E44" s="713"/>
      <c r="F44" s="713"/>
      <c r="G44" s="714"/>
      <c r="H44" s="681"/>
      <c r="I44" s="712"/>
      <c r="J44" s="712"/>
      <c r="K44" s="715"/>
      <c r="L44" s="698"/>
      <c r="M44" s="712"/>
      <c r="N44" s="715"/>
      <c r="O44" s="709"/>
      <c r="P44" s="681"/>
    </row>
    <row r="45" spans="1:17" ht="51" customHeight="1" x14ac:dyDescent="0.25">
      <c r="A45" s="710"/>
      <c r="B45" s="711" t="s">
        <v>1164</v>
      </c>
      <c r="C45" s="712"/>
      <c r="D45" s="713"/>
      <c r="E45" s="713"/>
      <c r="F45" s="713"/>
      <c r="G45" s="714"/>
      <c r="H45" s="681"/>
      <c r="I45" s="712"/>
      <c r="J45" s="712"/>
      <c r="K45" s="715"/>
      <c r="L45" s="698"/>
      <c r="M45" s="712"/>
      <c r="N45" s="715"/>
      <c r="O45" s="709"/>
      <c r="P45" s="681"/>
    </row>
    <row r="46" spans="1:17" x14ac:dyDescent="0.25">
      <c r="A46" s="708"/>
      <c r="B46" s="693"/>
      <c r="C46" s="694"/>
      <c r="D46" s="694"/>
      <c r="E46" s="694"/>
      <c r="F46" s="694"/>
      <c r="G46" s="696"/>
      <c r="H46" s="681">
        <f>SUM(C46:G46)</f>
        <v>0</v>
      </c>
      <c r="I46" s="679"/>
      <c r="J46" s="679"/>
      <c r="K46" s="680"/>
      <c r="L46" s="698">
        <f>SUM(I46:K46)</f>
        <v>0</v>
      </c>
      <c r="M46" s="679"/>
      <c r="N46" s="680"/>
      <c r="O46" s="681"/>
      <c r="P46" s="681">
        <f>O46+L46+H46</f>
        <v>0</v>
      </c>
      <c r="Q46" s="665" t="s">
        <v>1078</v>
      </c>
    </row>
    <row r="47" spans="1:17" x14ac:dyDescent="0.25">
      <c r="A47" s="710"/>
      <c r="B47" s="716"/>
      <c r="C47" s="712"/>
      <c r="D47" s="713"/>
      <c r="E47" s="713"/>
      <c r="F47" s="713"/>
      <c r="G47" s="720"/>
      <c r="H47" s="698"/>
      <c r="I47" s="712"/>
      <c r="J47" s="712"/>
      <c r="K47" s="715"/>
      <c r="L47" s="698"/>
      <c r="M47" s="712"/>
      <c r="N47" s="715"/>
      <c r="O47" s="709"/>
      <c r="P47" s="698"/>
    </row>
    <row r="48" spans="1:17" s="683" customFormat="1" x14ac:dyDescent="0.25">
      <c r="A48" s="710" t="s">
        <v>45</v>
      </c>
      <c r="B48" s="721" t="s">
        <v>46</v>
      </c>
      <c r="C48" s="722"/>
      <c r="D48" s="722"/>
      <c r="E48" s="722"/>
      <c r="F48" s="722"/>
      <c r="G48" s="723"/>
      <c r="H48" s="698"/>
      <c r="I48" s="722"/>
      <c r="J48" s="722"/>
      <c r="K48" s="723"/>
      <c r="L48" s="698"/>
      <c r="M48" s="722"/>
      <c r="N48" s="723"/>
      <c r="O48" s="698"/>
      <c r="P48" s="698"/>
    </row>
    <row r="49" spans="1:17" x14ac:dyDescent="0.25">
      <c r="A49" s="710"/>
      <c r="B49" s="719" t="s">
        <v>111</v>
      </c>
      <c r="C49" s="712"/>
      <c r="D49" s="713"/>
      <c r="E49" s="713"/>
      <c r="F49" s="713"/>
      <c r="G49" s="714"/>
      <c r="H49" s="698">
        <f>SUM(C49:G49)</f>
        <v>0</v>
      </c>
      <c r="I49" s="712"/>
      <c r="J49" s="712"/>
      <c r="K49" s="715"/>
      <c r="L49" s="698">
        <f>SUM(I49:K49)</f>
        <v>0</v>
      </c>
      <c r="M49" s="712"/>
      <c r="N49" s="715"/>
      <c r="O49" s="709"/>
      <c r="P49" s="698">
        <f>O49+L49+H49</f>
        <v>0</v>
      </c>
    </row>
    <row r="50" spans="1:17" ht="49.5" customHeight="1" x14ac:dyDescent="0.25">
      <c r="A50" s="724"/>
      <c r="B50" s="711" t="s">
        <v>1164</v>
      </c>
      <c r="C50" s="712"/>
      <c r="D50" s="713"/>
      <c r="E50" s="713"/>
      <c r="F50" s="713"/>
      <c r="G50" s="714"/>
      <c r="H50" s="681"/>
      <c r="I50" s="712"/>
      <c r="J50" s="712"/>
      <c r="K50" s="715"/>
      <c r="L50" s="698"/>
      <c r="M50" s="712"/>
      <c r="N50" s="715"/>
      <c r="O50" s="709"/>
      <c r="P50" s="681"/>
    </row>
    <row r="51" spans="1:17" x14ac:dyDescent="0.25">
      <c r="A51" s="710"/>
      <c r="B51" s="716"/>
      <c r="C51" s="712"/>
      <c r="D51" s="713"/>
      <c r="E51" s="713"/>
      <c r="F51" s="713"/>
      <c r="G51" s="714"/>
      <c r="H51" s="681">
        <f t="shared" ref="H51" si="10">SUM(C51:G51)</f>
        <v>0</v>
      </c>
      <c r="I51" s="712"/>
      <c r="J51" s="712"/>
      <c r="K51" s="715"/>
      <c r="L51" s="698">
        <f t="shared" ref="L51" si="11">SUM(I51:K51)</f>
        <v>0</v>
      </c>
      <c r="M51" s="712"/>
      <c r="N51" s="715"/>
      <c r="O51" s="709"/>
      <c r="P51" s="681">
        <f t="shared" ref="P51" si="12">O51+L51+H51</f>
        <v>0</v>
      </c>
      <c r="Q51" s="665" t="s">
        <v>1078</v>
      </c>
    </row>
    <row r="52" spans="1:17" x14ac:dyDescent="0.25">
      <c r="A52" s="710"/>
      <c r="B52" s="716"/>
      <c r="C52" s="712"/>
      <c r="D52" s="712"/>
      <c r="E52" s="712"/>
      <c r="F52" s="712"/>
      <c r="G52" s="714"/>
      <c r="H52" s="681"/>
      <c r="I52" s="712"/>
      <c r="J52" s="712"/>
      <c r="K52" s="714"/>
      <c r="L52" s="698"/>
      <c r="M52" s="712"/>
      <c r="N52" s="714"/>
      <c r="O52" s="709"/>
      <c r="P52" s="681"/>
    </row>
    <row r="53" spans="1:17" s="683" customFormat="1" x14ac:dyDescent="0.25">
      <c r="A53" s="710" t="s">
        <v>47</v>
      </c>
      <c r="B53" s="721" t="s">
        <v>48</v>
      </c>
      <c r="C53" s="722"/>
      <c r="D53" s="722"/>
      <c r="E53" s="722"/>
      <c r="F53" s="722"/>
      <c r="G53" s="723"/>
      <c r="H53" s="698"/>
      <c r="I53" s="722"/>
      <c r="J53" s="722"/>
      <c r="K53" s="723"/>
      <c r="L53" s="698"/>
      <c r="M53" s="722"/>
      <c r="N53" s="723"/>
      <c r="O53" s="698"/>
      <c r="P53" s="698"/>
    </row>
    <row r="54" spans="1:17" x14ac:dyDescent="0.25">
      <c r="A54" s="710"/>
      <c r="B54" s="719" t="s">
        <v>1083</v>
      </c>
      <c r="C54" s="712"/>
      <c r="D54" s="713"/>
      <c r="E54" s="713"/>
      <c r="F54" s="713"/>
      <c r="G54" s="714"/>
      <c r="H54" s="681"/>
      <c r="I54" s="712"/>
      <c r="J54" s="712"/>
      <c r="K54" s="715"/>
      <c r="L54" s="698"/>
      <c r="M54" s="712"/>
      <c r="N54" s="715"/>
      <c r="O54" s="709"/>
      <c r="P54" s="681"/>
    </row>
    <row r="55" spans="1:17" x14ac:dyDescent="0.25">
      <c r="A55" s="710"/>
      <c r="B55" s="717" t="s">
        <v>1079</v>
      </c>
      <c r="C55" s="712"/>
      <c r="D55" s="713"/>
      <c r="E55" s="713"/>
      <c r="F55" s="713"/>
      <c r="G55" s="714"/>
      <c r="H55" s="681"/>
      <c r="I55" s="712"/>
      <c r="J55" s="712"/>
      <c r="K55" s="715"/>
      <c r="L55" s="698"/>
      <c r="M55" s="712"/>
      <c r="N55" s="715"/>
      <c r="O55" s="709"/>
      <c r="P55" s="681"/>
    </row>
    <row r="56" spans="1:17" ht="47.25" x14ac:dyDescent="0.25">
      <c r="A56" s="708"/>
      <c r="B56" s="693" t="s">
        <v>1312</v>
      </c>
      <c r="C56" s="694"/>
      <c r="D56" s="694"/>
      <c r="E56" s="694"/>
      <c r="F56" s="694"/>
      <c r="G56" s="696"/>
      <c r="H56" s="681">
        <f>SUM(C56:G56)</f>
        <v>0</v>
      </c>
      <c r="I56" s="694"/>
      <c r="J56" s="694"/>
      <c r="K56" s="696">
        <v>95250</v>
      </c>
      <c r="L56" s="698">
        <f>SUM(I56:K56)</f>
        <v>95250</v>
      </c>
      <c r="M56" s="679"/>
      <c r="N56" s="680"/>
      <c r="O56" s="681"/>
      <c r="P56" s="681">
        <f>O56+L56+H56</f>
        <v>95250</v>
      </c>
      <c r="Q56" s="665" t="s">
        <v>1078</v>
      </c>
    </row>
    <row r="57" spans="1:17" x14ac:dyDescent="0.25">
      <c r="A57" s="710"/>
      <c r="B57" s="719"/>
      <c r="C57" s="712"/>
      <c r="D57" s="713"/>
      <c r="E57" s="713"/>
      <c r="F57" s="713"/>
      <c r="G57" s="714"/>
      <c r="H57" s="681"/>
      <c r="I57" s="712"/>
      <c r="J57" s="712"/>
      <c r="K57" s="715"/>
      <c r="L57" s="698"/>
      <c r="M57" s="712"/>
      <c r="N57" s="715"/>
      <c r="O57" s="709"/>
      <c r="P57" s="681"/>
    </row>
    <row r="58" spans="1:17" ht="32.25" customHeight="1" x14ac:dyDescent="0.25">
      <c r="A58" s="710"/>
      <c r="B58" s="711" t="s">
        <v>1163</v>
      </c>
      <c r="C58" s="712"/>
      <c r="D58" s="713"/>
      <c r="E58" s="713"/>
      <c r="F58" s="713"/>
      <c r="G58" s="714"/>
      <c r="H58" s="681"/>
      <c r="I58" s="712"/>
      <c r="J58" s="712"/>
      <c r="K58" s="715"/>
      <c r="L58" s="698"/>
      <c r="M58" s="712"/>
      <c r="N58" s="715"/>
      <c r="O58" s="709"/>
      <c r="P58" s="681"/>
    </row>
    <row r="59" spans="1:17" x14ac:dyDescent="0.25">
      <c r="A59" s="734"/>
      <c r="B59" s="742" t="s">
        <v>1172</v>
      </c>
      <c r="C59" s="712"/>
      <c r="D59" s="712"/>
      <c r="E59" s="712">
        <v>6985</v>
      </c>
      <c r="F59" s="712"/>
      <c r="G59" s="714"/>
      <c r="H59" s="698">
        <f t="shared" ref="H59:H66" si="13">SUM(C59:G59)</f>
        <v>6985</v>
      </c>
      <c r="I59" s="722"/>
      <c r="J59" s="712">
        <v>-6985</v>
      </c>
      <c r="K59" s="723"/>
      <c r="L59" s="698">
        <f t="shared" ref="L59:L66" si="14">SUM(I59:K59)</f>
        <v>-6985</v>
      </c>
      <c r="M59" s="722"/>
      <c r="N59" s="723"/>
      <c r="O59" s="698"/>
      <c r="P59" s="698">
        <f t="shared" ref="P59:P66" si="15">O59+L59+H59</f>
        <v>0</v>
      </c>
      <c r="Q59" s="665" t="s">
        <v>1078</v>
      </c>
    </row>
    <row r="60" spans="1:17" ht="94.5" x14ac:dyDescent="0.25">
      <c r="A60" s="734"/>
      <c r="B60" s="742" t="s">
        <v>1313</v>
      </c>
      <c r="C60" s="712"/>
      <c r="D60" s="712"/>
      <c r="E60" s="712"/>
      <c r="F60" s="712"/>
      <c r="G60" s="714"/>
      <c r="H60" s="698">
        <f t="shared" si="13"/>
        <v>0</v>
      </c>
      <c r="I60" s="712">
        <v>34945</v>
      </c>
      <c r="J60" s="712">
        <v>-34945</v>
      </c>
      <c r="K60" s="723"/>
      <c r="L60" s="698">
        <f t="shared" si="14"/>
        <v>0</v>
      </c>
      <c r="M60" s="722"/>
      <c r="N60" s="723"/>
      <c r="O60" s="698"/>
      <c r="P60" s="698">
        <f t="shared" si="15"/>
        <v>0</v>
      </c>
      <c r="Q60" s="665" t="s">
        <v>1078</v>
      </c>
    </row>
    <row r="61" spans="1:17" ht="94.5" x14ac:dyDescent="0.25">
      <c r="A61" s="708"/>
      <c r="B61" s="693" t="s">
        <v>1313</v>
      </c>
      <c r="C61" s="694"/>
      <c r="D61" s="694"/>
      <c r="E61" s="694"/>
      <c r="F61" s="694"/>
      <c r="G61" s="696"/>
      <c r="H61" s="681">
        <f t="shared" si="13"/>
        <v>0</v>
      </c>
      <c r="I61" s="694">
        <v>168055</v>
      </c>
      <c r="J61" s="694">
        <v>-168055</v>
      </c>
      <c r="K61" s="680"/>
      <c r="L61" s="698">
        <f t="shared" si="14"/>
        <v>0</v>
      </c>
      <c r="M61" s="679"/>
      <c r="N61" s="680"/>
      <c r="O61" s="681"/>
      <c r="P61" s="681">
        <f t="shared" si="15"/>
        <v>0</v>
      </c>
      <c r="Q61" s="665" t="s">
        <v>1078</v>
      </c>
    </row>
    <row r="62" spans="1:17" ht="94.5" x14ac:dyDescent="0.25">
      <c r="A62" s="708"/>
      <c r="B62" s="693" t="s">
        <v>907</v>
      </c>
      <c r="C62" s="694"/>
      <c r="D62" s="694"/>
      <c r="E62" s="694"/>
      <c r="F62" s="694"/>
      <c r="G62" s="696"/>
      <c r="H62" s="681">
        <f t="shared" si="13"/>
        <v>0</v>
      </c>
      <c r="I62" s="694">
        <v>26000</v>
      </c>
      <c r="J62" s="694">
        <v>-26000</v>
      </c>
      <c r="K62" s="680"/>
      <c r="L62" s="698">
        <f t="shared" si="14"/>
        <v>0</v>
      </c>
      <c r="M62" s="679"/>
      <c r="N62" s="680"/>
      <c r="O62" s="681"/>
      <c r="P62" s="681">
        <f t="shared" si="15"/>
        <v>0</v>
      </c>
      <c r="Q62" s="665" t="s">
        <v>1078</v>
      </c>
    </row>
    <row r="63" spans="1:17" x14ac:dyDescent="0.25">
      <c r="A63" s="708"/>
      <c r="B63" s="693" t="s">
        <v>1314</v>
      </c>
      <c r="C63" s="694"/>
      <c r="D63" s="694"/>
      <c r="E63" s="694">
        <v>6985</v>
      </c>
      <c r="F63" s="694"/>
      <c r="G63" s="696"/>
      <c r="H63" s="681">
        <f t="shared" si="13"/>
        <v>6985</v>
      </c>
      <c r="I63" s="694"/>
      <c r="J63" s="694">
        <v>-6985</v>
      </c>
      <c r="K63" s="680"/>
      <c r="L63" s="698">
        <f t="shared" si="14"/>
        <v>-6985</v>
      </c>
      <c r="M63" s="679"/>
      <c r="N63" s="680"/>
      <c r="O63" s="681"/>
      <c r="P63" s="681">
        <f t="shared" si="15"/>
        <v>0</v>
      </c>
      <c r="Q63" s="665" t="s">
        <v>1078</v>
      </c>
    </row>
    <row r="64" spans="1:17" ht="31.5" x14ac:dyDescent="0.25">
      <c r="A64" s="708"/>
      <c r="B64" s="693" t="s">
        <v>1315</v>
      </c>
      <c r="C64" s="694"/>
      <c r="D64" s="694"/>
      <c r="E64" s="694">
        <v>-15109</v>
      </c>
      <c r="F64" s="694"/>
      <c r="G64" s="696"/>
      <c r="H64" s="681">
        <f t="shared" si="13"/>
        <v>-15109</v>
      </c>
      <c r="I64" s="694">
        <v>15109</v>
      </c>
      <c r="J64" s="694"/>
      <c r="K64" s="680"/>
      <c r="L64" s="698">
        <f t="shared" si="14"/>
        <v>15109</v>
      </c>
      <c r="M64" s="679"/>
      <c r="N64" s="680"/>
      <c r="O64" s="681"/>
      <c r="P64" s="681">
        <f t="shared" si="15"/>
        <v>0</v>
      </c>
      <c r="Q64" s="665" t="s">
        <v>1078</v>
      </c>
    </row>
    <row r="65" spans="1:17" ht="31.5" x14ac:dyDescent="0.25">
      <c r="A65" s="708"/>
      <c r="B65" s="693" t="s">
        <v>1315</v>
      </c>
      <c r="C65" s="694"/>
      <c r="D65" s="694"/>
      <c r="E65" s="694"/>
      <c r="F65" s="694"/>
      <c r="G65" s="696"/>
      <c r="H65" s="681">
        <f t="shared" si="13"/>
        <v>0</v>
      </c>
      <c r="I65" s="694">
        <v>26445</v>
      </c>
      <c r="J65" s="694">
        <v>-26445</v>
      </c>
      <c r="K65" s="680"/>
      <c r="L65" s="698">
        <f t="shared" si="14"/>
        <v>0</v>
      </c>
      <c r="M65" s="679"/>
      <c r="N65" s="680"/>
      <c r="O65" s="681"/>
      <c r="P65" s="681">
        <f t="shared" si="15"/>
        <v>0</v>
      </c>
      <c r="Q65" s="665" t="s">
        <v>1078</v>
      </c>
    </row>
    <row r="66" spans="1:17" x14ac:dyDescent="0.25">
      <c r="A66" s="708"/>
      <c r="B66" s="693"/>
      <c r="C66" s="694"/>
      <c r="D66" s="694"/>
      <c r="E66" s="694"/>
      <c r="F66" s="694"/>
      <c r="G66" s="696"/>
      <c r="H66" s="681">
        <f t="shared" si="13"/>
        <v>0</v>
      </c>
      <c r="I66" s="694"/>
      <c r="J66" s="694"/>
      <c r="K66" s="680"/>
      <c r="L66" s="698">
        <f t="shared" si="14"/>
        <v>0</v>
      </c>
      <c r="M66" s="679"/>
      <c r="N66" s="680"/>
      <c r="O66" s="681"/>
      <c r="P66" s="681">
        <f t="shared" si="15"/>
        <v>0</v>
      </c>
      <c r="Q66" s="665" t="s">
        <v>1078</v>
      </c>
    </row>
    <row r="67" spans="1:17" x14ac:dyDescent="0.25">
      <c r="A67" s="708"/>
      <c r="B67" s="693"/>
      <c r="C67" s="694"/>
      <c r="D67" s="694"/>
      <c r="E67" s="694"/>
      <c r="F67" s="694"/>
      <c r="G67" s="696"/>
      <c r="H67" s="681"/>
      <c r="I67" s="679"/>
      <c r="J67" s="679"/>
      <c r="K67" s="680"/>
      <c r="L67" s="698"/>
      <c r="M67" s="679"/>
      <c r="N67" s="680"/>
      <c r="O67" s="681"/>
      <c r="P67" s="681"/>
    </row>
    <row r="68" spans="1:17" ht="34.5" customHeight="1" x14ac:dyDescent="0.25">
      <c r="A68" s="710"/>
      <c r="B68" s="711" t="s">
        <v>1167</v>
      </c>
      <c r="C68" s="712"/>
      <c r="D68" s="713"/>
      <c r="E68" s="713"/>
      <c r="F68" s="713"/>
      <c r="G68" s="714"/>
      <c r="H68" s="681"/>
      <c r="I68" s="712"/>
      <c r="J68" s="712"/>
      <c r="K68" s="715"/>
      <c r="L68" s="698"/>
      <c r="M68" s="712"/>
      <c r="N68" s="715"/>
      <c r="O68" s="709"/>
      <c r="P68" s="681"/>
    </row>
    <row r="69" spans="1:17" x14ac:dyDescent="0.25">
      <c r="A69" s="677"/>
      <c r="B69" s="693" t="s">
        <v>1172</v>
      </c>
      <c r="C69" s="694"/>
      <c r="D69" s="694"/>
      <c r="E69" s="694"/>
      <c r="F69" s="694"/>
      <c r="G69" s="696"/>
      <c r="H69" s="681">
        <f t="shared" ref="H69:H78" si="16">SUM(C69:G69)</f>
        <v>0</v>
      </c>
      <c r="I69" s="694">
        <v>22363</v>
      </c>
      <c r="J69" s="694"/>
      <c r="K69" s="696"/>
      <c r="L69" s="698">
        <f t="shared" ref="L69:L78" si="17">SUM(I69:K69)</f>
        <v>22363</v>
      </c>
      <c r="M69" s="694"/>
      <c r="N69" s="696"/>
      <c r="O69" s="699"/>
      <c r="P69" s="681">
        <f t="shared" ref="P69:P78" si="18">O69+L69+H69</f>
        <v>22363</v>
      </c>
      <c r="Q69" s="665" t="s">
        <v>1078</v>
      </c>
    </row>
    <row r="70" spans="1:17" ht="31.5" x14ac:dyDescent="0.25">
      <c r="A70" s="677"/>
      <c r="B70" s="693" t="s">
        <v>1316</v>
      </c>
      <c r="C70" s="694"/>
      <c r="D70" s="694"/>
      <c r="E70" s="694"/>
      <c r="F70" s="694"/>
      <c r="G70" s="696"/>
      <c r="H70" s="681">
        <f t="shared" si="16"/>
        <v>0</v>
      </c>
      <c r="I70" s="694"/>
      <c r="J70" s="694">
        <v>-965</v>
      </c>
      <c r="K70" s="696"/>
      <c r="L70" s="698">
        <f t="shared" si="17"/>
        <v>-965</v>
      </c>
      <c r="M70" s="694"/>
      <c r="N70" s="696"/>
      <c r="O70" s="699"/>
      <c r="P70" s="681">
        <f t="shared" si="18"/>
        <v>-965</v>
      </c>
      <c r="Q70" s="665" t="s">
        <v>1078</v>
      </c>
    </row>
    <row r="71" spans="1:17" ht="47.25" x14ac:dyDescent="0.25">
      <c r="A71" s="677"/>
      <c r="B71" s="693" t="s">
        <v>1174</v>
      </c>
      <c r="C71" s="694"/>
      <c r="D71" s="694"/>
      <c r="E71" s="694"/>
      <c r="F71" s="694"/>
      <c r="G71" s="696"/>
      <c r="H71" s="681">
        <f t="shared" si="16"/>
        <v>0</v>
      </c>
      <c r="I71" s="694"/>
      <c r="J71" s="694">
        <v>-745</v>
      </c>
      <c r="K71" s="696"/>
      <c r="L71" s="698">
        <f t="shared" si="17"/>
        <v>-745</v>
      </c>
      <c r="M71" s="694"/>
      <c r="N71" s="696"/>
      <c r="O71" s="699"/>
      <c r="P71" s="681">
        <f t="shared" si="18"/>
        <v>-745</v>
      </c>
      <c r="Q71" s="665" t="s">
        <v>1078</v>
      </c>
    </row>
    <row r="72" spans="1:17" ht="31.5" x14ac:dyDescent="0.25">
      <c r="A72" s="677"/>
      <c r="B72" s="693" t="s">
        <v>1169</v>
      </c>
      <c r="C72" s="694"/>
      <c r="D72" s="694"/>
      <c r="E72" s="694"/>
      <c r="F72" s="694"/>
      <c r="G72" s="696"/>
      <c r="H72" s="681">
        <f t="shared" si="16"/>
        <v>0</v>
      </c>
      <c r="I72" s="694">
        <v>-2620</v>
      </c>
      <c r="J72" s="694"/>
      <c r="K72" s="696"/>
      <c r="L72" s="698">
        <f t="shared" si="17"/>
        <v>-2620</v>
      </c>
      <c r="M72" s="694"/>
      <c r="N72" s="696"/>
      <c r="O72" s="699"/>
      <c r="P72" s="681">
        <f t="shared" si="18"/>
        <v>-2620</v>
      </c>
      <c r="Q72" s="665" t="s">
        <v>1078</v>
      </c>
    </row>
    <row r="73" spans="1:17" ht="47.25" x14ac:dyDescent="0.25">
      <c r="A73" s="677"/>
      <c r="B73" s="693" t="s">
        <v>1173</v>
      </c>
      <c r="C73" s="694"/>
      <c r="D73" s="694"/>
      <c r="E73" s="694"/>
      <c r="F73" s="694"/>
      <c r="G73" s="696"/>
      <c r="H73" s="681">
        <f t="shared" si="16"/>
        <v>0</v>
      </c>
      <c r="I73" s="694"/>
      <c r="J73" s="694">
        <v>-6259</v>
      </c>
      <c r="K73" s="696"/>
      <c r="L73" s="698">
        <f t="shared" si="17"/>
        <v>-6259</v>
      </c>
      <c r="M73" s="694"/>
      <c r="N73" s="696"/>
      <c r="O73" s="699"/>
      <c r="P73" s="681">
        <f t="shared" si="18"/>
        <v>-6259</v>
      </c>
      <c r="Q73" s="665" t="s">
        <v>1078</v>
      </c>
    </row>
    <row r="74" spans="1:17" x14ac:dyDescent="0.25">
      <c r="A74" s="677"/>
      <c r="B74" s="693" t="s">
        <v>1171</v>
      </c>
      <c r="C74" s="694"/>
      <c r="D74" s="694"/>
      <c r="E74" s="694"/>
      <c r="F74" s="694"/>
      <c r="G74" s="696"/>
      <c r="H74" s="681">
        <f t="shared" si="16"/>
        <v>0</v>
      </c>
      <c r="I74" s="694">
        <v>-5033</v>
      </c>
      <c r="J74" s="694"/>
      <c r="K74" s="696"/>
      <c r="L74" s="698">
        <f t="shared" si="17"/>
        <v>-5033</v>
      </c>
      <c r="M74" s="694"/>
      <c r="N74" s="696"/>
      <c r="O74" s="699"/>
      <c r="P74" s="681">
        <f t="shared" si="18"/>
        <v>-5033</v>
      </c>
      <c r="Q74" s="665" t="s">
        <v>1078</v>
      </c>
    </row>
    <row r="75" spans="1:17" ht="31.5" x14ac:dyDescent="0.25">
      <c r="A75" s="710"/>
      <c r="B75" s="742" t="s">
        <v>1176</v>
      </c>
      <c r="C75" s="712"/>
      <c r="D75" s="712"/>
      <c r="E75" s="712"/>
      <c r="F75" s="712"/>
      <c r="G75" s="714"/>
      <c r="H75" s="698">
        <f t="shared" si="16"/>
        <v>0</v>
      </c>
      <c r="I75" s="712"/>
      <c r="J75" s="712">
        <v>-11</v>
      </c>
      <c r="K75" s="714"/>
      <c r="L75" s="698">
        <f t="shared" si="17"/>
        <v>-11</v>
      </c>
      <c r="M75" s="712"/>
      <c r="N75" s="714"/>
      <c r="O75" s="709"/>
      <c r="P75" s="698">
        <f t="shared" si="18"/>
        <v>-11</v>
      </c>
      <c r="Q75" s="665" t="s">
        <v>1078</v>
      </c>
    </row>
    <row r="76" spans="1:17" ht="31.5" x14ac:dyDescent="0.25">
      <c r="A76" s="710"/>
      <c r="B76" s="742" t="s">
        <v>1317</v>
      </c>
      <c r="C76" s="712"/>
      <c r="D76" s="712"/>
      <c r="E76" s="712"/>
      <c r="F76" s="712"/>
      <c r="G76" s="714"/>
      <c r="H76" s="698">
        <f t="shared" si="16"/>
        <v>0</v>
      </c>
      <c r="I76" s="712"/>
      <c r="J76" s="712">
        <v>-589</v>
      </c>
      <c r="K76" s="714"/>
      <c r="L76" s="698">
        <f t="shared" si="17"/>
        <v>-589</v>
      </c>
      <c r="M76" s="712"/>
      <c r="N76" s="714"/>
      <c r="O76" s="709"/>
      <c r="P76" s="698">
        <f t="shared" si="18"/>
        <v>-589</v>
      </c>
      <c r="Q76" s="665" t="s">
        <v>1078</v>
      </c>
    </row>
    <row r="77" spans="1:17" ht="47.25" x14ac:dyDescent="0.25">
      <c r="A77" s="677"/>
      <c r="B77" s="693" t="s">
        <v>1318</v>
      </c>
      <c r="C77" s="694"/>
      <c r="D77" s="694"/>
      <c r="E77" s="694"/>
      <c r="F77" s="694"/>
      <c r="G77" s="696"/>
      <c r="H77" s="681">
        <f t="shared" si="16"/>
        <v>0</v>
      </c>
      <c r="I77" s="694"/>
      <c r="J77" s="694">
        <v>-26</v>
      </c>
      <c r="K77" s="696"/>
      <c r="L77" s="698">
        <f t="shared" si="17"/>
        <v>-26</v>
      </c>
      <c r="M77" s="694"/>
      <c r="N77" s="696"/>
      <c r="O77" s="699"/>
      <c r="P77" s="681">
        <f t="shared" si="18"/>
        <v>-26</v>
      </c>
      <c r="Q77" s="665" t="s">
        <v>1078</v>
      </c>
    </row>
    <row r="78" spans="1:17" ht="47.25" x14ac:dyDescent="0.25">
      <c r="A78" s="677"/>
      <c r="B78" s="693" t="s">
        <v>1175</v>
      </c>
      <c r="C78" s="694"/>
      <c r="D78" s="694"/>
      <c r="E78" s="694"/>
      <c r="F78" s="694"/>
      <c r="G78" s="696"/>
      <c r="H78" s="681">
        <f t="shared" si="16"/>
        <v>0</v>
      </c>
      <c r="I78" s="694"/>
      <c r="J78" s="694">
        <v>-257</v>
      </c>
      <c r="K78" s="696"/>
      <c r="L78" s="698">
        <f t="shared" si="17"/>
        <v>-257</v>
      </c>
      <c r="M78" s="694"/>
      <c r="N78" s="696"/>
      <c r="O78" s="699"/>
      <c r="P78" s="681">
        <f t="shared" si="18"/>
        <v>-257</v>
      </c>
      <c r="Q78" s="665" t="s">
        <v>1078</v>
      </c>
    </row>
    <row r="79" spans="1:17" x14ac:dyDescent="0.25">
      <c r="A79" s="725"/>
      <c r="B79" s="693"/>
      <c r="C79" s="694"/>
      <c r="D79" s="694"/>
      <c r="E79" s="694"/>
      <c r="F79" s="694"/>
      <c r="G79" s="696"/>
      <c r="H79" s="681"/>
      <c r="I79" s="694"/>
      <c r="J79" s="694"/>
      <c r="K79" s="696"/>
      <c r="L79" s="698"/>
      <c r="M79" s="694"/>
      <c r="N79" s="696"/>
      <c r="O79" s="699"/>
      <c r="P79" s="681"/>
    </row>
    <row r="80" spans="1:17" ht="49.5" customHeight="1" x14ac:dyDescent="0.25">
      <c r="A80" s="724"/>
      <c r="B80" s="711" t="s">
        <v>1164</v>
      </c>
      <c r="C80" s="712"/>
      <c r="D80" s="713"/>
      <c r="E80" s="713"/>
      <c r="F80" s="713"/>
      <c r="G80" s="714"/>
      <c r="H80" s="681"/>
      <c r="I80" s="712"/>
      <c r="J80" s="712"/>
      <c r="K80" s="715"/>
      <c r="L80" s="698"/>
      <c r="M80" s="712"/>
      <c r="N80" s="715"/>
      <c r="O80" s="709"/>
      <c r="P80" s="681"/>
    </row>
    <row r="81" spans="1:17" ht="47.25" x14ac:dyDescent="0.25">
      <c r="A81" s="710"/>
      <c r="B81" s="716" t="s">
        <v>1174</v>
      </c>
      <c r="C81" s="712"/>
      <c r="D81" s="713"/>
      <c r="E81" s="713"/>
      <c r="F81" s="713"/>
      <c r="G81" s="714"/>
      <c r="H81" s="681">
        <f t="shared" ref="H81:H82" si="19">SUM(C81:G81)</f>
        <v>0</v>
      </c>
      <c r="I81" s="712"/>
      <c r="J81" s="712">
        <v>-756</v>
      </c>
      <c r="K81" s="715"/>
      <c r="L81" s="698">
        <f t="shared" ref="L81:L82" si="20">SUM(I81:K81)</f>
        <v>-756</v>
      </c>
      <c r="M81" s="712"/>
      <c r="N81" s="715"/>
      <c r="O81" s="709"/>
      <c r="P81" s="681">
        <f t="shared" ref="P81:P82" si="21">O81+L81+H81</f>
        <v>-756</v>
      </c>
      <c r="Q81" s="665" t="s">
        <v>1078</v>
      </c>
    </row>
    <row r="82" spans="1:17" ht="63" x14ac:dyDescent="0.25">
      <c r="A82" s="710"/>
      <c r="B82" s="716" t="s">
        <v>1170</v>
      </c>
      <c r="C82" s="712"/>
      <c r="D82" s="713"/>
      <c r="E82" s="713"/>
      <c r="F82" s="713"/>
      <c r="G82" s="714"/>
      <c r="H82" s="681">
        <f t="shared" si="19"/>
        <v>0</v>
      </c>
      <c r="I82" s="712"/>
      <c r="J82" s="712">
        <v>756</v>
      </c>
      <c r="K82" s="715"/>
      <c r="L82" s="698">
        <f t="shared" si="20"/>
        <v>756</v>
      </c>
      <c r="M82" s="712"/>
      <c r="N82" s="715"/>
      <c r="O82" s="709"/>
      <c r="P82" s="681">
        <f t="shared" si="21"/>
        <v>756</v>
      </c>
      <c r="Q82" s="665" t="s">
        <v>1078</v>
      </c>
    </row>
    <row r="83" spans="1:17" x14ac:dyDescent="0.25">
      <c r="A83" s="710"/>
      <c r="B83" s="716"/>
      <c r="C83" s="712"/>
      <c r="D83" s="713"/>
      <c r="E83" s="713"/>
      <c r="F83" s="713"/>
      <c r="G83" s="714"/>
      <c r="H83" s="681"/>
      <c r="I83" s="712"/>
      <c r="J83" s="712"/>
      <c r="K83" s="715"/>
      <c r="L83" s="698"/>
      <c r="M83" s="712"/>
      <c r="N83" s="715"/>
      <c r="O83" s="709"/>
      <c r="P83" s="681"/>
    </row>
    <row r="84" spans="1:17" x14ac:dyDescent="0.25">
      <c r="A84" s="710"/>
      <c r="B84" s="719" t="s">
        <v>112</v>
      </c>
      <c r="C84" s="712"/>
      <c r="D84" s="713"/>
      <c r="E84" s="713"/>
      <c r="F84" s="713"/>
      <c r="G84" s="714"/>
      <c r="H84" s="698"/>
      <c r="I84" s="712"/>
      <c r="J84" s="712"/>
      <c r="K84" s="715"/>
      <c r="L84" s="698"/>
      <c r="M84" s="712"/>
      <c r="N84" s="715"/>
      <c r="O84" s="709"/>
      <c r="P84" s="698"/>
    </row>
    <row r="85" spans="1:17" x14ac:dyDescent="0.25">
      <c r="A85" s="734"/>
      <c r="B85" s="717" t="s">
        <v>1079</v>
      </c>
      <c r="C85" s="712"/>
      <c r="D85" s="713"/>
      <c r="E85" s="713"/>
      <c r="F85" s="713"/>
      <c r="G85" s="714"/>
      <c r="H85" s="681"/>
      <c r="I85" s="712"/>
      <c r="J85" s="712"/>
      <c r="K85" s="715"/>
      <c r="L85" s="698"/>
      <c r="M85" s="712"/>
      <c r="N85" s="715"/>
      <c r="O85" s="709"/>
      <c r="P85" s="681"/>
    </row>
    <row r="86" spans="1:17" x14ac:dyDescent="0.25">
      <c r="A86" s="734"/>
      <c r="B86" s="735"/>
      <c r="C86" s="712"/>
      <c r="D86" s="713"/>
      <c r="E86" s="713"/>
      <c r="F86" s="713"/>
      <c r="G86" s="720"/>
      <c r="H86" s="681">
        <f t="shared" ref="H86" si="22">SUM(C86:G86)</f>
        <v>0</v>
      </c>
      <c r="I86" s="712"/>
      <c r="J86" s="712"/>
      <c r="K86" s="715"/>
      <c r="L86" s="698">
        <f t="shared" ref="L86" si="23">SUM(I86:K86)</f>
        <v>0</v>
      </c>
      <c r="M86" s="712"/>
      <c r="N86" s="715"/>
      <c r="O86" s="709"/>
      <c r="P86" s="681">
        <f t="shared" ref="P86" si="24">O86+L86+H86</f>
        <v>0</v>
      </c>
      <c r="Q86" s="665" t="s">
        <v>1080</v>
      </c>
    </row>
    <row r="87" spans="1:17" x14ac:dyDescent="0.25">
      <c r="A87" s="708"/>
      <c r="B87" s="736"/>
      <c r="C87" s="694"/>
      <c r="D87" s="694"/>
      <c r="E87" s="694"/>
      <c r="F87" s="694"/>
      <c r="G87" s="696"/>
      <c r="H87" s="681"/>
      <c r="I87" s="694"/>
      <c r="J87" s="694"/>
      <c r="K87" s="696"/>
      <c r="L87" s="698"/>
      <c r="M87" s="694"/>
      <c r="N87" s="696"/>
      <c r="O87" s="699"/>
      <c r="P87" s="681"/>
    </row>
    <row r="88" spans="1:17" ht="47.25" x14ac:dyDescent="0.25">
      <c r="A88" s="734"/>
      <c r="B88" s="711" t="s">
        <v>1164</v>
      </c>
      <c r="C88" s="712"/>
      <c r="D88" s="713"/>
      <c r="E88" s="713"/>
      <c r="F88" s="713"/>
      <c r="G88" s="720"/>
      <c r="H88" s="681"/>
      <c r="I88" s="712"/>
      <c r="J88" s="712"/>
      <c r="K88" s="715"/>
      <c r="L88" s="698"/>
      <c r="M88" s="712"/>
      <c r="N88" s="715"/>
      <c r="O88" s="709"/>
      <c r="P88" s="681"/>
    </row>
    <row r="89" spans="1:17" ht="63" x14ac:dyDescent="0.25">
      <c r="A89" s="734"/>
      <c r="B89" s="735" t="s">
        <v>1178</v>
      </c>
      <c r="C89" s="712"/>
      <c r="D89" s="713"/>
      <c r="E89" s="713"/>
      <c r="F89" s="713"/>
      <c r="G89" s="720"/>
      <c r="H89" s="698">
        <f t="shared" ref="H89:H92" si="25">SUM(C89:G89)</f>
        <v>0</v>
      </c>
      <c r="I89" s="712">
        <v>-19135</v>
      </c>
      <c r="J89" s="712"/>
      <c r="K89" s="715"/>
      <c r="L89" s="698">
        <f t="shared" ref="L89:L92" si="26">SUM(I89:K89)</f>
        <v>-19135</v>
      </c>
      <c r="M89" s="712"/>
      <c r="N89" s="715"/>
      <c r="O89" s="709"/>
      <c r="P89" s="698">
        <f t="shared" ref="P89:P92" si="27">O89+L89+H89</f>
        <v>-19135</v>
      </c>
      <c r="Q89" s="665" t="s">
        <v>1080</v>
      </c>
    </row>
    <row r="90" spans="1:17" x14ac:dyDescent="0.25">
      <c r="A90" s="734"/>
      <c r="B90" s="735" t="s">
        <v>1181</v>
      </c>
      <c r="C90" s="712"/>
      <c r="D90" s="713"/>
      <c r="E90" s="713"/>
      <c r="F90" s="713"/>
      <c r="G90" s="720"/>
      <c r="H90" s="698">
        <f t="shared" si="25"/>
        <v>0</v>
      </c>
      <c r="I90" s="712">
        <v>51497</v>
      </c>
      <c r="J90" s="712"/>
      <c r="K90" s="715"/>
      <c r="L90" s="698">
        <f t="shared" si="26"/>
        <v>51497</v>
      </c>
      <c r="M90" s="712"/>
      <c r="N90" s="715"/>
      <c r="O90" s="709"/>
      <c r="P90" s="698">
        <f t="shared" si="27"/>
        <v>51497</v>
      </c>
      <c r="Q90" s="665" t="s">
        <v>1078</v>
      </c>
    </row>
    <row r="91" spans="1:17" ht="63" x14ac:dyDescent="0.25">
      <c r="A91" s="734"/>
      <c r="B91" s="735" t="s">
        <v>1178</v>
      </c>
      <c r="C91" s="712"/>
      <c r="D91" s="713"/>
      <c r="E91" s="713"/>
      <c r="F91" s="713"/>
      <c r="G91" s="720"/>
      <c r="H91" s="681">
        <f t="shared" si="25"/>
        <v>0</v>
      </c>
      <c r="I91" s="712">
        <v>-82465</v>
      </c>
      <c r="J91" s="712"/>
      <c r="K91" s="715"/>
      <c r="L91" s="698">
        <f t="shared" si="26"/>
        <v>-82465</v>
      </c>
      <c r="M91" s="712"/>
      <c r="N91" s="715"/>
      <c r="O91" s="709"/>
      <c r="P91" s="681">
        <f t="shared" si="27"/>
        <v>-82465</v>
      </c>
      <c r="Q91" s="665" t="s">
        <v>1080</v>
      </c>
    </row>
    <row r="92" spans="1:17" x14ac:dyDescent="0.25">
      <c r="A92" s="734"/>
      <c r="B92" s="738"/>
      <c r="C92" s="712"/>
      <c r="D92" s="713"/>
      <c r="E92" s="713"/>
      <c r="F92" s="713"/>
      <c r="G92" s="720"/>
      <c r="H92" s="681">
        <f t="shared" si="25"/>
        <v>0</v>
      </c>
      <c r="I92" s="712"/>
      <c r="J92" s="712"/>
      <c r="K92" s="715"/>
      <c r="L92" s="698">
        <f t="shared" si="26"/>
        <v>0</v>
      </c>
      <c r="M92" s="712"/>
      <c r="N92" s="715"/>
      <c r="O92" s="709"/>
      <c r="P92" s="681">
        <f t="shared" si="27"/>
        <v>0</v>
      </c>
    </row>
    <row r="93" spans="1:17" x14ac:dyDescent="0.25">
      <c r="A93" s="734"/>
      <c r="B93" s="735"/>
      <c r="C93" s="712"/>
      <c r="D93" s="713"/>
      <c r="E93" s="713"/>
      <c r="F93" s="713"/>
      <c r="G93" s="714"/>
      <c r="H93" s="681"/>
      <c r="I93" s="712"/>
      <c r="J93" s="712"/>
      <c r="K93" s="715"/>
      <c r="L93" s="698"/>
      <c r="M93" s="712"/>
      <c r="N93" s="715"/>
      <c r="O93" s="709"/>
      <c r="P93" s="681"/>
    </row>
    <row r="94" spans="1:17" ht="31.5" x14ac:dyDescent="0.25">
      <c r="A94" s="710"/>
      <c r="B94" s="711" t="s">
        <v>1167</v>
      </c>
      <c r="C94" s="712"/>
      <c r="D94" s="713"/>
      <c r="E94" s="713"/>
      <c r="F94" s="713"/>
      <c r="G94" s="714"/>
      <c r="H94" s="681"/>
      <c r="I94" s="712"/>
      <c r="J94" s="712"/>
      <c r="K94" s="715"/>
      <c r="L94" s="698"/>
      <c r="M94" s="712"/>
      <c r="N94" s="715"/>
      <c r="O94" s="709"/>
      <c r="P94" s="681"/>
    </row>
    <row r="95" spans="1:17" ht="21" customHeight="1" x14ac:dyDescent="0.25">
      <c r="A95" s="710"/>
      <c r="B95" s="716" t="s">
        <v>1319</v>
      </c>
      <c r="C95" s="712"/>
      <c r="D95" s="713"/>
      <c r="E95" s="713">
        <v>23961</v>
      </c>
      <c r="F95" s="713"/>
      <c r="G95" s="714"/>
      <c r="H95" s="698">
        <f>SUM(C95:G95)</f>
        <v>23961</v>
      </c>
      <c r="I95" s="712"/>
      <c r="J95" s="712"/>
      <c r="K95" s="715"/>
      <c r="L95" s="698">
        <f>SUM(I95:K95)</f>
        <v>0</v>
      </c>
      <c r="M95" s="712"/>
      <c r="N95" s="715"/>
      <c r="O95" s="709"/>
      <c r="P95" s="698">
        <f>O95+L95+H95</f>
        <v>23961</v>
      </c>
      <c r="Q95" s="665" t="s">
        <v>1080</v>
      </c>
    </row>
    <row r="96" spans="1:17" ht="31.5" x14ac:dyDescent="0.25">
      <c r="A96" s="710"/>
      <c r="B96" s="742" t="s">
        <v>1182</v>
      </c>
      <c r="C96" s="712"/>
      <c r="D96" s="712"/>
      <c r="E96" s="712">
        <v>-5858</v>
      </c>
      <c r="F96" s="712"/>
      <c r="G96" s="714"/>
      <c r="H96" s="698">
        <f t="shared" ref="H96" si="28">SUM(C96:G96)</f>
        <v>-5858</v>
      </c>
      <c r="I96" s="712"/>
      <c r="J96" s="712"/>
      <c r="K96" s="714"/>
      <c r="L96" s="698">
        <f t="shared" ref="L96:L103" si="29">SUM(I96:K96)</f>
        <v>0</v>
      </c>
      <c r="M96" s="712"/>
      <c r="N96" s="714"/>
      <c r="O96" s="709"/>
      <c r="P96" s="698">
        <f t="shared" ref="P96:P103" si="30">O96+L96+H96</f>
        <v>-5858</v>
      </c>
      <c r="Q96" s="665" t="s">
        <v>1080</v>
      </c>
    </row>
    <row r="97" spans="1:17" ht="47.25" x14ac:dyDescent="0.25">
      <c r="A97" s="677"/>
      <c r="B97" s="693" t="s">
        <v>1320</v>
      </c>
      <c r="C97" s="694"/>
      <c r="D97" s="694"/>
      <c r="E97" s="694"/>
      <c r="F97" s="694"/>
      <c r="G97" s="696"/>
      <c r="H97" s="681">
        <f t="shared" ref="H97:H103" si="31">SUM(C97:G97)</f>
        <v>0</v>
      </c>
      <c r="I97" s="694">
        <v>-374030</v>
      </c>
      <c r="J97" s="694"/>
      <c r="K97" s="696"/>
      <c r="L97" s="698">
        <f t="shared" si="29"/>
        <v>-374030</v>
      </c>
      <c r="M97" s="694"/>
      <c r="N97" s="696"/>
      <c r="O97" s="699"/>
      <c r="P97" s="681">
        <f t="shared" si="30"/>
        <v>-374030</v>
      </c>
      <c r="Q97" s="665" t="s">
        <v>1080</v>
      </c>
    </row>
    <row r="98" spans="1:17" ht="31.5" x14ac:dyDescent="0.25">
      <c r="A98" s="677"/>
      <c r="B98" s="693" t="s">
        <v>1321</v>
      </c>
      <c r="C98" s="694"/>
      <c r="D98" s="694"/>
      <c r="E98" s="694"/>
      <c r="F98" s="694"/>
      <c r="G98" s="696"/>
      <c r="H98" s="681">
        <f t="shared" si="31"/>
        <v>0</v>
      </c>
      <c r="I98" s="694">
        <v>189000</v>
      </c>
      <c r="J98" s="694"/>
      <c r="K98" s="696"/>
      <c r="L98" s="698">
        <f t="shared" si="29"/>
        <v>189000</v>
      </c>
      <c r="M98" s="694"/>
      <c r="N98" s="696"/>
      <c r="O98" s="699"/>
      <c r="P98" s="681">
        <f t="shared" si="30"/>
        <v>189000</v>
      </c>
      <c r="Q98" s="665" t="s">
        <v>1080</v>
      </c>
    </row>
    <row r="99" spans="1:17" ht="35.25" customHeight="1" x14ac:dyDescent="0.25">
      <c r="A99" s="710"/>
      <c r="B99" s="716" t="s">
        <v>1322</v>
      </c>
      <c r="C99" s="712"/>
      <c r="D99" s="713"/>
      <c r="E99" s="713"/>
      <c r="F99" s="713"/>
      <c r="G99" s="714"/>
      <c r="H99" s="681">
        <f t="shared" si="31"/>
        <v>0</v>
      </c>
      <c r="I99" s="712">
        <v>-17095</v>
      </c>
      <c r="J99" s="712"/>
      <c r="K99" s="715"/>
      <c r="L99" s="698">
        <f t="shared" si="29"/>
        <v>-17095</v>
      </c>
      <c r="M99" s="712"/>
      <c r="N99" s="715"/>
      <c r="O99" s="709"/>
      <c r="P99" s="681">
        <f t="shared" si="30"/>
        <v>-17095</v>
      </c>
      <c r="Q99" s="665" t="s">
        <v>1080</v>
      </c>
    </row>
    <row r="100" spans="1:17" ht="52.5" customHeight="1" x14ac:dyDescent="0.25">
      <c r="A100" s="710"/>
      <c r="B100" s="716" t="s">
        <v>1323</v>
      </c>
      <c r="C100" s="712"/>
      <c r="D100" s="713"/>
      <c r="E100" s="713"/>
      <c r="F100" s="713"/>
      <c r="G100" s="714"/>
      <c r="H100" s="681">
        <f t="shared" si="31"/>
        <v>0</v>
      </c>
      <c r="I100" s="712">
        <v>12700</v>
      </c>
      <c r="J100" s="712"/>
      <c r="K100" s="715"/>
      <c r="L100" s="698">
        <f t="shared" si="29"/>
        <v>12700</v>
      </c>
      <c r="M100" s="712"/>
      <c r="N100" s="715"/>
      <c r="O100" s="709"/>
      <c r="P100" s="681">
        <f t="shared" si="30"/>
        <v>12700</v>
      </c>
      <c r="Q100" s="665" t="s">
        <v>1080</v>
      </c>
    </row>
    <row r="101" spans="1:17" ht="31.5" customHeight="1" x14ac:dyDescent="0.25">
      <c r="A101" s="710"/>
      <c r="B101" s="716" t="s">
        <v>1324</v>
      </c>
      <c r="C101" s="712"/>
      <c r="D101" s="713"/>
      <c r="E101" s="713"/>
      <c r="F101" s="713"/>
      <c r="G101" s="714"/>
      <c r="H101" s="681">
        <f t="shared" si="31"/>
        <v>0</v>
      </c>
      <c r="I101" s="712">
        <v>2667</v>
      </c>
      <c r="J101" s="712"/>
      <c r="K101" s="715"/>
      <c r="L101" s="698">
        <f t="shared" si="29"/>
        <v>2667</v>
      </c>
      <c r="M101" s="712"/>
      <c r="N101" s="715"/>
      <c r="O101" s="709"/>
      <c r="P101" s="681">
        <f t="shared" si="30"/>
        <v>2667</v>
      </c>
      <c r="Q101" s="665" t="s">
        <v>1080</v>
      </c>
    </row>
    <row r="102" spans="1:17" ht="21" customHeight="1" x14ac:dyDescent="0.25">
      <c r="A102" s="710"/>
      <c r="B102" s="716" t="s">
        <v>1325</v>
      </c>
      <c r="C102" s="712"/>
      <c r="D102" s="713"/>
      <c r="E102" s="713"/>
      <c r="F102" s="713"/>
      <c r="G102" s="714"/>
      <c r="H102" s="681">
        <f t="shared" si="31"/>
        <v>0</v>
      </c>
      <c r="I102" s="712">
        <v>699</v>
      </c>
      <c r="J102" s="712"/>
      <c r="K102" s="715"/>
      <c r="L102" s="698">
        <f t="shared" si="29"/>
        <v>699</v>
      </c>
      <c r="M102" s="712"/>
      <c r="N102" s="715"/>
      <c r="O102" s="709"/>
      <c r="P102" s="681">
        <f t="shared" si="30"/>
        <v>699</v>
      </c>
      <c r="Q102" s="665" t="s">
        <v>1080</v>
      </c>
    </row>
    <row r="103" spans="1:17" ht="65.25" customHeight="1" x14ac:dyDescent="0.25">
      <c r="A103" s="710"/>
      <c r="B103" s="716" t="s">
        <v>1326</v>
      </c>
      <c r="C103" s="712"/>
      <c r="D103" s="713"/>
      <c r="E103" s="713"/>
      <c r="F103" s="713"/>
      <c r="G103" s="714"/>
      <c r="H103" s="681">
        <f t="shared" si="31"/>
        <v>0</v>
      </c>
      <c r="I103" s="712">
        <v>1029</v>
      </c>
      <c r="J103" s="712"/>
      <c r="K103" s="715"/>
      <c r="L103" s="698">
        <f t="shared" si="29"/>
        <v>1029</v>
      </c>
      <c r="M103" s="712"/>
      <c r="N103" s="715"/>
      <c r="O103" s="709"/>
      <c r="P103" s="681">
        <f t="shared" si="30"/>
        <v>1029</v>
      </c>
      <c r="Q103" s="665" t="s">
        <v>1080</v>
      </c>
    </row>
    <row r="104" spans="1:17" x14ac:dyDescent="0.25">
      <c r="A104" s="710"/>
      <c r="B104" s="716"/>
      <c r="C104" s="712"/>
      <c r="D104" s="713"/>
      <c r="E104" s="713"/>
      <c r="F104" s="713"/>
      <c r="G104" s="714"/>
      <c r="H104" s="681"/>
      <c r="I104" s="712"/>
      <c r="J104" s="712"/>
      <c r="K104" s="715"/>
      <c r="L104" s="698"/>
      <c r="M104" s="712"/>
      <c r="N104" s="715"/>
      <c r="O104" s="709"/>
      <c r="P104" s="681"/>
    </row>
    <row r="105" spans="1:17" ht="33.75" customHeight="1" x14ac:dyDescent="0.25">
      <c r="A105" s="710"/>
      <c r="B105" s="711" t="s">
        <v>1163</v>
      </c>
      <c r="C105" s="712"/>
      <c r="D105" s="713"/>
      <c r="E105" s="713"/>
      <c r="F105" s="713"/>
      <c r="G105" s="714"/>
      <c r="H105" s="681"/>
      <c r="I105" s="712"/>
      <c r="J105" s="712"/>
      <c r="K105" s="715"/>
      <c r="L105" s="698"/>
      <c r="M105" s="712"/>
      <c r="N105" s="715"/>
      <c r="O105" s="709"/>
      <c r="P105" s="681"/>
    </row>
    <row r="106" spans="1:17" ht="31.5" x14ac:dyDescent="0.25">
      <c r="A106" s="708"/>
      <c r="B106" s="693" t="s">
        <v>1183</v>
      </c>
      <c r="C106" s="694"/>
      <c r="D106" s="694"/>
      <c r="E106" s="694">
        <v>-4278</v>
      </c>
      <c r="F106" s="694"/>
      <c r="G106" s="696"/>
      <c r="H106" s="681">
        <f>SUM(C106:G106)</f>
        <v>-4278</v>
      </c>
      <c r="I106" s="694">
        <v>4278</v>
      </c>
      <c r="J106" s="679"/>
      <c r="K106" s="680"/>
      <c r="L106" s="698">
        <f>SUM(I106:K106)</f>
        <v>4278</v>
      </c>
      <c r="M106" s="679"/>
      <c r="N106" s="680"/>
      <c r="O106" s="681"/>
      <c r="P106" s="681">
        <f>O106+L106+H106</f>
        <v>0</v>
      </c>
      <c r="Q106" s="665" t="s">
        <v>1080</v>
      </c>
    </row>
    <row r="107" spans="1:17" x14ac:dyDescent="0.25">
      <c r="A107" s="708"/>
      <c r="B107" s="693" t="s">
        <v>1180</v>
      </c>
      <c r="C107" s="694"/>
      <c r="D107" s="694"/>
      <c r="E107" s="694">
        <v>-1138</v>
      </c>
      <c r="F107" s="694"/>
      <c r="G107" s="696"/>
      <c r="H107" s="681">
        <f t="shared" ref="H107:H117" si="32">SUM(C107:G107)</f>
        <v>-1138</v>
      </c>
      <c r="I107" s="694">
        <v>1138</v>
      </c>
      <c r="J107" s="679"/>
      <c r="K107" s="680"/>
      <c r="L107" s="698">
        <f t="shared" ref="L107:L118" si="33">SUM(I107:K107)</f>
        <v>1138</v>
      </c>
      <c r="M107" s="679"/>
      <c r="N107" s="680"/>
      <c r="O107" s="681"/>
      <c r="P107" s="681">
        <f t="shared" ref="P107:P118" si="34">O107+L107+H107</f>
        <v>0</v>
      </c>
      <c r="Q107" s="665" t="s">
        <v>1078</v>
      </c>
    </row>
    <row r="108" spans="1:17" x14ac:dyDescent="0.25">
      <c r="A108" s="708"/>
      <c r="B108" s="693" t="s">
        <v>1327</v>
      </c>
      <c r="C108" s="694">
        <v>15000</v>
      </c>
      <c r="D108" s="694">
        <v>5000</v>
      </c>
      <c r="E108" s="694">
        <v>40005</v>
      </c>
      <c r="F108" s="694"/>
      <c r="G108" s="696"/>
      <c r="H108" s="681">
        <f t="shared" si="32"/>
        <v>60005</v>
      </c>
      <c r="I108" s="694">
        <v>-60005</v>
      </c>
      <c r="J108" s="679"/>
      <c r="K108" s="680"/>
      <c r="L108" s="698">
        <f t="shared" si="33"/>
        <v>-60005</v>
      </c>
      <c r="M108" s="679"/>
      <c r="N108" s="680"/>
      <c r="O108" s="681"/>
      <c r="P108" s="681">
        <f t="shared" si="34"/>
        <v>0</v>
      </c>
      <c r="Q108" s="665" t="s">
        <v>1080</v>
      </c>
    </row>
    <row r="109" spans="1:17" x14ac:dyDescent="0.25">
      <c r="A109" s="708"/>
      <c r="B109" s="693" t="s">
        <v>1328</v>
      </c>
      <c r="C109" s="694"/>
      <c r="D109" s="694"/>
      <c r="E109" s="694">
        <v>19845</v>
      </c>
      <c r="F109" s="694"/>
      <c r="G109" s="696"/>
      <c r="H109" s="681">
        <f t="shared" ref="H109:H112" si="35">SUM(C109:G109)</f>
        <v>19845</v>
      </c>
      <c r="I109" s="694">
        <v>-19845</v>
      </c>
      <c r="J109" s="679"/>
      <c r="K109" s="680"/>
      <c r="L109" s="698">
        <f t="shared" si="33"/>
        <v>-19845</v>
      </c>
      <c r="M109" s="679"/>
      <c r="N109" s="680"/>
      <c r="O109" s="681"/>
      <c r="P109" s="681">
        <f t="shared" si="34"/>
        <v>0</v>
      </c>
      <c r="Q109" s="665" t="s">
        <v>1080</v>
      </c>
    </row>
    <row r="110" spans="1:17" ht="47.25" x14ac:dyDescent="0.25">
      <c r="A110" s="708"/>
      <c r="B110" s="693" t="s">
        <v>1329</v>
      </c>
      <c r="C110" s="694">
        <v>1000</v>
      </c>
      <c r="D110" s="694">
        <v>176</v>
      </c>
      <c r="E110" s="694">
        <v>-1176</v>
      </c>
      <c r="F110" s="694"/>
      <c r="G110" s="696"/>
      <c r="H110" s="681">
        <f t="shared" si="35"/>
        <v>0</v>
      </c>
      <c r="I110" s="694"/>
      <c r="J110" s="679"/>
      <c r="K110" s="680"/>
      <c r="L110" s="698">
        <f t="shared" si="33"/>
        <v>0</v>
      </c>
      <c r="M110" s="679"/>
      <c r="N110" s="680"/>
      <c r="O110" s="681"/>
      <c r="P110" s="681">
        <f t="shared" si="34"/>
        <v>0</v>
      </c>
      <c r="Q110" s="665" t="s">
        <v>1080</v>
      </c>
    </row>
    <row r="111" spans="1:17" ht="63.75" thickBot="1" x14ac:dyDescent="0.3">
      <c r="A111" s="737"/>
      <c r="B111" s="739" t="s">
        <v>1330</v>
      </c>
      <c r="C111" s="727"/>
      <c r="D111" s="727"/>
      <c r="E111" s="727">
        <v>40030</v>
      </c>
      <c r="F111" s="727"/>
      <c r="G111" s="729"/>
      <c r="H111" s="730">
        <f t="shared" si="35"/>
        <v>40030</v>
      </c>
      <c r="I111" s="727">
        <v>-40030</v>
      </c>
      <c r="J111" s="740"/>
      <c r="K111" s="741"/>
      <c r="L111" s="730">
        <f t="shared" si="33"/>
        <v>-40030</v>
      </c>
      <c r="M111" s="740"/>
      <c r="N111" s="741"/>
      <c r="O111" s="730"/>
      <c r="P111" s="730">
        <f t="shared" si="34"/>
        <v>0</v>
      </c>
      <c r="Q111" s="665" t="s">
        <v>1080</v>
      </c>
    </row>
    <row r="112" spans="1:17" ht="63" x14ac:dyDescent="0.25">
      <c r="A112" s="708"/>
      <c r="B112" s="693" t="s">
        <v>1178</v>
      </c>
      <c r="C112" s="694"/>
      <c r="D112" s="694">
        <v>67</v>
      </c>
      <c r="E112" s="694"/>
      <c r="F112" s="694"/>
      <c r="G112" s="696"/>
      <c r="H112" s="681">
        <f t="shared" si="35"/>
        <v>67</v>
      </c>
      <c r="I112" s="694">
        <v>-67</v>
      </c>
      <c r="J112" s="679"/>
      <c r="K112" s="680"/>
      <c r="L112" s="681">
        <f t="shared" si="33"/>
        <v>-67</v>
      </c>
      <c r="M112" s="679"/>
      <c r="N112" s="680"/>
      <c r="O112" s="681"/>
      <c r="P112" s="681">
        <f t="shared" si="34"/>
        <v>0</v>
      </c>
      <c r="Q112" s="665" t="s">
        <v>1080</v>
      </c>
    </row>
    <row r="113" spans="1:17" x14ac:dyDescent="0.25">
      <c r="A113" s="734"/>
      <c r="B113" s="742" t="s">
        <v>1179</v>
      </c>
      <c r="C113" s="712"/>
      <c r="D113" s="712"/>
      <c r="E113" s="712"/>
      <c r="F113" s="712"/>
      <c r="G113" s="714"/>
      <c r="H113" s="698">
        <f t="shared" si="32"/>
        <v>0</v>
      </c>
      <c r="I113" s="712">
        <f>59631+130824</f>
        <v>190455</v>
      </c>
      <c r="J113" s="712">
        <f>-59631-130824</f>
        <v>-190455</v>
      </c>
      <c r="K113" s="723"/>
      <c r="L113" s="698">
        <f t="shared" si="33"/>
        <v>0</v>
      </c>
      <c r="M113" s="722"/>
      <c r="N113" s="723"/>
      <c r="O113" s="698"/>
      <c r="P113" s="698">
        <f t="shared" si="34"/>
        <v>0</v>
      </c>
      <c r="Q113" s="665" t="s">
        <v>1080</v>
      </c>
    </row>
    <row r="114" spans="1:17" x14ac:dyDescent="0.25">
      <c r="A114" s="708"/>
      <c r="B114" s="742" t="s">
        <v>1331</v>
      </c>
      <c r="C114" s="694"/>
      <c r="D114" s="694"/>
      <c r="E114" s="694">
        <f>47267+16</f>
        <v>47283</v>
      </c>
      <c r="F114" s="694"/>
      <c r="G114" s="696"/>
      <c r="H114" s="681">
        <f t="shared" si="32"/>
        <v>47283</v>
      </c>
      <c r="I114" s="694">
        <f>-47267-16</f>
        <v>-47283</v>
      </c>
      <c r="J114" s="694"/>
      <c r="K114" s="680"/>
      <c r="L114" s="698">
        <f t="shared" si="33"/>
        <v>-47283</v>
      </c>
      <c r="M114" s="679"/>
      <c r="N114" s="680"/>
      <c r="O114" s="681"/>
      <c r="P114" s="681">
        <f t="shared" si="34"/>
        <v>0</v>
      </c>
      <c r="Q114" s="665" t="s">
        <v>1078</v>
      </c>
    </row>
    <row r="115" spans="1:17" ht="31.5" x14ac:dyDescent="0.25">
      <c r="A115" s="708"/>
      <c r="B115" s="693" t="s">
        <v>1332</v>
      </c>
      <c r="C115" s="694"/>
      <c r="D115" s="694"/>
      <c r="E115" s="694">
        <v>170</v>
      </c>
      <c r="F115" s="694"/>
      <c r="G115" s="696"/>
      <c r="H115" s="681">
        <f t="shared" si="32"/>
        <v>170</v>
      </c>
      <c r="I115" s="694">
        <f>1000+2323-2323+183692</f>
        <v>184692</v>
      </c>
      <c r="J115" s="694">
        <f>-4262-180600</f>
        <v>-184862</v>
      </c>
      <c r="K115" s="680"/>
      <c r="L115" s="698">
        <f t="shared" si="33"/>
        <v>-170</v>
      </c>
      <c r="M115" s="679"/>
      <c r="N115" s="680"/>
      <c r="O115" s="681"/>
      <c r="P115" s="681">
        <f t="shared" si="34"/>
        <v>0</v>
      </c>
      <c r="Q115" s="665" t="s">
        <v>1080</v>
      </c>
    </row>
    <row r="116" spans="1:17" x14ac:dyDescent="0.25">
      <c r="A116" s="708"/>
      <c r="B116" s="693" t="s">
        <v>1333</v>
      </c>
      <c r="C116" s="694"/>
      <c r="D116" s="694"/>
      <c r="E116" s="694">
        <v>-1300</v>
      </c>
      <c r="F116" s="694"/>
      <c r="G116" s="696"/>
      <c r="H116" s="681">
        <f t="shared" ref="H116" si="36">SUM(C116:G116)</f>
        <v>-1300</v>
      </c>
      <c r="I116" s="694">
        <v>1300</v>
      </c>
      <c r="J116" s="679"/>
      <c r="K116" s="680"/>
      <c r="L116" s="698">
        <f t="shared" ref="L116" si="37">SUM(I116:K116)</f>
        <v>1300</v>
      </c>
      <c r="M116" s="679"/>
      <c r="N116" s="680"/>
      <c r="O116" s="681"/>
      <c r="P116" s="681">
        <f t="shared" si="34"/>
        <v>0</v>
      </c>
      <c r="Q116" s="665" t="s">
        <v>1078</v>
      </c>
    </row>
    <row r="117" spans="1:17" x14ac:dyDescent="0.25">
      <c r="A117" s="708"/>
      <c r="B117" s="693" t="s">
        <v>1177</v>
      </c>
      <c r="C117" s="694"/>
      <c r="D117" s="694"/>
      <c r="E117" s="694">
        <v>17</v>
      </c>
      <c r="F117" s="694"/>
      <c r="G117" s="696"/>
      <c r="H117" s="681">
        <f t="shared" si="32"/>
        <v>17</v>
      </c>
      <c r="I117" s="694">
        <v>-17</v>
      </c>
      <c r="J117" s="679"/>
      <c r="K117" s="680"/>
      <c r="L117" s="698">
        <f t="shared" si="33"/>
        <v>-17</v>
      </c>
      <c r="M117" s="679"/>
      <c r="N117" s="680"/>
      <c r="O117" s="681"/>
      <c r="P117" s="681">
        <f t="shared" si="34"/>
        <v>0</v>
      </c>
      <c r="Q117" s="665" t="s">
        <v>1080</v>
      </c>
    </row>
    <row r="118" spans="1:17" x14ac:dyDescent="0.25">
      <c r="A118" s="734" t="s">
        <v>206</v>
      </c>
      <c r="B118" s="742"/>
      <c r="C118" s="712"/>
      <c r="D118" s="712"/>
      <c r="E118" s="712"/>
      <c r="F118" s="712"/>
      <c r="G118" s="714"/>
      <c r="H118" s="698">
        <f t="shared" ref="H118" si="38">SUM(C118:G118)</f>
        <v>0</v>
      </c>
      <c r="I118" s="712"/>
      <c r="J118" s="722"/>
      <c r="K118" s="714"/>
      <c r="L118" s="698">
        <f t="shared" si="33"/>
        <v>0</v>
      </c>
      <c r="M118" s="722"/>
      <c r="N118" s="723"/>
      <c r="O118" s="698"/>
      <c r="P118" s="698">
        <f t="shared" si="34"/>
        <v>0</v>
      </c>
    </row>
    <row r="119" spans="1:17" x14ac:dyDescent="0.25">
      <c r="A119" s="734"/>
      <c r="B119" s="742"/>
      <c r="C119" s="712"/>
      <c r="D119" s="712"/>
      <c r="E119" s="712"/>
      <c r="F119" s="712"/>
      <c r="G119" s="714"/>
      <c r="H119" s="698"/>
      <c r="I119" s="712"/>
      <c r="J119" s="722"/>
      <c r="K119" s="723"/>
      <c r="L119" s="698"/>
      <c r="M119" s="722"/>
      <c r="N119" s="723"/>
      <c r="O119" s="698"/>
      <c r="P119" s="698"/>
    </row>
    <row r="120" spans="1:17" x14ac:dyDescent="0.25">
      <c r="A120" s="710"/>
      <c r="B120" s="719" t="s">
        <v>768</v>
      </c>
      <c r="C120" s="712"/>
      <c r="D120" s="713"/>
      <c r="E120" s="713"/>
      <c r="F120" s="713"/>
      <c r="G120" s="714"/>
      <c r="H120" s="681"/>
      <c r="I120" s="712"/>
      <c r="J120" s="712"/>
      <c r="K120" s="715"/>
      <c r="L120" s="698"/>
      <c r="M120" s="712"/>
      <c r="N120" s="715"/>
      <c r="O120" s="709"/>
      <c r="P120" s="681"/>
    </row>
    <row r="121" spans="1:17" ht="33.75" customHeight="1" x14ac:dyDescent="0.25">
      <c r="A121" s="710"/>
      <c r="B121" s="711" t="s">
        <v>1163</v>
      </c>
      <c r="C121" s="712"/>
      <c r="D121" s="712"/>
      <c r="E121" s="712"/>
      <c r="F121" s="712"/>
      <c r="G121" s="714"/>
      <c r="H121" s="681"/>
      <c r="I121" s="712"/>
      <c r="J121" s="712"/>
      <c r="K121" s="714"/>
      <c r="L121" s="698"/>
      <c r="M121" s="712"/>
      <c r="N121" s="714"/>
      <c r="O121" s="709"/>
      <c r="P121" s="681"/>
    </row>
    <row r="122" spans="1:17" x14ac:dyDescent="0.25">
      <c r="A122" s="710"/>
      <c r="B122" s="716" t="s">
        <v>1184</v>
      </c>
      <c r="C122" s="712"/>
      <c r="D122" s="712"/>
      <c r="E122" s="712">
        <f>-5755-110</f>
        <v>-5865</v>
      </c>
      <c r="F122" s="712"/>
      <c r="G122" s="714"/>
      <c r="H122" s="698">
        <f>SUM(C122:G122)</f>
        <v>-5865</v>
      </c>
      <c r="I122" s="712">
        <v>5865</v>
      </c>
      <c r="J122" s="712"/>
      <c r="K122" s="714"/>
      <c r="L122" s="698">
        <f>SUM(I122:K122)</f>
        <v>5865</v>
      </c>
      <c r="M122" s="712"/>
      <c r="N122" s="714"/>
      <c r="O122" s="709"/>
      <c r="P122" s="698">
        <f>O122+L122+H122</f>
        <v>0</v>
      </c>
      <c r="Q122" s="665" t="s">
        <v>1078</v>
      </c>
    </row>
    <row r="123" spans="1:17" x14ac:dyDescent="0.25">
      <c r="A123" s="710"/>
      <c r="B123" s="716"/>
      <c r="C123" s="712"/>
      <c r="D123" s="712"/>
      <c r="E123" s="712"/>
      <c r="F123" s="712"/>
      <c r="G123" s="714"/>
      <c r="H123" s="681"/>
      <c r="I123" s="712"/>
      <c r="J123" s="712"/>
      <c r="K123" s="714"/>
      <c r="L123" s="698"/>
      <c r="M123" s="712"/>
      <c r="N123" s="714"/>
      <c r="O123" s="709"/>
      <c r="P123" s="681"/>
    </row>
    <row r="124" spans="1:17" ht="18" customHeight="1" x14ac:dyDescent="0.25">
      <c r="A124" s="710"/>
      <c r="B124" s="717" t="s">
        <v>1079</v>
      </c>
      <c r="C124" s="712"/>
      <c r="D124" s="712"/>
      <c r="E124" s="712"/>
      <c r="F124" s="712"/>
      <c r="G124" s="714"/>
      <c r="H124" s="681"/>
      <c r="I124" s="712"/>
      <c r="J124" s="712"/>
      <c r="K124" s="714"/>
      <c r="L124" s="698"/>
      <c r="M124" s="712"/>
      <c r="N124" s="714"/>
      <c r="O124" s="709"/>
      <c r="P124" s="681"/>
    </row>
    <row r="125" spans="1:17" x14ac:dyDescent="0.25">
      <c r="A125" s="710"/>
      <c r="B125" s="716" t="s">
        <v>1184</v>
      </c>
      <c r="C125" s="712"/>
      <c r="D125" s="712"/>
      <c r="E125" s="712"/>
      <c r="F125" s="712"/>
      <c r="G125" s="714"/>
      <c r="H125" s="698">
        <f>SUM(C125:G125)</f>
        <v>0</v>
      </c>
      <c r="I125" s="712">
        <f>39834+21501+38665</f>
        <v>100000</v>
      </c>
      <c r="J125" s="712"/>
      <c r="K125" s="714"/>
      <c r="L125" s="698">
        <f>SUM(I125:K125)</f>
        <v>100000</v>
      </c>
      <c r="M125" s="712"/>
      <c r="N125" s="714"/>
      <c r="O125" s="709"/>
      <c r="P125" s="698">
        <f>O125+L125+H125</f>
        <v>100000</v>
      </c>
      <c r="Q125" s="665" t="s">
        <v>1078</v>
      </c>
    </row>
    <row r="126" spans="1:17" x14ac:dyDescent="0.25">
      <c r="A126" s="710"/>
      <c r="B126" s="716"/>
      <c r="C126" s="712"/>
      <c r="D126" s="712"/>
      <c r="E126" s="712"/>
      <c r="F126" s="712"/>
      <c r="G126" s="714"/>
      <c r="H126" s="681"/>
      <c r="I126" s="712"/>
      <c r="J126" s="712"/>
      <c r="K126" s="714"/>
      <c r="L126" s="698"/>
      <c r="M126" s="712"/>
      <c r="N126" s="714"/>
      <c r="O126" s="709"/>
      <c r="P126" s="681"/>
    </row>
    <row r="127" spans="1:17" ht="31.5" x14ac:dyDescent="0.25">
      <c r="A127" s="710"/>
      <c r="B127" s="719" t="s">
        <v>138</v>
      </c>
      <c r="C127" s="712"/>
      <c r="D127" s="713"/>
      <c r="E127" s="713"/>
      <c r="F127" s="713"/>
      <c r="G127" s="714"/>
      <c r="H127" s="681"/>
      <c r="I127" s="712"/>
      <c r="J127" s="712"/>
      <c r="K127" s="715"/>
      <c r="L127" s="698"/>
      <c r="M127" s="712"/>
      <c r="N127" s="715"/>
      <c r="O127" s="709"/>
      <c r="P127" s="681"/>
    </row>
    <row r="128" spans="1:17" x14ac:dyDescent="0.25">
      <c r="A128" s="710"/>
      <c r="B128" s="711" t="s">
        <v>1163</v>
      </c>
      <c r="C128" s="712"/>
      <c r="D128" s="712"/>
      <c r="E128" s="712"/>
      <c r="F128" s="712"/>
      <c r="G128" s="714"/>
      <c r="H128" s="681"/>
      <c r="I128" s="712"/>
      <c r="J128" s="712"/>
      <c r="K128" s="714"/>
      <c r="L128" s="698"/>
      <c r="M128" s="712"/>
      <c r="N128" s="714"/>
      <c r="O128" s="709"/>
      <c r="P128" s="681"/>
    </row>
    <row r="129" spans="1:17" x14ac:dyDescent="0.25">
      <c r="A129" s="710"/>
      <c r="B129" s="716"/>
      <c r="C129" s="712"/>
      <c r="D129" s="712"/>
      <c r="E129" s="712"/>
      <c r="F129" s="712"/>
      <c r="G129" s="714"/>
      <c r="H129" s="698">
        <f>SUM(C129:G129)</f>
        <v>0</v>
      </c>
      <c r="I129" s="712"/>
      <c r="J129" s="712"/>
      <c r="K129" s="714"/>
      <c r="L129" s="698">
        <f>SUM(I129:K129)</f>
        <v>0</v>
      </c>
      <c r="M129" s="712"/>
      <c r="N129" s="714"/>
      <c r="O129" s="709"/>
      <c r="P129" s="698">
        <f>O129+L129+H129</f>
        <v>0</v>
      </c>
      <c r="Q129" s="665" t="s">
        <v>1078</v>
      </c>
    </row>
    <row r="130" spans="1:17" x14ac:dyDescent="0.25">
      <c r="A130" s="734"/>
      <c r="B130" s="735"/>
      <c r="C130" s="712"/>
      <c r="D130" s="713"/>
      <c r="E130" s="713"/>
      <c r="F130" s="715"/>
      <c r="G130" s="715"/>
      <c r="H130" s="698"/>
      <c r="I130" s="712"/>
      <c r="J130" s="712"/>
      <c r="K130" s="715"/>
      <c r="L130" s="698"/>
      <c r="M130" s="712"/>
      <c r="N130" s="715"/>
      <c r="O130" s="709"/>
      <c r="P130" s="681"/>
    </row>
    <row r="131" spans="1:17" s="683" customFormat="1" x14ac:dyDescent="0.25">
      <c r="A131" s="710" t="s">
        <v>1085</v>
      </c>
      <c r="B131" s="721" t="s">
        <v>49</v>
      </c>
      <c r="C131" s="722"/>
      <c r="D131" s="722"/>
      <c r="E131" s="722"/>
      <c r="F131" s="722"/>
      <c r="G131" s="723"/>
      <c r="H131" s="698"/>
      <c r="I131" s="722"/>
      <c r="J131" s="722"/>
      <c r="K131" s="723"/>
      <c r="L131" s="698"/>
      <c r="M131" s="722"/>
      <c r="N131" s="723"/>
      <c r="O131" s="698"/>
      <c r="P131" s="698"/>
    </row>
    <row r="132" spans="1:17" x14ac:dyDescent="0.25">
      <c r="A132" s="710"/>
      <c r="B132" s="719" t="s">
        <v>114</v>
      </c>
      <c r="C132" s="712"/>
      <c r="D132" s="713"/>
      <c r="E132" s="713"/>
      <c r="F132" s="713"/>
      <c r="G132" s="714"/>
      <c r="H132" s="681"/>
      <c r="I132" s="712"/>
      <c r="J132" s="712"/>
      <c r="K132" s="715"/>
      <c r="L132" s="698"/>
      <c r="M132" s="712"/>
      <c r="N132" s="715"/>
      <c r="O132" s="709"/>
      <c r="P132" s="681"/>
    </row>
    <row r="133" spans="1:17" x14ac:dyDescent="0.25">
      <c r="A133" s="710"/>
      <c r="B133" s="717" t="s">
        <v>1079</v>
      </c>
      <c r="C133" s="712"/>
      <c r="D133" s="712"/>
      <c r="E133" s="712"/>
      <c r="F133" s="712"/>
      <c r="G133" s="714"/>
      <c r="H133" s="681"/>
      <c r="I133" s="712"/>
      <c r="J133" s="712"/>
      <c r="K133" s="714"/>
      <c r="L133" s="698"/>
      <c r="M133" s="712"/>
      <c r="N133" s="714"/>
      <c r="O133" s="709"/>
      <c r="P133" s="681"/>
    </row>
    <row r="134" spans="1:17" ht="31.5" x14ac:dyDescent="0.25">
      <c r="A134" s="710"/>
      <c r="B134" s="716" t="s">
        <v>1185</v>
      </c>
      <c r="C134" s="712"/>
      <c r="D134" s="712"/>
      <c r="E134" s="712"/>
      <c r="F134" s="712">
        <v>297</v>
      </c>
      <c r="G134" s="714"/>
      <c r="H134" s="698">
        <f>SUM(C134:G134)</f>
        <v>297</v>
      </c>
      <c r="I134" s="712"/>
      <c r="J134" s="712"/>
      <c r="K134" s="714"/>
      <c r="L134" s="698">
        <f>SUM(I134:K134)</f>
        <v>0</v>
      </c>
      <c r="M134" s="712"/>
      <c r="N134" s="714"/>
      <c r="O134" s="709"/>
      <c r="P134" s="698">
        <f>O134+L134+H134</f>
        <v>297</v>
      </c>
      <c r="Q134" s="665" t="s">
        <v>1078</v>
      </c>
    </row>
    <row r="135" spans="1:17" x14ac:dyDescent="0.25">
      <c r="A135" s="710"/>
      <c r="B135" s="716"/>
      <c r="C135" s="712"/>
      <c r="D135" s="712"/>
      <c r="E135" s="712"/>
      <c r="F135" s="712"/>
      <c r="G135" s="714"/>
      <c r="H135" s="681"/>
      <c r="I135" s="712"/>
      <c r="J135" s="712"/>
      <c r="K135" s="714"/>
      <c r="L135" s="698"/>
      <c r="M135" s="712"/>
      <c r="N135" s="714"/>
      <c r="O135" s="709"/>
      <c r="P135" s="681"/>
    </row>
    <row r="136" spans="1:17" ht="50.25" customHeight="1" x14ac:dyDescent="0.25">
      <c r="A136" s="710"/>
      <c r="B136" s="711" t="s">
        <v>1164</v>
      </c>
      <c r="C136" s="712"/>
      <c r="D136" s="712"/>
      <c r="E136" s="712"/>
      <c r="F136" s="712"/>
      <c r="G136" s="714"/>
      <c r="H136" s="681"/>
      <c r="I136" s="712"/>
      <c r="J136" s="712"/>
      <c r="K136" s="714"/>
      <c r="L136" s="698"/>
      <c r="M136" s="712"/>
      <c r="N136" s="714"/>
      <c r="O136" s="709"/>
      <c r="P136" s="681"/>
    </row>
    <row r="137" spans="1:17" ht="31.5" x14ac:dyDescent="0.25">
      <c r="A137" s="710"/>
      <c r="B137" s="716" t="s">
        <v>1334</v>
      </c>
      <c r="C137" s="712"/>
      <c r="D137" s="712"/>
      <c r="E137" s="712">
        <v>579</v>
      </c>
      <c r="F137" s="712"/>
      <c r="G137" s="714"/>
      <c r="H137" s="698">
        <f t="shared" ref="H137" si="39">SUM(C137:G137)</f>
        <v>579</v>
      </c>
      <c r="I137" s="712"/>
      <c r="J137" s="712"/>
      <c r="K137" s="714"/>
      <c r="L137" s="698">
        <f t="shared" ref="L137" si="40">SUM(I137:K137)</f>
        <v>0</v>
      </c>
      <c r="M137" s="712"/>
      <c r="N137" s="714"/>
      <c r="O137" s="709"/>
      <c r="P137" s="698">
        <f t="shared" ref="P137" si="41">O137+L137+H137</f>
        <v>579</v>
      </c>
      <c r="Q137" s="665" t="s">
        <v>1080</v>
      </c>
    </row>
    <row r="138" spans="1:17" x14ac:dyDescent="0.25">
      <c r="A138" s="710"/>
      <c r="B138" s="716"/>
      <c r="C138" s="712"/>
      <c r="D138" s="712"/>
      <c r="E138" s="712"/>
      <c r="F138" s="712"/>
      <c r="G138" s="714"/>
      <c r="H138" s="698"/>
      <c r="I138" s="712"/>
      <c r="J138" s="712"/>
      <c r="K138" s="714"/>
      <c r="L138" s="698"/>
      <c r="M138" s="712"/>
      <c r="N138" s="714"/>
      <c r="O138" s="709"/>
      <c r="P138" s="698"/>
    </row>
    <row r="139" spans="1:17" ht="31.5" x14ac:dyDescent="0.25">
      <c r="A139" s="710"/>
      <c r="B139" s="711" t="s">
        <v>1167</v>
      </c>
      <c r="C139" s="712"/>
      <c r="D139" s="713"/>
      <c r="E139" s="713"/>
      <c r="F139" s="713"/>
      <c r="G139" s="714"/>
      <c r="H139" s="681"/>
      <c r="I139" s="712"/>
      <c r="J139" s="712"/>
      <c r="K139" s="715"/>
      <c r="L139" s="698"/>
      <c r="M139" s="712"/>
      <c r="N139" s="715"/>
      <c r="O139" s="709"/>
      <c r="P139" s="681"/>
    </row>
    <row r="140" spans="1:17" ht="31.5" x14ac:dyDescent="0.25">
      <c r="A140" s="710"/>
      <c r="B140" s="716" t="s">
        <v>1186</v>
      </c>
      <c r="C140" s="712"/>
      <c r="D140" s="713"/>
      <c r="E140" s="713">
        <v>28450</v>
      </c>
      <c r="F140" s="713"/>
      <c r="G140" s="714"/>
      <c r="H140" s="698">
        <f>SUM(C140:G140)</f>
        <v>28450</v>
      </c>
      <c r="I140" s="712"/>
      <c r="J140" s="712"/>
      <c r="K140" s="715"/>
      <c r="L140" s="698">
        <f>SUM(I140:K140)</f>
        <v>0</v>
      </c>
      <c r="M140" s="712"/>
      <c r="N140" s="715"/>
      <c r="O140" s="709"/>
      <c r="P140" s="698">
        <f>O140+L140+H140</f>
        <v>28450</v>
      </c>
      <c r="Q140" s="665" t="s">
        <v>1078</v>
      </c>
    </row>
    <row r="141" spans="1:17" x14ac:dyDescent="0.25">
      <c r="A141" s="710"/>
      <c r="B141" s="716"/>
      <c r="C141" s="712"/>
      <c r="D141" s="713"/>
      <c r="E141" s="713"/>
      <c r="F141" s="713"/>
      <c r="G141" s="714"/>
      <c r="H141" s="698">
        <f>SUM(C141:G141)</f>
        <v>0</v>
      </c>
      <c r="I141" s="712"/>
      <c r="J141" s="712"/>
      <c r="K141" s="715"/>
      <c r="L141" s="698">
        <f>SUM(I141:K141)</f>
        <v>0</v>
      </c>
      <c r="M141" s="712"/>
      <c r="N141" s="715"/>
      <c r="O141" s="709"/>
      <c r="P141" s="698">
        <f>O141+L141+H141</f>
        <v>0</v>
      </c>
    </row>
    <row r="142" spans="1:17" x14ac:dyDescent="0.25">
      <c r="A142" s="710"/>
      <c r="B142" s="716"/>
      <c r="C142" s="712"/>
      <c r="D142" s="713"/>
      <c r="E142" s="713"/>
      <c r="F142" s="713"/>
      <c r="G142" s="714"/>
      <c r="H142" s="681"/>
      <c r="I142" s="712"/>
      <c r="J142" s="712"/>
      <c r="K142" s="715"/>
      <c r="L142" s="698"/>
      <c r="M142" s="712"/>
      <c r="N142" s="715"/>
      <c r="O142" s="709"/>
      <c r="P142" s="681"/>
    </row>
    <row r="143" spans="1:17" x14ac:dyDescent="0.25">
      <c r="A143" s="710"/>
      <c r="B143" s="711" t="s">
        <v>1163</v>
      </c>
      <c r="C143" s="712"/>
      <c r="D143" s="713"/>
      <c r="E143" s="713"/>
      <c r="F143" s="713"/>
      <c r="G143" s="714"/>
      <c r="H143" s="681"/>
      <c r="I143" s="712"/>
      <c r="J143" s="712"/>
      <c r="K143" s="715"/>
      <c r="L143" s="698"/>
      <c r="M143" s="712"/>
      <c r="N143" s="715"/>
      <c r="O143" s="709"/>
      <c r="P143" s="681"/>
    </row>
    <row r="144" spans="1:17" x14ac:dyDescent="0.25">
      <c r="A144" s="708"/>
      <c r="B144" s="735"/>
      <c r="C144" s="694"/>
      <c r="D144" s="694"/>
      <c r="E144" s="694"/>
      <c r="F144" s="694"/>
      <c r="G144" s="696"/>
      <c r="H144" s="681">
        <f>SUM(C144:G144)</f>
        <v>0</v>
      </c>
      <c r="I144" s="679"/>
      <c r="J144" s="679"/>
      <c r="K144" s="696"/>
      <c r="L144" s="698">
        <f>SUM(I144:K144)</f>
        <v>0</v>
      </c>
      <c r="M144" s="679"/>
      <c r="N144" s="680"/>
      <c r="O144" s="681"/>
      <c r="P144" s="681">
        <f>O144+L144+H144</f>
        <v>0</v>
      </c>
    </row>
    <row r="145" spans="1:17" x14ac:dyDescent="0.25">
      <c r="A145" s="710"/>
      <c r="B145" s="716"/>
      <c r="C145" s="712"/>
      <c r="D145" s="713"/>
      <c r="E145" s="713"/>
      <c r="F145" s="713"/>
      <c r="G145" s="714"/>
      <c r="H145" s="681"/>
      <c r="I145" s="712"/>
      <c r="J145" s="712"/>
      <c r="K145" s="715"/>
      <c r="L145" s="698"/>
      <c r="M145" s="712"/>
      <c r="N145" s="715"/>
      <c r="O145" s="709"/>
      <c r="P145" s="681"/>
    </row>
    <row r="146" spans="1:17" x14ac:dyDescent="0.25">
      <c r="A146" s="710"/>
      <c r="B146" s="719" t="s">
        <v>378</v>
      </c>
      <c r="C146" s="712"/>
      <c r="D146" s="713"/>
      <c r="E146" s="713"/>
      <c r="F146" s="713"/>
      <c r="G146" s="714"/>
      <c r="H146" s="681"/>
      <c r="I146" s="712"/>
      <c r="J146" s="712"/>
      <c r="K146" s="715"/>
      <c r="L146" s="698"/>
      <c r="M146" s="712"/>
      <c r="N146" s="715"/>
      <c r="O146" s="709"/>
      <c r="P146" s="681"/>
    </row>
    <row r="147" spans="1:17" s="683" customFormat="1" x14ac:dyDescent="0.25">
      <c r="A147" s="710" t="s">
        <v>1187</v>
      </c>
      <c r="B147" s="743" t="s">
        <v>1188</v>
      </c>
      <c r="C147" s="722"/>
      <c r="D147" s="722"/>
      <c r="E147" s="722"/>
      <c r="F147" s="722"/>
      <c r="G147" s="723"/>
      <c r="H147" s="698"/>
      <c r="I147" s="722"/>
      <c r="J147" s="722"/>
      <c r="K147" s="723"/>
      <c r="L147" s="698"/>
      <c r="M147" s="722"/>
      <c r="N147" s="723"/>
      <c r="O147" s="698"/>
      <c r="P147" s="698"/>
    </row>
    <row r="148" spans="1:17" x14ac:dyDescent="0.25">
      <c r="A148" s="710"/>
      <c r="B148" s="719" t="s">
        <v>116</v>
      </c>
      <c r="C148" s="712"/>
      <c r="D148" s="713"/>
      <c r="E148" s="713"/>
      <c r="F148" s="713"/>
      <c r="G148" s="714"/>
      <c r="H148" s="681"/>
      <c r="I148" s="712"/>
      <c r="J148" s="712"/>
      <c r="K148" s="715"/>
      <c r="L148" s="698"/>
      <c r="M148" s="712"/>
      <c r="N148" s="715"/>
      <c r="O148" s="709"/>
      <c r="P148" s="681"/>
    </row>
    <row r="149" spans="1:17" ht="33.75" customHeight="1" x14ac:dyDescent="0.25">
      <c r="A149" s="710"/>
      <c r="B149" s="711" t="s">
        <v>1163</v>
      </c>
      <c r="C149" s="712"/>
      <c r="D149" s="713"/>
      <c r="E149" s="713"/>
      <c r="F149" s="713"/>
      <c r="G149" s="714"/>
      <c r="H149" s="681"/>
      <c r="I149" s="712"/>
      <c r="J149" s="712"/>
      <c r="K149" s="715"/>
      <c r="L149" s="698"/>
      <c r="M149" s="712"/>
      <c r="N149" s="715"/>
      <c r="O149" s="709"/>
      <c r="P149" s="681"/>
    </row>
    <row r="150" spans="1:17" x14ac:dyDescent="0.25">
      <c r="A150" s="708"/>
      <c r="B150" s="716" t="s">
        <v>1189</v>
      </c>
      <c r="C150" s="694"/>
      <c r="D150" s="694"/>
      <c r="E150" s="694"/>
      <c r="F150" s="694"/>
      <c r="G150" s="696">
        <v>330000</v>
      </c>
      <c r="H150" s="681">
        <f>SUM(C150:G150)</f>
        <v>330000</v>
      </c>
      <c r="I150" s="694">
        <v>-330000</v>
      </c>
      <c r="J150" s="679"/>
      <c r="K150" s="696"/>
      <c r="L150" s="698">
        <f>SUM(I150:K150)</f>
        <v>-330000</v>
      </c>
      <c r="M150" s="679"/>
      <c r="N150" s="680"/>
      <c r="O150" s="681"/>
      <c r="P150" s="681">
        <f>O150+L150+H150</f>
        <v>0</v>
      </c>
      <c r="Q150" s="665" t="s">
        <v>1078</v>
      </c>
    </row>
    <row r="151" spans="1:17" x14ac:dyDescent="0.25">
      <c r="A151" s="708"/>
      <c r="B151" s="716"/>
      <c r="C151" s="694"/>
      <c r="D151" s="694"/>
      <c r="E151" s="694"/>
      <c r="F151" s="694"/>
      <c r="G151" s="696"/>
      <c r="H151" s="681"/>
      <c r="I151" s="679"/>
      <c r="J151" s="679"/>
      <c r="K151" s="696"/>
      <c r="L151" s="698"/>
      <c r="M151" s="679"/>
      <c r="N151" s="680"/>
      <c r="O151" s="681"/>
      <c r="P151" s="681"/>
    </row>
    <row r="152" spans="1:17" ht="31.5" x14ac:dyDescent="0.25">
      <c r="A152" s="710"/>
      <c r="B152" s="711" t="s">
        <v>1167</v>
      </c>
      <c r="C152" s="712"/>
      <c r="D152" s="712"/>
      <c r="E152" s="712"/>
      <c r="F152" s="712"/>
      <c r="G152" s="714"/>
      <c r="H152" s="681"/>
      <c r="I152" s="712"/>
      <c r="J152" s="712"/>
      <c r="K152" s="714"/>
      <c r="L152" s="698"/>
      <c r="M152" s="712"/>
      <c r="N152" s="714"/>
      <c r="O152" s="709"/>
      <c r="P152" s="681"/>
    </row>
    <row r="153" spans="1:17" x14ac:dyDescent="0.25">
      <c r="A153" s="710"/>
      <c r="B153" s="716" t="s">
        <v>1189</v>
      </c>
      <c r="C153" s="694"/>
      <c r="D153" s="712"/>
      <c r="E153" s="712"/>
      <c r="F153" s="712"/>
      <c r="G153" s="714">
        <v>201586</v>
      </c>
      <c r="H153" s="698">
        <f>SUM(C153:G153)</f>
        <v>201586</v>
      </c>
      <c r="I153" s="712"/>
      <c r="J153" s="712"/>
      <c r="K153" s="714"/>
      <c r="L153" s="698">
        <f>SUM(I153:K153)</f>
        <v>0</v>
      </c>
      <c r="M153" s="712"/>
      <c r="N153" s="714"/>
      <c r="O153" s="709"/>
      <c r="P153" s="698">
        <f>O153+L153+H153</f>
        <v>201586</v>
      </c>
      <c r="Q153" s="665" t="s">
        <v>1078</v>
      </c>
    </row>
    <row r="154" spans="1:17" s="683" customFormat="1" x14ac:dyDescent="0.25">
      <c r="A154" s="710"/>
      <c r="B154" s="745"/>
      <c r="C154" s="722"/>
      <c r="D154" s="722"/>
      <c r="E154" s="722"/>
      <c r="F154" s="722"/>
      <c r="G154" s="723"/>
      <c r="H154" s="681"/>
      <c r="I154" s="722"/>
      <c r="J154" s="722"/>
      <c r="K154" s="723"/>
      <c r="L154" s="698"/>
      <c r="M154" s="722"/>
      <c r="N154" s="723"/>
      <c r="O154" s="698"/>
      <c r="P154" s="681"/>
    </row>
    <row r="155" spans="1:17" x14ac:dyDescent="0.25">
      <c r="A155" s="710"/>
      <c r="B155" s="719" t="s">
        <v>447</v>
      </c>
      <c r="C155" s="712"/>
      <c r="D155" s="713"/>
      <c r="E155" s="713"/>
      <c r="F155" s="713"/>
      <c r="G155" s="714"/>
      <c r="H155" s="681"/>
      <c r="I155" s="712"/>
      <c r="J155" s="712"/>
      <c r="K155" s="715"/>
      <c r="L155" s="698"/>
      <c r="M155" s="712"/>
      <c r="N155" s="715"/>
      <c r="O155" s="709"/>
      <c r="P155" s="681"/>
    </row>
    <row r="156" spans="1:17" x14ac:dyDescent="0.25">
      <c r="A156" s="710"/>
      <c r="B156" s="717" t="s">
        <v>1079</v>
      </c>
      <c r="C156" s="712"/>
      <c r="D156" s="712"/>
      <c r="E156" s="712"/>
      <c r="F156" s="712"/>
      <c r="G156" s="714"/>
      <c r="H156" s="681"/>
      <c r="I156" s="712"/>
      <c r="J156" s="712"/>
      <c r="K156" s="714"/>
      <c r="L156" s="698"/>
      <c r="M156" s="712"/>
      <c r="N156" s="714"/>
      <c r="O156" s="709"/>
      <c r="P156" s="681"/>
    </row>
    <row r="157" spans="1:17" x14ac:dyDescent="0.25">
      <c r="A157" s="710"/>
      <c r="B157" s="716" t="s">
        <v>1190</v>
      </c>
      <c r="C157" s="712"/>
      <c r="D157" s="712"/>
      <c r="E157" s="712"/>
      <c r="F157" s="712"/>
      <c r="G157" s="714">
        <v>55594</v>
      </c>
      <c r="H157" s="698">
        <f>SUM(C157:G157)</f>
        <v>55594</v>
      </c>
      <c r="I157" s="712"/>
      <c r="J157" s="712"/>
      <c r="K157" s="714"/>
      <c r="L157" s="698">
        <f>SUM(I157:K157)</f>
        <v>0</v>
      </c>
      <c r="M157" s="712"/>
      <c r="N157" s="714"/>
      <c r="O157" s="709"/>
      <c r="P157" s="698">
        <f>O157+L157+H157</f>
        <v>55594</v>
      </c>
      <c r="Q157" s="665" t="s">
        <v>1080</v>
      </c>
    </row>
    <row r="158" spans="1:17" x14ac:dyDescent="0.25">
      <c r="A158" s="710"/>
      <c r="B158" s="716"/>
      <c r="C158" s="712"/>
      <c r="D158" s="712"/>
      <c r="E158" s="712"/>
      <c r="F158" s="712"/>
      <c r="G158" s="714"/>
      <c r="H158" s="681"/>
      <c r="I158" s="712"/>
      <c r="J158" s="712"/>
      <c r="K158" s="714"/>
      <c r="L158" s="698"/>
      <c r="M158" s="712"/>
      <c r="N158" s="714"/>
      <c r="O158" s="709"/>
      <c r="P158" s="681"/>
    </row>
    <row r="159" spans="1:17" ht="31.5" x14ac:dyDescent="0.25">
      <c r="A159" s="710"/>
      <c r="B159" s="717" t="s">
        <v>1167</v>
      </c>
      <c r="C159" s="712"/>
      <c r="D159" s="712"/>
      <c r="E159" s="712"/>
      <c r="F159" s="712"/>
      <c r="G159" s="714"/>
      <c r="H159" s="681"/>
      <c r="I159" s="712"/>
      <c r="J159" s="712"/>
      <c r="K159" s="714"/>
      <c r="L159" s="698"/>
      <c r="M159" s="712"/>
      <c r="N159" s="714"/>
      <c r="O159" s="709"/>
      <c r="P159" s="681"/>
    </row>
    <row r="160" spans="1:17" x14ac:dyDescent="0.25">
      <c r="A160" s="710"/>
      <c r="B160" s="716"/>
      <c r="C160" s="712"/>
      <c r="D160" s="712"/>
      <c r="E160" s="712"/>
      <c r="F160" s="712"/>
      <c r="G160" s="714"/>
      <c r="H160" s="698">
        <f>SUM(C160:G160)</f>
        <v>0</v>
      </c>
      <c r="I160" s="712"/>
      <c r="J160" s="712"/>
      <c r="K160" s="714"/>
      <c r="L160" s="698">
        <f>SUM(I160:K160)</f>
        <v>0</v>
      </c>
      <c r="M160" s="712"/>
      <c r="N160" s="714"/>
      <c r="O160" s="709"/>
      <c r="P160" s="698">
        <f>O160+L160+H160</f>
        <v>0</v>
      </c>
    </row>
    <row r="161" spans="1:17" x14ac:dyDescent="0.25">
      <c r="A161" s="710"/>
      <c r="B161" s="716"/>
      <c r="C161" s="712"/>
      <c r="D161" s="712"/>
      <c r="E161" s="712"/>
      <c r="F161" s="712"/>
      <c r="G161" s="714"/>
      <c r="H161" s="681"/>
      <c r="I161" s="712"/>
      <c r="J161" s="712"/>
      <c r="K161" s="714"/>
      <c r="L161" s="698"/>
      <c r="M161" s="712"/>
      <c r="N161" s="714"/>
      <c r="O161" s="709"/>
      <c r="P161" s="681"/>
    </row>
    <row r="162" spans="1:17" x14ac:dyDescent="0.25">
      <c r="A162" s="710"/>
      <c r="B162" s="719" t="s">
        <v>724</v>
      </c>
      <c r="C162" s="712"/>
      <c r="D162" s="713"/>
      <c r="E162" s="713"/>
      <c r="F162" s="713"/>
      <c r="G162" s="714"/>
      <c r="H162" s="698"/>
      <c r="I162" s="712"/>
      <c r="J162" s="712"/>
      <c r="K162" s="715"/>
      <c r="L162" s="698"/>
      <c r="M162" s="712"/>
      <c r="N162" s="715"/>
      <c r="O162" s="709"/>
      <c r="P162" s="698"/>
    </row>
    <row r="163" spans="1:17" ht="31.5" x14ac:dyDescent="0.25">
      <c r="A163" s="710"/>
      <c r="B163" s="717" t="s">
        <v>1167</v>
      </c>
      <c r="C163" s="712"/>
      <c r="D163" s="712"/>
      <c r="E163" s="712"/>
      <c r="F163" s="712"/>
      <c r="G163" s="714"/>
      <c r="H163" s="698"/>
      <c r="I163" s="712"/>
      <c r="J163" s="712"/>
      <c r="K163" s="714"/>
      <c r="L163" s="698"/>
      <c r="M163" s="712"/>
      <c r="N163" s="714"/>
      <c r="O163" s="709"/>
      <c r="P163" s="698"/>
    </row>
    <row r="164" spans="1:17" ht="47.25" x14ac:dyDescent="0.25">
      <c r="A164" s="710"/>
      <c r="B164" s="735" t="s">
        <v>1335</v>
      </c>
      <c r="C164" s="712"/>
      <c r="D164" s="712"/>
      <c r="E164" s="712">
        <v>-11176</v>
      </c>
      <c r="F164" s="712"/>
      <c r="G164" s="714"/>
      <c r="H164" s="681">
        <f>SUM(C164:G164)</f>
        <v>-11176</v>
      </c>
      <c r="I164" s="712"/>
      <c r="J164" s="712"/>
      <c r="K164" s="714"/>
      <c r="L164" s="698">
        <f>SUM(I164:K164)</f>
        <v>0</v>
      </c>
      <c r="M164" s="712"/>
      <c r="N164" s="714"/>
      <c r="O164" s="709"/>
      <c r="P164" s="681">
        <f>O164+L164+H164</f>
        <v>-11176</v>
      </c>
      <c r="Q164" s="665" t="s">
        <v>1078</v>
      </c>
    </row>
    <row r="165" spans="1:17" x14ac:dyDescent="0.25">
      <c r="A165" s="710"/>
      <c r="B165" s="716"/>
      <c r="C165" s="712"/>
      <c r="D165" s="712"/>
      <c r="E165" s="712"/>
      <c r="F165" s="712"/>
      <c r="G165" s="714"/>
      <c r="H165" s="698"/>
      <c r="I165" s="712"/>
      <c r="J165" s="712"/>
      <c r="K165" s="714"/>
      <c r="L165" s="698"/>
      <c r="M165" s="712"/>
      <c r="N165" s="714"/>
      <c r="O165" s="709"/>
      <c r="P165" s="681"/>
    </row>
    <row r="166" spans="1:17" s="683" customFormat="1" x14ac:dyDescent="0.25">
      <c r="A166" s="710" t="s">
        <v>119</v>
      </c>
      <c r="B166" s="721" t="s">
        <v>50</v>
      </c>
      <c r="C166" s="722"/>
      <c r="D166" s="722"/>
      <c r="E166" s="722"/>
      <c r="F166" s="722"/>
      <c r="G166" s="722"/>
      <c r="H166" s="698"/>
      <c r="I166" s="722"/>
      <c r="J166" s="722"/>
      <c r="K166" s="722"/>
      <c r="L166" s="698"/>
      <c r="M166" s="722"/>
      <c r="N166" s="722"/>
      <c r="O166" s="698"/>
      <c r="P166" s="681"/>
    </row>
    <row r="167" spans="1:17" x14ac:dyDescent="0.25">
      <c r="A167" s="710"/>
      <c r="B167" s="719" t="s">
        <v>120</v>
      </c>
      <c r="C167" s="712"/>
      <c r="D167" s="713"/>
      <c r="E167" s="713"/>
      <c r="F167" s="713"/>
      <c r="G167" s="714"/>
      <c r="H167" s="698"/>
      <c r="I167" s="712"/>
      <c r="J167" s="712"/>
      <c r="K167" s="715"/>
      <c r="L167" s="698"/>
      <c r="M167" s="712"/>
      <c r="N167" s="715"/>
      <c r="O167" s="709"/>
      <c r="P167" s="698"/>
    </row>
    <row r="168" spans="1:17" ht="50.25" customHeight="1" x14ac:dyDescent="0.25">
      <c r="A168" s="710"/>
      <c r="B168" s="717" t="s">
        <v>1167</v>
      </c>
      <c r="C168" s="712"/>
      <c r="D168" s="712"/>
      <c r="E168" s="712"/>
      <c r="F168" s="712"/>
      <c r="G168" s="714"/>
      <c r="H168" s="681"/>
      <c r="I168" s="712"/>
      <c r="J168" s="712"/>
      <c r="K168" s="714"/>
      <c r="L168" s="698"/>
      <c r="M168" s="712"/>
      <c r="N168" s="714"/>
      <c r="O168" s="709"/>
      <c r="P168" s="681"/>
    </row>
    <row r="169" spans="1:17" ht="31.5" x14ac:dyDescent="0.25">
      <c r="A169" s="710"/>
      <c r="B169" s="735" t="s">
        <v>1336</v>
      </c>
      <c r="C169" s="712"/>
      <c r="D169" s="712"/>
      <c r="E169" s="712"/>
      <c r="F169" s="712"/>
      <c r="G169" s="714">
        <v>7987</v>
      </c>
      <c r="H169" s="681">
        <f>SUM(C169:G169)</f>
        <v>7987</v>
      </c>
      <c r="I169" s="712"/>
      <c r="J169" s="712"/>
      <c r="K169" s="714"/>
      <c r="L169" s="698">
        <f>SUM(I169:K169)</f>
        <v>0</v>
      </c>
      <c r="M169" s="712"/>
      <c r="N169" s="714"/>
      <c r="O169" s="709"/>
      <c r="P169" s="681">
        <f>O169+L169+H169</f>
        <v>7987</v>
      </c>
      <c r="Q169" s="665" t="s">
        <v>1080</v>
      </c>
    </row>
    <row r="170" spans="1:17" x14ac:dyDescent="0.25">
      <c r="A170" s="710"/>
      <c r="B170" s="735"/>
      <c r="C170" s="712"/>
      <c r="D170" s="712"/>
      <c r="E170" s="712"/>
      <c r="F170" s="712"/>
      <c r="G170" s="714"/>
      <c r="H170" s="681">
        <f>SUM(C170:G170)</f>
        <v>0</v>
      </c>
      <c r="I170" s="712"/>
      <c r="J170" s="712"/>
      <c r="K170" s="714"/>
      <c r="L170" s="698">
        <f>SUM(I170:K170)</f>
        <v>0</v>
      </c>
      <c r="M170" s="712"/>
      <c r="N170" s="714"/>
      <c r="O170" s="709"/>
      <c r="P170" s="681">
        <f>O170+L170+H170</f>
        <v>0</v>
      </c>
    </row>
    <row r="171" spans="1:17" x14ac:dyDescent="0.25">
      <c r="A171" s="710"/>
      <c r="B171" s="717" t="s">
        <v>1081</v>
      </c>
      <c r="C171" s="712"/>
      <c r="D171" s="712"/>
      <c r="E171" s="712"/>
      <c r="F171" s="712"/>
      <c r="G171" s="714"/>
      <c r="H171" s="698"/>
      <c r="I171" s="712"/>
      <c r="J171" s="712"/>
      <c r="K171" s="714"/>
      <c r="L171" s="698"/>
      <c r="M171" s="712"/>
      <c r="N171" s="714"/>
      <c r="O171" s="709"/>
      <c r="P171" s="698"/>
    </row>
    <row r="172" spans="1:17" ht="33.75" customHeight="1" x14ac:dyDescent="0.25">
      <c r="A172" s="710"/>
      <c r="B172" s="735" t="s">
        <v>1337</v>
      </c>
      <c r="C172" s="712"/>
      <c r="D172" s="712"/>
      <c r="E172" s="712"/>
      <c r="F172" s="712"/>
      <c r="G172" s="714">
        <v>-150</v>
      </c>
      <c r="H172" s="698">
        <f>SUM(C172:G172)</f>
        <v>-150</v>
      </c>
      <c r="I172" s="712"/>
      <c r="J172" s="712"/>
      <c r="K172" s="714"/>
      <c r="L172" s="698">
        <f>SUM(I172:K172)</f>
        <v>0</v>
      </c>
      <c r="M172" s="712"/>
      <c r="N172" s="714"/>
      <c r="O172" s="709"/>
      <c r="P172" s="698">
        <f>O172+L172+H172</f>
        <v>-150</v>
      </c>
      <c r="Q172" s="665" t="s">
        <v>1080</v>
      </c>
    </row>
    <row r="173" spans="1:17" x14ac:dyDescent="0.25">
      <c r="A173" s="708"/>
      <c r="B173" s="693"/>
      <c r="C173" s="694"/>
      <c r="D173" s="694"/>
      <c r="E173" s="694"/>
      <c r="F173" s="694"/>
      <c r="G173" s="696"/>
      <c r="H173" s="681"/>
      <c r="I173" s="679"/>
      <c r="J173" s="679"/>
      <c r="K173" s="696"/>
      <c r="L173" s="698"/>
      <c r="M173" s="679"/>
      <c r="N173" s="680"/>
      <c r="O173" s="681"/>
      <c r="P173" s="681"/>
    </row>
    <row r="174" spans="1:17" ht="34.5" customHeight="1" x14ac:dyDescent="0.25">
      <c r="A174" s="710"/>
      <c r="B174" s="711" t="s">
        <v>1163</v>
      </c>
      <c r="C174" s="712"/>
      <c r="D174" s="713"/>
      <c r="E174" s="713"/>
      <c r="F174" s="713"/>
      <c r="G174" s="714"/>
      <c r="H174" s="681"/>
      <c r="I174" s="712"/>
      <c r="J174" s="712"/>
      <c r="K174" s="715"/>
      <c r="L174" s="698"/>
      <c r="M174" s="712"/>
      <c r="N174" s="715"/>
      <c r="O174" s="709"/>
      <c r="P174" s="681"/>
    </row>
    <row r="175" spans="1:17" ht="47.25" x14ac:dyDescent="0.25">
      <c r="A175" s="710"/>
      <c r="B175" s="716" t="s">
        <v>1338</v>
      </c>
      <c r="C175" s="712"/>
      <c r="D175" s="713"/>
      <c r="E175" s="713"/>
      <c r="F175" s="713"/>
      <c r="G175" s="714">
        <v>-27100</v>
      </c>
      <c r="H175" s="681">
        <f t="shared" ref="H175" si="42">SUM(C175:G175)</f>
        <v>-27100</v>
      </c>
      <c r="I175" s="712"/>
      <c r="J175" s="712"/>
      <c r="K175" s="715">
        <v>27100</v>
      </c>
      <c r="L175" s="698">
        <f t="shared" ref="L175:L176" si="43">SUM(I175:K175)</f>
        <v>27100</v>
      </c>
      <c r="M175" s="712"/>
      <c r="N175" s="715"/>
      <c r="O175" s="709"/>
      <c r="P175" s="681">
        <f t="shared" ref="P175:P176" si="44">O175+L175+H175</f>
        <v>0</v>
      </c>
      <c r="Q175" s="665" t="s">
        <v>1080</v>
      </c>
    </row>
    <row r="176" spans="1:17" x14ac:dyDescent="0.25">
      <c r="A176" s="710"/>
      <c r="B176" s="716"/>
      <c r="C176" s="712"/>
      <c r="D176" s="713"/>
      <c r="E176" s="713"/>
      <c r="F176" s="713"/>
      <c r="G176" s="714"/>
      <c r="H176" s="681">
        <f t="shared" ref="H176" si="45">SUM(C176:G176)</f>
        <v>0</v>
      </c>
      <c r="I176" s="712"/>
      <c r="J176" s="712"/>
      <c r="K176" s="715"/>
      <c r="L176" s="698">
        <f t="shared" si="43"/>
        <v>0</v>
      </c>
      <c r="M176" s="712"/>
      <c r="N176" s="715"/>
      <c r="O176" s="709"/>
      <c r="P176" s="681">
        <f t="shared" si="44"/>
        <v>0</v>
      </c>
    </row>
    <row r="177" spans="1:17" ht="33" customHeight="1" x14ac:dyDescent="0.25">
      <c r="A177" s="710"/>
      <c r="B177" s="719" t="s">
        <v>121</v>
      </c>
      <c r="C177" s="712"/>
      <c r="D177" s="713"/>
      <c r="E177" s="713"/>
      <c r="F177" s="713"/>
      <c r="G177" s="714"/>
      <c r="H177" s="681"/>
      <c r="I177" s="712"/>
      <c r="J177" s="712"/>
      <c r="K177" s="715"/>
      <c r="L177" s="698"/>
      <c r="M177" s="712"/>
      <c r="N177" s="715"/>
      <c r="O177" s="709"/>
      <c r="P177" s="681"/>
    </row>
    <row r="178" spans="1:17" ht="36.75" customHeight="1" x14ac:dyDescent="0.25">
      <c r="A178" s="710"/>
      <c r="B178" s="711" t="s">
        <v>1167</v>
      </c>
      <c r="C178" s="712"/>
      <c r="D178" s="713"/>
      <c r="E178" s="713"/>
      <c r="F178" s="713"/>
      <c r="G178" s="714"/>
      <c r="H178" s="681"/>
      <c r="I178" s="712"/>
      <c r="J178" s="712"/>
      <c r="K178" s="715"/>
      <c r="L178" s="698"/>
      <c r="M178" s="712"/>
      <c r="N178" s="715"/>
      <c r="O178" s="709"/>
      <c r="P178" s="681"/>
    </row>
    <row r="179" spans="1:17" x14ac:dyDescent="0.25">
      <c r="A179" s="724"/>
      <c r="B179" s="747"/>
      <c r="C179" s="712"/>
      <c r="D179" s="713"/>
      <c r="E179" s="713"/>
      <c r="F179" s="713"/>
      <c r="G179" s="714"/>
      <c r="H179" s="681">
        <f t="shared" ref="H179" si="46">SUM(C179:G179)</f>
        <v>0</v>
      </c>
      <c r="I179" s="712"/>
      <c r="J179" s="712"/>
      <c r="K179" s="715"/>
      <c r="L179" s="698">
        <f t="shared" ref="L179" si="47">SUM(I179:K179)</f>
        <v>0</v>
      </c>
      <c r="M179" s="712"/>
      <c r="N179" s="715"/>
      <c r="O179" s="709"/>
      <c r="P179" s="681">
        <f t="shared" ref="P179" si="48">O179+L179+H179</f>
        <v>0</v>
      </c>
      <c r="Q179" s="665" t="s">
        <v>1080</v>
      </c>
    </row>
    <row r="180" spans="1:17" ht="30.75" customHeight="1" x14ac:dyDescent="0.25">
      <c r="A180" s="710"/>
      <c r="B180" s="711" t="s">
        <v>1163</v>
      </c>
      <c r="C180" s="712"/>
      <c r="D180" s="713"/>
      <c r="E180" s="713"/>
      <c r="F180" s="713"/>
      <c r="G180" s="714"/>
      <c r="H180" s="698"/>
      <c r="I180" s="712"/>
      <c r="J180" s="712"/>
      <c r="K180" s="715"/>
      <c r="L180" s="698"/>
      <c r="M180" s="712"/>
      <c r="N180" s="715"/>
      <c r="O180" s="709"/>
      <c r="P180" s="698"/>
    </row>
    <row r="181" spans="1:17" x14ac:dyDescent="0.25">
      <c r="A181" s="710"/>
      <c r="B181" s="716"/>
      <c r="C181" s="712"/>
      <c r="D181" s="713"/>
      <c r="E181" s="713"/>
      <c r="F181" s="713"/>
      <c r="G181" s="714"/>
      <c r="H181" s="681">
        <f t="shared" ref="H181" si="49">SUM(C181:G181)</f>
        <v>0</v>
      </c>
      <c r="I181" s="712"/>
      <c r="J181" s="712"/>
      <c r="K181" s="715"/>
      <c r="L181" s="698">
        <f t="shared" ref="L181" si="50">SUM(I181:K181)</f>
        <v>0</v>
      </c>
      <c r="M181" s="712"/>
      <c r="N181" s="715"/>
      <c r="O181" s="709"/>
      <c r="P181" s="681">
        <f t="shared" ref="P181" si="51">O181+L181+H181</f>
        <v>0</v>
      </c>
      <c r="Q181" s="665" t="s">
        <v>1080</v>
      </c>
    </row>
    <row r="182" spans="1:17" x14ac:dyDescent="0.25">
      <c r="A182" s="710"/>
      <c r="B182" s="717" t="s">
        <v>1081</v>
      </c>
      <c r="C182" s="712"/>
      <c r="D182" s="713"/>
      <c r="E182" s="713"/>
      <c r="F182" s="713"/>
      <c r="G182" s="714"/>
      <c r="H182" s="681"/>
      <c r="I182" s="712"/>
      <c r="J182" s="712"/>
      <c r="K182" s="715"/>
      <c r="L182" s="698"/>
      <c r="M182" s="712"/>
      <c r="N182" s="715"/>
      <c r="O182" s="709"/>
      <c r="P182" s="681"/>
    </row>
    <row r="183" spans="1:17" x14ac:dyDescent="0.25">
      <c r="A183" s="710"/>
      <c r="B183" s="748"/>
      <c r="C183" s="712"/>
      <c r="D183" s="713"/>
      <c r="E183" s="713"/>
      <c r="F183" s="713"/>
      <c r="G183" s="714"/>
      <c r="H183" s="681">
        <f t="shared" ref="H183" si="52">SUM(C183:G183)</f>
        <v>0</v>
      </c>
      <c r="I183" s="712"/>
      <c r="J183" s="712"/>
      <c r="K183" s="715"/>
      <c r="L183" s="698">
        <f t="shared" ref="L183" si="53">SUM(I183:K183)</f>
        <v>0</v>
      </c>
      <c r="M183" s="712"/>
      <c r="N183" s="715"/>
      <c r="O183" s="709"/>
      <c r="P183" s="681">
        <f t="shared" ref="P183" si="54">O183+L183+H183</f>
        <v>0</v>
      </c>
      <c r="Q183" s="665" t="s">
        <v>1080</v>
      </c>
    </row>
    <row r="184" spans="1:17" x14ac:dyDescent="0.25">
      <c r="A184" s="710"/>
      <c r="B184" s="719" t="s">
        <v>122</v>
      </c>
      <c r="C184" s="712"/>
      <c r="D184" s="713"/>
      <c r="E184" s="713"/>
      <c r="F184" s="713"/>
      <c r="G184" s="714"/>
      <c r="H184" s="681"/>
      <c r="I184" s="712"/>
      <c r="J184" s="712"/>
      <c r="K184" s="715"/>
      <c r="L184" s="698"/>
      <c r="M184" s="712"/>
      <c r="N184" s="715"/>
      <c r="O184" s="709"/>
      <c r="P184" s="681"/>
    </row>
    <row r="185" spans="1:17" ht="33.75" customHeight="1" x14ac:dyDescent="0.25">
      <c r="A185" s="710"/>
      <c r="B185" s="711" t="s">
        <v>1163</v>
      </c>
      <c r="C185" s="712"/>
      <c r="D185" s="713"/>
      <c r="E185" s="713"/>
      <c r="F185" s="713"/>
      <c r="G185" s="714"/>
      <c r="H185" s="681"/>
      <c r="I185" s="712"/>
      <c r="J185" s="712"/>
      <c r="K185" s="715"/>
      <c r="L185" s="698"/>
      <c r="M185" s="712"/>
      <c r="N185" s="715"/>
      <c r="O185" s="709"/>
      <c r="P185" s="681"/>
    </row>
    <row r="186" spans="1:17" x14ac:dyDescent="0.25">
      <c r="A186" s="710"/>
      <c r="B186" s="716"/>
      <c r="C186" s="712"/>
      <c r="D186" s="713"/>
      <c r="E186" s="713"/>
      <c r="F186" s="713"/>
      <c r="G186" s="714"/>
      <c r="H186" s="681">
        <f t="shared" ref="H186" si="55">SUM(C186:G186)</f>
        <v>0</v>
      </c>
      <c r="I186" s="712"/>
      <c r="J186" s="712"/>
      <c r="K186" s="715"/>
      <c r="L186" s="698">
        <f t="shared" ref="L186" si="56">SUM(I186:K186)</f>
        <v>0</v>
      </c>
      <c r="M186" s="712"/>
      <c r="N186" s="715"/>
      <c r="O186" s="709"/>
      <c r="P186" s="681">
        <f t="shared" ref="P186" si="57">O186+L186+H186</f>
        <v>0</v>
      </c>
      <c r="Q186" s="665" t="s">
        <v>1080</v>
      </c>
    </row>
    <row r="187" spans="1:17" ht="34.5" customHeight="1" x14ac:dyDescent="0.25">
      <c r="A187" s="710"/>
      <c r="B187" s="711" t="s">
        <v>1167</v>
      </c>
      <c r="C187" s="712"/>
      <c r="D187" s="713"/>
      <c r="E187" s="713"/>
      <c r="F187" s="713"/>
      <c r="G187" s="714"/>
      <c r="H187" s="681"/>
      <c r="I187" s="712"/>
      <c r="J187" s="712"/>
      <c r="K187" s="715"/>
      <c r="L187" s="698"/>
      <c r="M187" s="712"/>
      <c r="N187" s="715"/>
      <c r="O187" s="709"/>
      <c r="P187" s="681"/>
    </row>
    <row r="188" spans="1:17" ht="31.5" x14ac:dyDescent="0.25">
      <c r="A188" s="710"/>
      <c r="B188" s="716" t="s">
        <v>1339</v>
      </c>
      <c r="C188" s="712"/>
      <c r="D188" s="713"/>
      <c r="E188" s="713"/>
      <c r="F188" s="713"/>
      <c r="G188" s="714">
        <v>800</v>
      </c>
      <c r="H188" s="681">
        <f t="shared" ref="H188:H189" si="58">SUM(C188:G188)</f>
        <v>800</v>
      </c>
      <c r="I188" s="712"/>
      <c r="J188" s="712"/>
      <c r="K188" s="715"/>
      <c r="L188" s="698">
        <f t="shared" ref="L188:L189" si="59">SUM(I188:K188)</f>
        <v>0</v>
      </c>
      <c r="M188" s="712"/>
      <c r="N188" s="715"/>
      <c r="O188" s="709"/>
      <c r="P188" s="681">
        <f t="shared" ref="P188:P189" si="60">O188+L188+H188</f>
        <v>800</v>
      </c>
      <c r="Q188" s="665" t="s">
        <v>1080</v>
      </c>
    </row>
    <row r="189" spans="1:17" x14ac:dyDescent="0.25">
      <c r="A189" s="734"/>
      <c r="B189" s="735"/>
      <c r="C189" s="712"/>
      <c r="D189" s="713"/>
      <c r="E189" s="713"/>
      <c r="F189" s="713"/>
      <c r="G189" s="720"/>
      <c r="H189" s="681">
        <f t="shared" si="58"/>
        <v>0</v>
      </c>
      <c r="I189" s="712"/>
      <c r="J189" s="712"/>
      <c r="K189" s="715"/>
      <c r="L189" s="698">
        <f t="shared" si="59"/>
        <v>0</v>
      </c>
      <c r="M189" s="712"/>
      <c r="N189" s="715"/>
      <c r="O189" s="709"/>
      <c r="P189" s="681">
        <f t="shared" si="60"/>
        <v>0</v>
      </c>
      <c r="Q189" s="665" t="s">
        <v>1080</v>
      </c>
    </row>
    <row r="190" spans="1:17" ht="47.25" x14ac:dyDescent="0.25">
      <c r="A190" s="734"/>
      <c r="B190" s="711" t="s">
        <v>1164</v>
      </c>
      <c r="C190" s="712"/>
      <c r="D190" s="713"/>
      <c r="E190" s="713"/>
      <c r="F190" s="713"/>
      <c r="G190" s="720"/>
      <c r="H190" s="681"/>
      <c r="I190" s="712"/>
      <c r="J190" s="712"/>
      <c r="K190" s="715"/>
      <c r="L190" s="698"/>
      <c r="M190" s="712"/>
      <c r="N190" s="715"/>
      <c r="O190" s="709"/>
      <c r="P190" s="681"/>
    </row>
    <row r="191" spans="1:17" ht="31.5" x14ac:dyDescent="0.25">
      <c r="A191" s="734"/>
      <c r="B191" s="735" t="s">
        <v>1340</v>
      </c>
      <c r="C191" s="712"/>
      <c r="D191" s="713"/>
      <c r="E191" s="713"/>
      <c r="F191" s="713"/>
      <c r="G191" s="720">
        <v>50000</v>
      </c>
      <c r="H191" s="698">
        <f t="shared" ref="H191:H192" si="61">SUM(C191:G191)</f>
        <v>50000</v>
      </c>
      <c r="I191" s="712"/>
      <c r="J191" s="712"/>
      <c r="K191" s="715"/>
      <c r="L191" s="698">
        <f t="shared" ref="L191:L192" si="62">SUM(I191:K191)</f>
        <v>0</v>
      </c>
      <c r="M191" s="712"/>
      <c r="N191" s="715"/>
      <c r="O191" s="709"/>
      <c r="P191" s="698">
        <f t="shared" ref="P191:P192" si="63">O191+L191+H191</f>
        <v>50000</v>
      </c>
      <c r="Q191" s="665" t="s">
        <v>1080</v>
      </c>
    </row>
    <row r="192" spans="1:17" ht="63" x14ac:dyDescent="0.25">
      <c r="A192" s="734"/>
      <c r="B192" s="735" t="s">
        <v>1341</v>
      </c>
      <c r="C192" s="712">
        <v>638</v>
      </c>
      <c r="D192" s="713">
        <v>112</v>
      </c>
      <c r="E192" s="713"/>
      <c r="F192" s="713"/>
      <c r="G192" s="720"/>
      <c r="H192" s="698">
        <f t="shared" si="61"/>
        <v>750</v>
      </c>
      <c r="I192" s="712"/>
      <c r="J192" s="712"/>
      <c r="K192" s="715"/>
      <c r="L192" s="698">
        <f t="shared" si="62"/>
        <v>0</v>
      </c>
      <c r="M192" s="712"/>
      <c r="N192" s="715"/>
      <c r="O192" s="709"/>
      <c r="P192" s="698">
        <f t="shared" si="63"/>
        <v>750</v>
      </c>
      <c r="Q192" s="665" t="s">
        <v>1080</v>
      </c>
    </row>
    <row r="193" spans="1:17" x14ac:dyDescent="0.25">
      <c r="A193" s="710"/>
      <c r="B193" s="716"/>
      <c r="C193" s="712"/>
      <c r="D193" s="713"/>
      <c r="E193" s="713"/>
      <c r="F193" s="713"/>
      <c r="G193" s="714"/>
      <c r="H193" s="681"/>
      <c r="I193" s="712"/>
      <c r="J193" s="712"/>
      <c r="K193" s="715"/>
      <c r="L193" s="698"/>
      <c r="M193" s="712"/>
      <c r="N193" s="715"/>
      <c r="O193" s="709"/>
      <c r="P193" s="681"/>
    </row>
    <row r="194" spans="1:17" x14ac:dyDescent="0.25">
      <c r="A194" s="710"/>
      <c r="B194" s="717" t="s">
        <v>1081</v>
      </c>
      <c r="C194" s="712"/>
      <c r="D194" s="713"/>
      <c r="E194" s="713"/>
      <c r="F194" s="713"/>
      <c r="G194" s="714"/>
      <c r="H194" s="681"/>
      <c r="I194" s="712"/>
      <c r="J194" s="712"/>
      <c r="K194" s="715"/>
      <c r="L194" s="698"/>
      <c r="M194" s="712"/>
      <c r="N194" s="715"/>
      <c r="O194" s="709"/>
      <c r="P194" s="681"/>
    </row>
    <row r="195" spans="1:17" ht="81" customHeight="1" x14ac:dyDescent="0.25">
      <c r="A195" s="710"/>
      <c r="B195" s="1112" t="s">
        <v>1342</v>
      </c>
      <c r="C195" s="712"/>
      <c r="D195" s="713"/>
      <c r="E195" s="713"/>
      <c r="F195" s="713"/>
      <c r="G195" s="714">
        <v>-700</v>
      </c>
      <c r="H195" s="681">
        <f t="shared" ref="H195:H197" si="64">SUM(C195:G195)</f>
        <v>-700</v>
      </c>
      <c r="I195" s="712"/>
      <c r="J195" s="712"/>
      <c r="K195" s="715"/>
      <c r="L195" s="698">
        <f t="shared" ref="L195:L197" si="65">SUM(I195:K195)</f>
        <v>0</v>
      </c>
      <c r="M195" s="712"/>
      <c r="N195" s="715"/>
      <c r="O195" s="709"/>
      <c r="P195" s="681">
        <f t="shared" ref="P195:P197" si="66">O195+L195+H195</f>
        <v>-700</v>
      </c>
      <c r="Q195" s="665" t="s">
        <v>1080</v>
      </c>
    </row>
    <row r="196" spans="1:17" ht="82.5" customHeight="1" x14ac:dyDescent="0.25">
      <c r="A196" s="710"/>
      <c r="B196" s="1112" t="s">
        <v>1343</v>
      </c>
      <c r="C196" s="712"/>
      <c r="D196" s="713"/>
      <c r="E196" s="713"/>
      <c r="F196" s="713"/>
      <c r="G196" s="714">
        <v>-1200</v>
      </c>
      <c r="H196" s="681">
        <f t="shared" si="64"/>
        <v>-1200</v>
      </c>
      <c r="I196" s="712"/>
      <c r="J196" s="712"/>
      <c r="K196" s="715"/>
      <c r="L196" s="698">
        <f t="shared" si="65"/>
        <v>0</v>
      </c>
      <c r="M196" s="712"/>
      <c r="N196" s="715"/>
      <c r="O196" s="709"/>
      <c r="P196" s="681">
        <f t="shared" si="66"/>
        <v>-1200</v>
      </c>
      <c r="Q196" s="665" t="s">
        <v>1080</v>
      </c>
    </row>
    <row r="197" spans="1:17" ht="47.25" x14ac:dyDescent="0.25">
      <c r="A197" s="710"/>
      <c r="B197" s="716" t="s">
        <v>1344</v>
      </c>
      <c r="C197" s="712"/>
      <c r="D197" s="713"/>
      <c r="E197" s="713"/>
      <c r="F197" s="713"/>
      <c r="G197" s="714">
        <v>-400</v>
      </c>
      <c r="H197" s="681">
        <f t="shared" si="64"/>
        <v>-400</v>
      </c>
      <c r="I197" s="712"/>
      <c r="J197" s="712"/>
      <c r="K197" s="715"/>
      <c r="L197" s="698">
        <f t="shared" si="65"/>
        <v>0</v>
      </c>
      <c r="M197" s="712"/>
      <c r="N197" s="715"/>
      <c r="O197" s="709"/>
      <c r="P197" s="681">
        <f t="shared" si="66"/>
        <v>-400</v>
      </c>
      <c r="Q197" s="665" t="s">
        <v>1080</v>
      </c>
    </row>
    <row r="198" spans="1:17" x14ac:dyDescent="0.25">
      <c r="A198" s="677"/>
      <c r="B198" s="733"/>
      <c r="C198" s="694"/>
      <c r="D198" s="695"/>
      <c r="E198" s="695"/>
      <c r="F198" s="713"/>
      <c r="G198" s="696"/>
      <c r="H198" s="681"/>
      <c r="I198" s="694"/>
      <c r="J198" s="694"/>
      <c r="K198" s="697"/>
      <c r="L198" s="698"/>
      <c r="M198" s="694"/>
      <c r="N198" s="697"/>
      <c r="O198" s="699"/>
      <c r="P198" s="681"/>
    </row>
    <row r="199" spans="1:17" x14ac:dyDescent="0.25">
      <c r="A199" s="708"/>
      <c r="B199" s="749" t="s">
        <v>123</v>
      </c>
      <c r="C199" s="694"/>
      <c r="D199" s="695"/>
      <c r="E199" s="695"/>
      <c r="F199" s="697"/>
      <c r="G199" s="697"/>
      <c r="H199" s="681"/>
      <c r="I199" s="694"/>
      <c r="J199" s="694"/>
      <c r="K199" s="697"/>
      <c r="L199" s="698"/>
      <c r="M199" s="694"/>
      <c r="N199" s="697"/>
      <c r="O199" s="699"/>
      <c r="P199" s="681"/>
    </row>
    <row r="200" spans="1:17" x14ac:dyDescent="0.25">
      <c r="A200" s="710"/>
      <c r="B200" s="717" t="s">
        <v>1086</v>
      </c>
      <c r="C200" s="712"/>
      <c r="D200" s="713"/>
      <c r="E200" s="713"/>
      <c r="F200" s="713"/>
      <c r="G200" s="714"/>
      <c r="H200" s="681"/>
      <c r="I200" s="712"/>
      <c r="J200" s="712"/>
      <c r="K200" s="715"/>
      <c r="L200" s="698"/>
      <c r="M200" s="712"/>
      <c r="N200" s="715"/>
      <c r="O200" s="709"/>
      <c r="P200" s="681"/>
    </row>
    <row r="201" spans="1:17" ht="15" customHeight="1" x14ac:dyDescent="0.25">
      <c r="A201" s="710"/>
      <c r="B201" s="711" t="s">
        <v>1163</v>
      </c>
      <c r="C201" s="712"/>
      <c r="D201" s="713"/>
      <c r="E201" s="713"/>
      <c r="F201" s="713"/>
      <c r="G201" s="714"/>
      <c r="H201" s="681"/>
      <c r="I201" s="712"/>
      <c r="J201" s="712"/>
      <c r="K201" s="715"/>
      <c r="L201" s="698"/>
      <c r="M201" s="712"/>
      <c r="N201" s="715"/>
      <c r="O201" s="709"/>
      <c r="P201" s="681"/>
    </row>
    <row r="202" spans="1:17" ht="15" customHeight="1" x14ac:dyDescent="0.25">
      <c r="A202" s="710"/>
      <c r="B202" s="735" t="s">
        <v>1345</v>
      </c>
      <c r="C202" s="712">
        <v>-1315</v>
      </c>
      <c r="D202" s="713">
        <v>-1000</v>
      </c>
      <c r="E202" s="713"/>
      <c r="F202" s="713"/>
      <c r="G202" s="714">
        <v>2315</v>
      </c>
      <c r="H202" s="681">
        <f t="shared" ref="H202" si="67">SUM(C202:G202)</f>
        <v>0</v>
      </c>
      <c r="I202" s="712"/>
      <c r="J202" s="712"/>
      <c r="K202" s="715"/>
      <c r="L202" s="698">
        <f t="shared" ref="L202" si="68">SUM(I202:K202)</f>
        <v>0</v>
      </c>
      <c r="M202" s="712"/>
      <c r="N202" s="715"/>
      <c r="O202" s="709"/>
      <c r="P202" s="681">
        <f t="shared" ref="P202" si="69">O202+L202+H202</f>
        <v>0</v>
      </c>
      <c r="Q202" s="665" t="s">
        <v>1084</v>
      </c>
    </row>
    <row r="203" spans="1:17" x14ac:dyDescent="0.25">
      <c r="A203" s="710"/>
      <c r="B203" s="735"/>
      <c r="C203" s="712"/>
      <c r="D203" s="713"/>
      <c r="E203" s="713"/>
      <c r="F203" s="713"/>
      <c r="G203" s="714"/>
      <c r="H203" s="681"/>
      <c r="I203" s="712"/>
      <c r="J203" s="712"/>
      <c r="K203" s="715"/>
      <c r="L203" s="698"/>
      <c r="M203" s="712"/>
      <c r="N203" s="715"/>
      <c r="O203" s="709"/>
      <c r="P203" s="681"/>
    </row>
    <row r="204" spans="1:17" x14ac:dyDescent="0.25">
      <c r="A204" s="710"/>
      <c r="B204" s="717" t="s">
        <v>1081</v>
      </c>
      <c r="C204" s="712"/>
      <c r="D204" s="713"/>
      <c r="E204" s="713"/>
      <c r="F204" s="713"/>
      <c r="G204" s="714"/>
      <c r="H204" s="681"/>
      <c r="I204" s="712"/>
      <c r="J204" s="712"/>
      <c r="K204" s="715"/>
      <c r="L204" s="698"/>
      <c r="M204" s="712"/>
      <c r="N204" s="715"/>
      <c r="O204" s="709"/>
      <c r="P204" s="681"/>
    </row>
    <row r="205" spans="1:17" ht="15" customHeight="1" x14ac:dyDescent="0.25">
      <c r="A205" s="710"/>
      <c r="B205" s="735" t="s">
        <v>1345</v>
      </c>
      <c r="C205" s="712"/>
      <c r="D205" s="713"/>
      <c r="E205" s="713"/>
      <c r="F205" s="713"/>
      <c r="G205" s="714">
        <v>-463</v>
      </c>
      <c r="H205" s="681">
        <f t="shared" ref="H205" si="70">SUM(C205:G205)</f>
        <v>-463</v>
      </c>
      <c r="I205" s="712"/>
      <c r="J205" s="712"/>
      <c r="K205" s="715"/>
      <c r="L205" s="698">
        <f t="shared" ref="L205" si="71">SUM(I205:K205)</f>
        <v>0</v>
      </c>
      <c r="M205" s="712"/>
      <c r="N205" s="715"/>
      <c r="O205" s="709"/>
      <c r="P205" s="681">
        <f t="shared" ref="P205" si="72">O205+L205+H205</f>
        <v>-463</v>
      </c>
      <c r="Q205" s="665" t="s">
        <v>1084</v>
      </c>
    </row>
    <row r="206" spans="1:17" x14ac:dyDescent="0.25">
      <c r="A206" s="710"/>
      <c r="B206" s="735"/>
      <c r="C206" s="712"/>
      <c r="D206" s="713"/>
      <c r="E206" s="713"/>
      <c r="F206" s="713"/>
      <c r="G206" s="714"/>
      <c r="H206" s="681"/>
      <c r="I206" s="712"/>
      <c r="J206" s="712"/>
      <c r="K206" s="715"/>
      <c r="L206" s="698"/>
      <c r="M206" s="712"/>
      <c r="N206" s="715"/>
      <c r="O206" s="709"/>
      <c r="P206" s="681"/>
    </row>
    <row r="207" spans="1:17" x14ac:dyDescent="0.25">
      <c r="A207" s="710"/>
      <c r="B207" s="717" t="s">
        <v>1087</v>
      </c>
      <c r="C207" s="712"/>
      <c r="D207" s="713"/>
      <c r="E207" s="713"/>
      <c r="F207" s="713"/>
      <c r="G207" s="714"/>
      <c r="H207" s="681"/>
      <c r="I207" s="712"/>
      <c r="J207" s="712"/>
      <c r="K207" s="715"/>
      <c r="L207" s="698"/>
      <c r="M207" s="712"/>
      <c r="N207" s="715"/>
      <c r="O207" s="709"/>
      <c r="P207" s="681"/>
    </row>
    <row r="208" spans="1:17" ht="35.25" customHeight="1" x14ac:dyDescent="0.25">
      <c r="A208" s="710"/>
      <c r="B208" s="1113" t="s">
        <v>1163</v>
      </c>
      <c r="C208" s="712"/>
      <c r="D208" s="713"/>
      <c r="E208" s="713"/>
      <c r="F208" s="713"/>
      <c r="G208" s="714"/>
      <c r="H208" s="681"/>
      <c r="I208" s="712"/>
      <c r="J208" s="712"/>
      <c r="K208" s="715"/>
      <c r="L208" s="698"/>
      <c r="M208" s="712"/>
      <c r="N208" s="715"/>
      <c r="O208" s="709"/>
      <c r="P208" s="681"/>
    </row>
    <row r="209" spans="1:17" ht="15" customHeight="1" x14ac:dyDescent="0.25">
      <c r="A209" s="710"/>
      <c r="B209" s="735" t="s">
        <v>1345</v>
      </c>
      <c r="C209" s="712">
        <v>-5000</v>
      </c>
      <c r="D209" s="713">
        <v>-3681</v>
      </c>
      <c r="E209" s="713"/>
      <c r="F209" s="713"/>
      <c r="G209" s="714">
        <v>8681</v>
      </c>
      <c r="H209" s="681">
        <f t="shared" ref="H209" si="73">SUM(C209:G209)</f>
        <v>0</v>
      </c>
      <c r="I209" s="712"/>
      <c r="J209" s="712"/>
      <c r="K209" s="715"/>
      <c r="L209" s="698">
        <f t="shared" ref="L209" si="74">SUM(I209:K209)</f>
        <v>0</v>
      </c>
      <c r="M209" s="712"/>
      <c r="N209" s="715"/>
      <c r="O209" s="709"/>
      <c r="P209" s="681">
        <f t="shared" ref="P209" si="75">O209+L209+H209</f>
        <v>0</v>
      </c>
      <c r="Q209" s="665" t="s">
        <v>1084</v>
      </c>
    </row>
    <row r="210" spans="1:17" x14ac:dyDescent="0.25">
      <c r="A210" s="710"/>
      <c r="B210" s="735"/>
      <c r="C210" s="712"/>
      <c r="D210" s="713"/>
      <c r="E210" s="713"/>
      <c r="F210" s="713"/>
      <c r="G210" s="714"/>
      <c r="H210" s="681"/>
      <c r="I210" s="712"/>
      <c r="J210" s="712"/>
      <c r="K210" s="715"/>
      <c r="L210" s="698"/>
      <c r="M210" s="712"/>
      <c r="N210" s="715"/>
      <c r="O210" s="709"/>
      <c r="P210" s="681"/>
    </row>
    <row r="211" spans="1:17" x14ac:dyDescent="0.25">
      <c r="A211" s="710"/>
      <c r="B211" s="717" t="s">
        <v>1081</v>
      </c>
      <c r="C211" s="712"/>
      <c r="D211" s="713"/>
      <c r="E211" s="713"/>
      <c r="F211" s="713"/>
      <c r="G211" s="714"/>
      <c r="H211" s="681"/>
      <c r="I211" s="712"/>
      <c r="J211" s="712"/>
      <c r="K211" s="715"/>
      <c r="L211" s="698"/>
      <c r="M211" s="712"/>
      <c r="N211" s="715"/>
      <c r="O211" s="709"/>
      <c r="P211" s="681"/>
    </row>
    <row r="212" spans="1:17" x14ac:dyDescent="0.25">
      <c r="A212" s="710"/>
      <c r="B212" s="735" t="s">
        <v>1345</v>
      </c>
      <c r="C212" s="712"/>
      <c r="D212" s="713"/>
      <c r="E212" s="713"/>
      <c r="F212" s="713"/>
      <c r="G212" s="714">
        <v>-1736</v>
      </c>
      <c r="H212" s="681">
        <f t="shared" ref="H212" si="76">SUM(C212:G212)</f>
        <v>-1736</v>
      </c>
      <c r="I212" s="712"/>
      <c r="J212" s="712"/>
      <c r="K212" s="715"/>
      <c r="L212" s="698">
        <f t="shared" ref="L212" si="77">SUM(I212:K212)</f>
        <v>0</v>
      </c>
      <c r="M212" s="712"/>
      <c r="N212" s="715"/>
      <c r="O212" s="709"/>
      <c r="P212" s="681">
        <f t="shared" ref="P212" si="78">O212+L212+H212</f>
        <v>-1736</v>
      </c>
      <c r="Q212" s="665" t="s">
        <v>1084</v>
      </c>
    </row>
    <row r="213" spans="1:17" x14ac:dyDescent="0.25">
      <c r="A213" s="710"/>
      <c r="B213" s="735"/>
      <c r="C213" s="712"/>
      <c r="D213" s="713"/>
      <c r="E213" s="713"/>
      <c r="F213" s="713"/>
      <c r="G213" s="714"/>
      <c r="H213" s="681"/>
      <c r="I213" s="712"/>
      <c r="J213" s="712"/>
      <c r="K213" s="715"/>
      <c r="L213" s="698"/>
      <c r="M213" s="712"/>
      <c r="N213" s="715"/>
      <c r="O213" s="709"/>
      <c r="P213" s="681"/>
    </row>
    <row r="214" spans="1:17" ht="32.25" thickBot="1" x14ac:dyDescent="0.3">
      <c r="A214" s="726"/>
      <c r="B214" s="750" t="s">
        <v>365</v>
      </c>
      <c r="C214" s="727"/>
      <c r="D214" s="728"/>
      <c r="E214" s="728"/>
      <c r="F214" s="728"/>
      <c r="G214" s="729"/>
      <c r="H214" s="730"/>
      <c r="I214" s="727"/>
      <c r="J214" s="727"/>
      <c r="K214" s="731"/>
      <c r="L214" s="730"/>
      <c r="M214" s="727"/>
      <c r="N214" s="731"/>
      <c r="O214" s="732"/>
      <c r="P214" s="730"/>
    </row>
    <row r="215" spans="1:17" ht="31.5" x14ac:dyDescent="0.25">
      <c r="A215" s="708"/>
      <c r="B215" s="746" t="s">
        <v>1167</v>
      </c>
      <c r="C215" s="694"/>
      <c r="D215" s="694"/>
      <c r="E215" s="694"/>
      <c r="F215" s="694"/>
      <c r="G215" s="696"/>
      <c r="H215" s="699"/>
      <c r="I215" s="694"/>
      <c r="J215" s="694"/>
      <c r="K215" s="696"/>
      <c r="L215" s="699"/>
      <c r="M215" s="694"/>
      <c r="N215" s="696"/>
      <c r="O215" s="699"/>
      <c r="P215" s="699"/>
    </row>
    <row r="216" spans="1:17" x14ac:dyDescent="0.25">
      <c r="A216" s="751"/>
      <c r="B216" s="752"/>
      <c r="C216" s="712"/>
      <c r="D216" s="713"/>
      <c r="E216" s="713"/>
      <c r="F216" s="713"/>
      <c r="G216" s="720"/>
      <c r="H216" s="681">
        <f t="shared" ref="H216" si="79">SUM(C216:G216)</f>
        <v>0</v>
      </c>
      <c r="I216" s="712"/>
      <c r="J216" s="712"/>
      <c r="K216" s="715"/>
      <c r="L216" s="698">
        <f t="shared" ref="L216" si="80">SUM(I216:K216)</f>
        <v>0</v>
      </c>
      <c r="M216" s="712"/>
      <c r="N216" s="715"/>
      <c r="O216" s="709"/>
      <c r="P216" s="681">
        <f t="shared" ref="P216" si="81">O216+L216+H216</f>
        <v>0</v>
      </c>
      <c r="Q216" s="665" t="s">
        <v>1080</v>
      </c>
    </row>
    <row r="217" spans="1:17" ht="47.25" x14ac:dyDescent="0.25">
      <c r="A217" s="734"/>
      <c r="B217" s="711" t="s">
        <v>1164</v>
      </c>
      <c r="C217" s="712"/>
      <c r="D217" s="713"/>
      <c r="E217" s="713"/>
      <c r="F217" s="713"/>
      <c r="G217" s="720"/>
      <c r="H217" s="681"/>
      <c r="I217" s="712"/>
      <c r="J217" s="712"/>
      <c r="K217" s="715"/>
      <c r="L217" s="698"/>
      <c r="M217" s="712"/>
      <c r="N217" s="715"/>
      <c r="O217" s="709"/>
      <c r="P217" s="681"/>
    </row>
    <row r="218" spans="1:17" x14ac:dyDescent="0.25">
      <c r="A218" s="734"/>
      <c r="B218" s="735"/>
      <c r="C218" s="712"/>
      <c r="D218" s="713"/>
      <c r="E218" s="713"/>
      <c r="F218" s="713"/>
      <c r="G218" s="720"/>
      <c r="H218" s="681">
        <f t="shared" ref="H218" si="82">SUM(C218:G218)</f>
        <v>0</v>
      </c>
      <c r="I218" s="712"/>
      <c r="J218" s="712"/>
      <c r="K218" s="715"/>
      <c r="L218" s="698">
        <f t="shared" ref="L218" si="83">SUM(I218:K218)</f>
        <v>0</v>
      </c>
      <c r="M218" s="712"/>
      <c r="N218" s="715"/>
      <c r="O218" s="709"/>
      <c r="P218" s="681">
        <f t="shared" ref="P218" si="84">O218+L218+H218</f>
        <v>0</v>
      </c>
      <c r="Q218" s="665" t="s">
        <v>1080</v>
      </c>
    </row>
    <row r="219" spans="1:17" ht="30.75" customHeight="1" x14ac:dyDescent="0.25">
      <c r="A219" s="734"/>
      <c r="B219" s="711" t="s">
        <v>1163</v>
      </c>
      <c r="C219" s="712"/>
      <c r="D219" s="713"/>
      <c r="E219" s="713"/>
      <c r="F219" s="713"/>
      <c r="G219" s="720"/>
      <c r="H219" s="681"/>
      <c r="I219" s="712"/>
      <c r="J219" s="712"/>
      <c r="K219" s="715"/>
      <c r="L219" s="698"/>
      <c r="M219" s="712"/>
      <c r="N219" s="715"/>
      <c r="O219" s="709"/>
      <c r="P219" s="681"/>
    </row>
    <row r="220" spans="1:17" x14ac:dyDescent="0.25">
      <c r="A220" s="734"/>
      <c r="B220" s="735"/>
      <c r="C220" s="712"/>
      <c r="D220" s="713"/>
      <c r="E220" s="713"/>
      <c r="F220" s="713"/>
      <c r="G220" s="720"/>
      <c r="H220" s="681">
        <f t="shared" ref="H220" si="85">SUM(C220:G220)</f>
        <v>0</v>
      </c>
      <c r="I220" s="712"/>
      <c r="J220" s="712"/>
      <c r="K220" s="715"/>
      <c r="L220" s="698">
        <f t="shared" ref="L220" si="86">SUM(I220:K220)</f>
        <v>0</v>
      </c>
      <c r="M220" s="712"/>
      <c r="N220" s="715"/>
      <c r="O220" s="709"/>
      <c r="P220" s="681">
        <f t="shared" ref="P220" si="87">O220+L220+H220</f>
        <v>0</v>
      </c>
      <c r="Q220" s="665" t="s">
        <v>1080</v>
      </c>
    </row>
    <row r="221" spans="1:17" x14ac:dyDescent="0.25">
      <c r="A221" s="710"/>
      <c r="B221" s="753" t="s">
        <v>366</v>
      </c>
      <c r="C221" s="712"/>
      <c r="D221" s="713"/>
      <c r="E221" s="713"/>
      <c r="F221" s="713"/>
      <c r="G221" s="714"/>
      <c r="H221" s="681"/>
      <c r="I221" s="712"/>
      <c r="J221" s="712"/>
      <c r="K221" s="715"/>
      <c r="L221" s="698"/>
      <c r="M221" s="712"/>
      <c r="N221" s="715"/>
      <c r="O221" s="709"/>
      <c r="P221" s="681"/>
    </row>
    <row r="222" spans="1:17" ht="35.25" customHeight="1" x14ac:dyDescent="0.25">
      <c r="A222" s="710"/>
      <c r="B222" s="744" t="s">
        <v>1167</v>
      </c>
      <c r="C222" s="713"/>
      <c r="D222" s="713"/>
      <c r="E222" s="713"/>
      <c r="F222" s="713"/>
      <c r="G222" s="714"/>
      <c r="H222" s="681"/>
      <c r="I222" s="712"/>
      <c r="J222" s="712"/>
      <c r="K222" s="715"/>
      <c r="L222" s="698"/>
      <c r="M222" s="712"/>
      <c r="N222" s="715"/>
      <c r="O222" s="709"/>
      <c r="P222" s="681"/>
    </row>
    <row r="223" spans="1:17" x14ac:dyDescent="0.25">
      <c r="A223" s="724"/>
      <c r="B223" s="716" t="s">
        <v>1346</v>
      </c>
      <c r="C223" s="713"/>
      <c r="D223" s="713"/>
      <c r="E223" s="713"/>
      <c r="F223" s="713"/>
      <c r="G223" s="714">
        <v>800</v>
      </c>
      <c r="H223" s="681">
        <f t="shared" ref="H223:H224" si="88">SUM(C223:G223)</f>
        <v>800</v>
      </c>
      <c r="I223" s="712"/>
      <c r="J223" s="712"/>
      <c r="K223" s="715"/>
      <c r="L223" s="698">
        <f t="shared" ref="L223:L224" si="89">SUM(I223:K223)</f>
        <v>0</v>
      </c>
      <c r="M223" s="712"/>
      <c r="N223" s="715"/>
      <c r="O223" s="709"/>
      <c r="P223" s="681">
        <f t="shared" ref="P223:P224" si="90">O223+L223+H223</f>
        <v>800</v>
      </c>
      <c r="Q223" s="665" t="s">
        <v>1080</v>
      </c>
    </row>
    <row r="224" spans="1:17" x14ac:dyDescent="0.25">
      <c r="A224" s="754"/>
      <c r="B224" s="716"/>
      <c r="C224" s="695"/>
      <c r="D224" s="695"/>
      <c r="E224" s="695"/>
      <c r="F224" s="697"/>
      <c r="G224" s="697"/>
      <c r="H224" s="681">
        <f t="shared" si="88"/>
        <v>0</v>
      </c>
      <c r="I224" s="694"/>
      <c r="J224" s="694"/>
      <c r="K224" s="697"/>
      <c r="L224" s="698">
        <f t="shared" si="89"/>
        <v>0</v>
      </c>
      <c r="M224" s="695"/>
      <c r="N224" s="697"/>
      <c r="O224" s="699">
        <f t="shared" ref="O224" si="91">SUM(M224:N224)</f>
        <v>0</v>
      </c>
      <c r="P224" s="681">
        <f t="shared" si="90"/>
        <v>0</v>
      </c>
      <c r="Q224" s="665" t="s">
        <v>1080</v>
      </c>
    </row>
    <row r="225" spans="1:17" ht="47.25" x14ac:dyDescent="0.25">
      <c r="A225" s="734"/>
      <c r="B225" s="711" t="s">
        <v>1164</v>
      </c>
      <c r="C225" s="712"/>
      <c r="D225" s="713"/>
      <c r="E225" s="713"/>
      <c r="F225" s="713"/>
      <c r="G225" s="720"/>
      <c r="H225" s="681"/>
      <c r="I225" s="712"/>
      <c r="J225" s="712"/>
      <c r="K225" s="715"/>
      <c r="L225" s="698"/>
      <c r="M225" s="712"/>
      <c r="N225" s="715"/>
      <c r="O225" s="709"/>
      <c r="P225" s="681"/>
    </row>
    <row r="226" spans="1:17" x14ac:dyDescent="0.25">
      <c r="A226" s="734"/>
      <c r="B226" s="735"/>
      <c r="C226" s="712"/>
      <c r="D226" s="713"/>
      <c r="E226" s="713"/>
      <c r="F226" s="713"/>
      <c r="G226" s="720"/>
      <c r="H226" s="681">
        <f t="shared" ref="H226" si="92">SUM(C226:G226)</f>
        <v>0</v>
      </c>
      <c r="I226" s="712"/>
      <c r="J226" s="712"/>
      <c r="K226" s="715"/>
      <c r="L226" s="698">
        <f t="shared" ref="L226" si="93">SUM(I226:K226)</f>
        <v>0</v>
      </c>
      <c r="M226" s="712"/>
      <c r="N226" s="715"/>
      <c r="O226" s="709"/>
      <c r="P226" s="681">
        <f t="shared" ref="P226" si="94">O226+L226+H226</f>
        <v>0</v>
      </c>
      <c r="Q226" s="665" t="s">
        <v>1080</v>
      </c>
    </row>
    <row r="227" spans="1:17" ht="35.25" customHeight="1" x14ac:dyDescent="0.25">
      <c r="A227" s="710"/>
      <c r="B227" s="711" t="s">
        <v>1163</v>
      </c>
      <c r="C227" s="712"/>
      <c r="D227" s="713"/>
      <c r="E227" s="713"/>
      <c r="F227" s="713"/>
      <c r="G227" s="714"/>
      <c r="H227" s="681"/>
      <c r="I227" s="712"/>
      <c r="J227" s="712"/>
      <c r="K227" s="715"/>
      <c r="L227" s="698"/>
      <c r="M227" s="712"/>
      <c r="N227" s="715"/>
      <c r="O227" s="709"/>
      <c r="P227" s="681"/>
    </row>
    <row r="228" spans="1:17" x14ac:dyDescent="0.25">
      <c r="A228" s="710"/>
      <c r="B228" s="716"/>
      <c r="C228" s="712"/>
      <c r="D228" s="713"/>
      <c r="E228" s="713"/>
      <c r="F228" s="713"/>
      <c r="G228" s="714"/>
      <c r="H228" s="681">
        <f t="shared" ref="H228" si="95">SUM(C228:G228)</f>
        <v>0</v>
      </c>
      <c r="I228" s="712"/>
      <c r="J228" s="712"/>
      <c r="K228" s="715"/>
      <c r="L228" s="698">
        <f t="shared" ref="L228" si="96">SUM(I228:K228)</f>
        <v>0</v>
      </c>
      <c r="M228" s="712"/>
      <c r="N228" s="715"/>
      <c r="O228" s="709"/>
      <c r="P228" s="681">
        <f t="shared" ref="P228" si="97">O228+L228+H228</f>
        <v>0</v>
      </c>
      <c r="Q228" s="665" t="s">
        <v>1080</v>
      </c>
    </row>
    <row r="229" spans="1:17" x14ac:dyDescent="0.25">
      <c r="A229" s="710" t="s">
        <v>125</v>
      </c>
      <c r="B229" s="753" t="s">
        <v>487</v>
      </c>
      <c r="C229" s="712"/>
      <c r="D229" s="713"/>
      <c r="E229" s="713"/>
      <c r="F229" s="713"/>
      <c r="G229" s="714"/>
      <c r="H229" s="681"/>
      <c r="I229" s="712"/>
      <c r="J229" s="712"/>
      <c r="K229" s="715"/>
      <c r="L229" s="698"/>
      <c r="M229" s="712"/>
      <c r="N229" s="715"/>
      <c r="O229" s="709"/>
      <c r="P229" s="681"/>
    </row>
    <row r="230" spans="1:17" x14ac:dyDescent="0.25">
      <c r="A230" s="710"/>
      <c r="B230" s="753" t="s">
        <v>990</v>
      </c>
      <c r="C230" s="712"/>
      <c r="D230" s="713"/>
      <c r="E230" s="713"/>
      <c r="F230" s="713"/>
      <c r="G230" s="714"/>
      <c r="H230" s="681"/>
      <c r="I230" s="712"/>
      <c r="J230" s="712"/>
      <c r="K230" s="715"/>
      <c r="L230" s="698"/>
      <c r="M230" s="712"/>
      <c r="N230" s="715"/>
      <c r="O230" s="709"/>
      <c r="P230" s="681"/>
    </row>
    <row r="231" spans="1:17" x14ac:dyDescent="0.25">
      <c r="A231" s="710"/>
      <c r="B231" s="717" t="s">
        <v>1079</v>
      </c>
      <c r="C231" s="712"/>
      <c r="D231" s="712"/>
      <c r="E231" s="712"/>
      <c r="F231" s="712"/>
      <c r="G231" s="714"/>
      <c r="H231" s="681"/>
      <c r="I231" s="712"/>
      <c r="J231" s="712"/>
      <c r="K231" s="714"/>
      <c r="L231" s="698"/>
      <c r="M231" s="712"/>
      <c r="N231" s="714"/>
      <c r="O231" s="709"/>
      <c r="P231" s="681"/>
    </row>
    <row r="232" spans="1:17" x14ac:dyDescent="0.25">
      <c r="A232" s="710"/>
      <c r="B232" s="711" t="s">
        <v>1081</v>
      </c>
      <c r="C232" s="713"/>
      <c r="D232" s="713"/>
      <c r="E232" s="713"/>
      <c r="F232" s="713"/>
      <c r="G232" s="714"/>
      <c r="H232" s="681"/>
      <c r="I232" s="712"/>
      <c r="J232" s="712"/>
      <c r="K232" s="715"/>
      <c r="L232" s="698"/>
      <c r="M232" s="712"/>
      <c r="N232" s="715"/>
      <c r="O232" s="709"/>
      <c r="P232" s="681"/>
    </row>
    <row r="233" spans="1:17" ht="66" customHeight="1" x14ac:dyDescent="0.25">
      <c r="A233" s="724"/>
      <c r="B233" s="1112" t="s">
        <v>1347</v>
      </c>
      <c r="C233" s="713"/>
      <c r="D233" s="713"/>
      <c r="E233" s="713"/>
      <c r="F233" s="713"/>
      <c r="G233" s="714">
        <v>-50</v>
      </c>
      <c r="H233" s="698">
        <f t="shared" ref="H233" si="98">SUM(C233:G233)</f>
        <v>-50</v>
      </c>
      <c r="I233" s="712"/>
      <c r="J233" s="712"/>
      <c r="K233" s="715"/>
      <c r="L233" s="698">
        <f t="shared" ref="L233" si="99">SUM(I233:K233)</f>
        <v>0</v>
      </c>
      <c r="M233" s="712"/>
      <c r="N233" s="715"/>
      <c r="O233" s="709"/>
      <c r="P233" s="698">
        <f t="shared" ref="P233" si="100">O233+L233+H233</f>
        <v>-50</v>
      </c>
      <c r="Q233" s="665" t="s">
        <v>1080</v>
      </c>
    </row>
    <row r="234" spans="1:17" x14ac:dyDescent="0.25">
      <c r="A234" s="724"/>
      <c r="B234" s="716"/>
      <c r="C234" s="712"/>
      <c r="D234" s="713"/>
      <c r="E234" s="713"/>
      <c r="F234" s="713"/>
      <c r="G234" s="714"/>
      <c r="H234" s="698"/>
      <c r="I234" s="712"/>
      <c r="J234" s="712"/>
      <c r="K234" s="715"/>
      <c r="L234" s="698"/>
      <c r="M234" s="712"/>
      <c r="N234" s="715"/>
      <c r="O234" s="709"/>
      <c r="P234" s="698"/>
    </row>
    <row r="235" spans="1:17" x14ac:dyDescent="0.25">
      <c r="A235" s="710"/>
      <c r="B235" s="753" t="s">
        <v>993</v>
      </c>
      <c r="C235" s="712"/>
      <c r="D235" s="713"/>
      <c r="E235" s="713"/>
      <c r="F235" s="713"/>
      <c r="G235" s="714"/>
      <c r="H235" s="681"/>
      <c r="I235" s="712"/>
      <c r="J235" s="712"/>
      <c r="K235" s="715"/>
      <c r="L235" s="698"/>
      <c r="M235" s="712"/>
      <c r="N235" s="715"/>
      <c r="O235" s="709"/>
      <c r="P235" s="681"/>
    </row>
    <row r="236" spans="1:17" ht="35.25" customHeight="1" x14ac:dyDescent="0.25">
      <c r="A236" s="710"/>
      <c r="B236" s="744" t="s">
        <v>1167</v>
      </c>
      <c r="C236" s="713"/>
      <c r="D236" s="713"/>
      <c r="E236" s="713"/>
      <c r="F236" s="713"/>
      <c r="G236" s="714"/>
      <c r="H236" s="698"/>
      <c r="I236" s="712"/>
      <c r="J236" s="712"/>
      <c r="K236" s="715"/>
      <c r="L236" s="698"/>
      <c r="M236" s="712"/>
      <c r="N236" s="715"/>
      <c r="O236" s="709"/>
      <c r="P236" s="698"/>
    </row>
    <row r="237" spans="1:17" x14ac:dyDescent="0.25">
      <c r="A237" s="724"/>
      <c r="B237" s="716"/>
      <c r="C237" s="713"/>
      <c r="D237" s="713"/>
      <c r="E237" s="713"/>
      <c r="F237" s="713"/>
      <c r="G237" s="714"/>
      <c r="H237" s="698">
        <f t="shared" ref="H237" si="101">SUM(C237:G237)</f>
        <v>0</v>
      </c>
      <c r="I237" s="712"/>
      <c r="J237" s="712"/>
      <c r="K237" s="715"/>
      <c r="L237" s="698">
        <f t="shared" ref="L237" si="102">SUM(I237:K237)</f>
        <v>0</v>
      </c>
      <c r="M237" s="712"/>
      <c r="N237" s="715"/>
      <c r="O237" s="709"/>
      <c r="P237" s="698">
        <f t="shared" ref="P237" si="103">O237+L237+H237</f>
        <v>0</v>
      </c>
      <c r="Q237" s="665" t="s">
        <v>1080</v>
      </c>
    </row>
    <row r="238" spans="1:17" x14ac:dyDescent="0.25">
      <c r="A238" s="710"/>
      <c r="B238" s="755" t="s">
        <v>96</v>
      </c>
      <c r="C238" s="712"/>
      <c r="D238" s="713"/>
      <c r="E238" s="713"/>
      <c r="F238" s="713"/>
      <c r="G238" s="714"/>
      <c r="H238" s="681"/>
      <c r="I238" s="712"/>
      <c r="J238" s="712"/>
      <c r="K238" s="715"/>
      <c r="L238" s="698"/>
      <c r="M238" s="712"/>
      <c r="N238" s="715"/>
      <c r="O238" s="709"/>
      <c r="P238" s="681"/>
    </row>
    <row r="239" spans="1:17" ht="30.75" customHeight="1" x14ac:dyDescent="0.25">
      <c r="A239" s="710"/>
      <c r="B239" s="711" t="s">
        <v>1163</v>
      </c>
      <c r="C239" s="713"/>
      <c r="D239" s="713"/>
      <c r="E239" s="713"/>
      <c r="F239" s="713"/>
      <c r="G239" s="714"/>
      <c r="H239" s="681"/>
      <c r="I239" s="712"/>
      <c r="J239" s="712"/>
      <c r="K239" s="715"/>
      <c r="L239" s="698"/>
      <c r="M239" s="712"/>
      <c r="N239" s="715"/>
      <c r="O239" s="709"/>
      <c r="P239" s="681"/>
    </row>
    <row r="240" spans="1:17" x14ac:dyDescent="0.25">
      <c r="A240" s="724"/>
      <c r="B240" s="716"/>
      <c r="C240" s="713"/>
      <c r="D240" s="713"/>
      <c r="E240" s="713"/>
      <c r="F240" s="713"/>
      <c r="G240" s="714"/>
      <c r="H240" s="681">
        <f t="shared" ref="H240" si="104">SUM(C240:G240)</f>
        <v>0</v>
      </c>
      <c r="I240" s="712"/>
      <c r="J240" s="712"/>
      <c r="K240" s="715"/>
      <c r="L240" s="698">
        <f t="shared" ref="L240" si="105">SUM(I240:K240)</f>
        <v>0</v>
      </c>
      <c r="M240" s="712"/>
      <c r="N240" s="715"/>
      <c r="O240" s="709"/>
      <c r="P240" s="681">
        <f t="shared" ref="P240" si="106">O240+L240+H240</f>
        <v>0</v>
      </c>
      <c r="Q240" s="665" t="s">
        <v>1080</v>
      </c>
    </row>
    <row r="241" spans="1:17" x14ac:dyDescent="0.25">
      <c r="A241" s="710"/>
      <c r="B241" s="753" t="s">
        <v>126</v>
      </c>
      <c r="C241" s="712"/>
      <c r="D241" s="713"/>
      <c r="E241" s="713"/>
      <c r="F241" s="713"/>
      <c r="G241" s="714"/>
      <c r="H241" s="681"/>
      <c r="I241" s="712"/>
      <c r="J241" s="712"/>
      <c r="K241" s="715"/>
      <c r="L241" s="698"/>
      <c r="M241" s="712"/>
      <c r="N241" s="715"/>
      <c r="O241" s="709"/>
      <c r="P241" s="681"/>
    </row>
    <row r="242" spans="1:17" ht="33.75" customHeight="1" x14ac:dyDescent="0.25">
      <c r="A242" s="710"/>
      <c r="B242" s="1113" t="s">
        <v>1163</v>
      </c>
      <c r="C242" s="712"/>
      <c r="D242" s="713"/>
      <c r="E242" s="713"/>
      <c r="F242" s="713"/>
      <c r="G242" s="714"/>
      <c r="H242" s="681"/>
      <c r="I242" s="712"/>
      <c r="J242" s="712"/>
      <c r="K242" s="715"/>
      <c r="L242" s="698"/>
      <c r="M242" s="712"/>
      <c r="N242" s="715"/>
      <c r="O242" s="709"/>
      <c r="P242" s="681"/>
    </row>
    <row r="243" spans="1:17" x14ac:dyDescent="0.25">
      <c r="A243" s="710"/>
      <c r="B243" s="735"/>
      <c r="C243" s="712"/>
      <c r="D243" s="713"/>
      <c r="E243" s="713"/>
      <c r="F243" s="713"/>
      <c r="G243" s="714"/>
      <c r="H243" s="681">
        <f t="shared" ref="H243:H251" si="107">SUM(C243:G243)</f>
        <v>0</v>
      </c>
      <c r="I243" s="712"/>
      <c r="J243" s="712"/>
      <c r="K243" s="715"/>
      <c r="L243" s="698">
        <f t="shared" ref="L243:L251" si="108">SUM(I243:K243)</f>
        <v>0</v>
      </c>
      <c r="M243" s="712"/>
      <c r="N243" s="715"/>
      <c r="O243" s="709"/>
      <c r="P243" s="681">
        <f t="shared" ref="P243:P251" si="109">O243+L243+H243</f>
        <v>0</v>
      </c>
      <c r="Q243" s="665" t="s">
        <v>1080</v>
      </c>
    </row>
    <row r="244" spans="1:17" x14ac:dyDescent="0.25">
      <c r="A244" s="710"/>
      <c r="B244" s="711" t="s">
        <v>1081</v>
      </c>
      <c r="C244" s="712"/>
      <c r="D244" s="713"/>
      <c r="E244" s="713"/>
      <c r="F244" s="713"/>
      <c r="G244" s="714"/>
      <c r="H244" s="681"/>
      <c r="I244" s="712"/>
      <c r="J244" s="712"/>
      <c r="K244" s="715"/>
      <c r="L244" s="698"/>
      <c r="M244" s="712"/>
      <c r="N244" s="715"/>
      <c r="O244" s="709"/>
      <c r="P244" s="681"/>
    </row>
    <row r="245" spans="1:17" ht="47.25" x14ac:dyDescent="0.25">
      <c r="A245" s="710"/>
      <c r="B245" s="735" t="s">
        <v>1348</v>
      </c>
      <c r="C245" s="712"/>
      <c r="D245" s="713"/>
      <c r="E245" s="713"/>
      <c r="F245" s="713"/>
      <c r="G245" s="714">
        <v>-80</v>
      </c>
      <c r="H245" s="681">
        <f t="shared" ref="H245:H246" si="110">SUM(C245:G245)</f>
        <v>-80</v>
      </c>
      <c r="I245" s="712"/>
      <c r="J245" s="712"/>
      <c r="K245" s="715"/>
      <c r="L245" s="698">
        <f t="shared" ref="L245:L246" si="111">SUM(I245:K245)</f>
        <v>0</v>
      </c>
      <c r="M245" s="712"/>
      <c r="N245" s="715"/>
      <c r="O245" s="709"/>
      <c r="P245" s="681">
        <f t="shared" ref="P245:P246" si="112">O245+L245+H245</f>
        <v>-80</v>
      </c>
      <c r="Q245" s="665" t="s">
        <v>1080</v>
      </c>
    </row>
    <row r="246" spans="1:17" x14ac:dyDescent="0.25">
      <c r="A246" s="710"/>
      <c r="B246" s="735"/>
      <c r="C246" s="712"/>
      <c r="D246" s="713"/>
      <c r="E246" s="713"/>
      <c r="F246" s="713"/>
      <c r="G246" s="714"/>
      <c r="H246" s="681">
        <f t="shared" si="110"/>
        <v>0</v>
      </c>
      <c r="I246" s="712"/>
      <c r="J246" s="712"/>
      <c r="K246" s="715"/>
      <c r="L246" s="698">
        <f t="shared" si="111"/>
        <v>0</v>
      </c>
      <c r="M246" s="712"/>
      <c r="N246" s="715"/>
      <c r="O246" s="709"/>
      <c r="P246" s="681">
        <f t="shared" si="112"/>
        <v>0</v>
      </c>
      <c r="Q246" s="665" t="s">
        <v>1080</v>
      </c>
    </row>
    <row r="247" spans="1:17" x14ac:dyDescent="0.25">
      <c r="A247" s="710"/>
      <c r="B247" s="753" t="s">
        <v>141</v>
      </c>
      <c r="C247" s="712"/>
      <c r="D247" s="713"/>
      <c r="E247" s="713"/>
      <c r="F247" s="713"/>
      <c r="G247" s="714"/>
      <c r="H247" s="681"/>
      <c r="I247" s="712"/>
      <c r="J247" s="712"/>
      <c r="K247" s="715"/>
      <c r="L247" s="698"/>
      <c r="M247" s="712"/>
      <c r="N247" s="715"/>
      <c r="O247" s="709"/>
      <c r="P247" s="681"/>
    </row>
    <row r="248" spans="1:17" x14ac:dyDescent="0.25">
      <c r="A248" s="734"/>
      <c r="B248" s="711" t="s">
        <v>1163</v>
      </c>
      <c r="C248" s="712"/>
      <c r="D248" s="713">
        <v>52</v>
      </c>
      <c r="E248" s="713">
        <f>2000-52+-3348-7000+10</f>
        <v>-8390</v>
      </c>
      <c r="F248" s="713"/>
      <c r="G248" s="720">
        <f>-11788-2000+2178+-20000-5000-4838+49786</f>
        <v>8338</v>
      </c>
      <c r="H248" s="681">
        <f t="shared" ref="H248" si="113">SUM(C248:G248)</f>
        <v>0</v>
      </c>
      <c r="I248" s="712"/>
      <c r="J248" s="712"/>
      <c r="K248" s="715"/>
      <c r="L248" s="698">
        <f t="shared" ref="L248" si="114">SUM(I248:K248)</f>
        <v>0</v>
      </c>
      <c r="M248" s="712"/>
      <c r="N248" s="715"/>
      <c r="O248" s="709"/>
      <c r="P248" s="681">
        <f t="shared" ref="P248" si="115">O248+L248+H248</f>
        <v>0</v>
      </c>
    </row>
    <row r="249" spans="1:17" x14ac:dyDescent="0.25">
      <c r="A249" s="710"/>
      <c r="B249" s="717" t="s">
        <v>1079</v>
      </c>
      <c r="C249" s="712"/>
      <c r="D249" s="712"/>
      <c r="E249" s="712"/>
      <c r="F249" s="712"/>
      <c r="G249" s="714"/>
      <c r="H249" s="681"/>
      <c r="I249" s="712"/>
      <c r="J249" s="712"/>
      <c r="K249" s="714"/>
      <c r="L249" s="698"/>
      <c r="M249" s="712"/>
      <c r="N249" s="714"/>
      <c r="O249" s="709"/>
      <c r="P249" s="681"/>
    </row>
    <row r="250" spans="1:17" x14ac:dyDescent="0.25">
      <c r="A250" s="710"/>
      <c r="B250" s="716" t="s">
        <v>1349</v>
      </c>
      <c r="C250" s="712"/>
      <c r="D250" s="712"/>
      <c r="E250" s="712"/>
      <c r="F250" s="712"/>
      <c r="G250" s="714"/>
      <c r="H250" s="698">
        <f>SUM(C250:G250)</f>
        <v>0</v>
      </c>
      <c r="I250" s="712">
        <v>5906</v>
      </c>
      <c r="J250" s="712"/>
      <c r="K250" s="714"/>
      <c r="L250" s="698">
        <f>SUM(I250:K250)</f>
        <v>5906</v>
      </c>
      <c r="M250" s="712"/>
      <c r="N250" s="714"/>
      <c r="O250" s="709"/>
      <c r="P250" s="698">
        <f>O250+L250+H250</f>
        <v>5906</v>
      </c>
      <c r="Q250" s="665" t="s">
        <v>1080</v>
      </c>
    </row>
    <row r="251" spans="1:17" x14ac:dyDescent="0.25">
      <c r="A251" s="710"/>
      <c r="B251" s="735"/>
      <c r="C251" s="712"/>
      <c r="D251" s="713"/>
      <c r="E251" s="713"/>
      <c r="F251" s="713"/>
      <c r="G251" s="714"/>
      <c r="H251" s="681">
        <f t="shared" si="107"/>
        <v>0</v>
      </c>
      <c r="I251" s="712"/>
      <c r="J251" s="712"/>
      <c r="K251" s="715"/>
      <c r="L251" s="698">
        <f t="shared" si="108"/>
        <v>0</v>
      </c>
      <c r="M251" s="712"/>
      <c r="N251" s="715"/>
      <c r="O251" s="709"/>
      <c r="P251" s="681">
        <f t="shared" si="109"/>
        <v>0</v>
      </c>
      <c r="Q251" s="665" t="s">
        <v>1080</v>
      </c>
    </row>
    <row r="252" spans="1:17" x14ac:dyDescent="0.25">
      <c r="A252" s="710"/>
      <c r="B252" s="735"/>
      <c r="C252" s="712"/>
      <c r="D252" s="713"/>
      <c r="E252" s="713"/>
      <c r="F252" s="713"/>
      <c r="G252" s="714"/>
      <c r="H252" s="681"/>
      <c r="I252" s="712"/>
      <c r="J252" s="712"/>
      <c r="K252" s="715"/>
      <c r="L252" s="698"/>
      <c r="M252" s="712"/>
      <c r="N252" s="715"/>
      <c r="O252" s="709"/>
      <c r="P252" s="681"/>
    </row>
    <row r="253" spans="1:17" x14ac:dyDescent="0.25">
      <c r="A253" s="710"/>
      <c r="B253" s="753" t="s">
        <v>127</v>
      </c>
      <c r="C253" s="712"/>
      <c r="D253" s="713"/>
      <c r="E253" s="713"/>
      <c r="F253" s="713"/>
      <c r="G253" s="714"/>
      <c r="H253" s="681"/>
      <c r="I253" s="712"/>
      <c r="J253" s="712"/>
      <c r="K253" s="715"/>
      <c r="L253" s="698"/>
      <c r="M253" s="712"/>
      <c r="N253" s="715"/>
      <c r="O253" s="709"/>
      <c r="P253" s="681"/>
    </row>
    <row r="254" spans="1:17" ht="47.25" x14ac:dyDescent="0.25">
      <c r="A254" s="734"/>
      <c r="B254" s="711" t="s">
        <v>1164</v>
      </c>
      <c r="C254" s="712"/>
      <c r="D254" s="713"/>
      <c r="E254" s="713"/>
      <c r="F254" s="713"/>
      <c r="G254" s="720">
        <v>3150</v>
      </c>
      <c r="H254" s="681">
        <f t="shared" ref="H254" si="116">SUM(C254:G254)</f>
        <v>3150</v>
      </c>
      <c r="I254" s="712"/>
      <c r="J254" s="712"/>
      <c r="K254" s="715"/>
      <c r="L254" s="698">
        <f t="shared" ref="L254" si="117">SUM(I254:K254)</f>
        <v>0</v>
      </c>
      <c r="M254" s="712"/>
      <c r="N254" s="715"/>
      <c r="O254" s="709"/>
      <c r="P254" s="681">
        <f t="shared" ref="P254" si="118">O254+L254+H254</f>
        <v>3150</v>
      </c>
    </row>
    <row r="255" spans="1:17" x14ac:dyDescent="0.25">
      <c r="A255" s="710"/>
      <c r="B255" s="711" t="s">
        <v>1081</v>
      </c>
      <c r="C255" s="713"/>
      <c r="D255" s="713"/>
      <c r="E255" s="713"/>
      <c r="F255" s="713"/>
      <c r="G255" s="714"/>
      <c r="H255" s="681"/>
      <c r="I255" s="712"/>
      <c r="J255" s="712"/>
      <c r="K255" s="715"/>
      <c r="L255" s="698"/>
      <c r="M255" s="712"/>
      <c r="N255" s="715"/>
      <c r="O255" s="709"/>
      <c r="P255" s="681"/>
    </row>
    <row r="256" spans="1:17" ht="78.75" x14ac:dyDescent="0.25">
      <c r="A256" s="710"/>
      <c r="B256" s="735" t="s">
        <v>1350</v>
      </c>
      <c r="C256" s="713"/>
      <c r="D256" s="713"/>
      <c r="E256" s="713"/>
      <c r="F256" s="713"/>
      <c r="G256" s="714">
        <v>-400</v>
      </c>
      <c r="H256" s="681">
        <f t="shared" ref="H256:H288" si="119">SUM(C256:G256)</f>
        <v>-400</v>
      </c>
      <c r="I256" s="712"/>
      <c r="J256" s="712"/>
      <c r="K256" s="715"/>
      <c r="L256" s="698">
        <f t="shared" ref="L256:L288" si="120">SUM(I256:K256)</f>
        <v>0</v>
      </c>
      <c r="M256" s="712"/>
      <c r="N256" s="715"/>
      <c r="O256" s="709"/>
      <c r="P256" s="681">
        <f t="shared" ref="P256:P288" si="121">O256+L256+H256</f>
        <v>-400</v>
      </c>
      <c r="Q256" s="665" t="s">
        <v>1080</v>
      </c>
    </row>
    <row r="257" spans="1:17" ht="78.75" x14ac:dyDescent="0.25">
      <c r="A257" s="710"/>
      <c r="B257" s="735" t="s">
        <v>1351</v>
      </c>
      <c r="C257" s="713"/>
      <c r="D257" s="713"/>
      <c r="E257" s="713"/>
      <c r="F257" s="713"/>
      <c r="G257" s="714">
        <v>-65</v>
      </c>
      <c r="H257" s="681">
        <f t="shared" si="119"/>
        <v>-65</v>
      </c>
      <c r="I257" s="712"/>
      <c r="J257" s="712"/>
      <c r="K257" s="715"/>
      <c r="L257" s="698">
        <f t="shared" si="120"/>
        <v>0</v>
      </c>
      <c r="M257" s="712"/>
      <c r="N257" s="715"/>
      <c r="O257" s="709"/>
      <c r="P257" s="681">
        <f t="shared" si="121"/>
        <v>-65</v>
      </c>
      <c r="Q257" s="665" t="s">
        <v>1080</v>
      </c>
    </row>
    <row r="258" spans="1:17" ht="63" x14ac:dyDescent="0.25">
      <c r="A258" s="710"/>
      <c r="B258" s="735" t="s">
        <v>1352</v>
      </c>
      <c r="C258" s="713"/>
      <c r="D258" s="713"/>
      <c r="E258" s="713"/>
      <c r="F258" s="713"/>
      <c r="G258" s="714">
        <v>-15</v>
      </c>
      <c r="H258" s="698">
        <f t="shared" si="119"/>
        <v>-15</v>
      </c>
      <c r="I258" s="712"/>
      <c r="J258" s="712"/>
      <c r="K258" s="715"/>
      <c r="L258" s="698">
        <f t="shared" si="120"/>
        <v>0</v>
      </c>
      <c r="M258" s="712"/>
      <c r="N258" s="715"/>
      <c r="O258" s="709"/>
      <c r="P258" s="698">
        <f t="shared" si="121"/>
        <v>-15</v>
      </c>
      <c r="Q258" s="665" t="s">
        <v>1080</v>
      </c>
    </row>
    <row r="259" spans="1:17" ht="78.75" x14ac:dyDescent="0.25">
      <c r="A259" s="710"/>
      <c r="B259" s="735" t="s">
        <v>1353</v>
      </c>
      <c r="C259" s="713"/>
      <c r="D259" s="713"/>
      <c r="E259" s="713"/>
      <c r="F259" s="713"/>
      <c r="G259" s="714">
        <v>-65</v>
      </c>
      <c r="H259" s="698">
        <f t="shared" si="119"/>
        <v>-65</v>
      </c>
      <c r="I259" s="712"/>
      <c r="J259" s="712"/>
      <c r="K259" s="715"/>
      <c r="L259" s="698">
        <f t="shared" si="120"/>
        <v>0</v>
      </c>
      <c r="M259" s="712"/>
      <c r="N259" s="715"/>
      <c r="O259" s="709"/>
      <c r="P259" s="698">
        <f t="shared" si="121"/>
        <v>-65</v>
      </c>
      <c r="Q259" s="665" t="s">
        <v>1080</v>
      </c>
    </row>
    <row r="260" spans="1:17" ht="63" x14ac:dyDescent="0.25">
      <c r="A260" s="710"/>
      <c r="B260" s="735" t="s">
        <v>1354</v>
      </c>
      <c r="C260" s="713"/>
      <c r="D260" s="713"/>
      <c r="E260" s="713"/>
      <c r="F260" s="713"/>
      <c r="G260" s="714">
        <v>-15</v>
      </c>
      <c r="H260" s="681">
        <f t="shared" si="119"/>
        <v>-15</v>
      </c>
      <c r="I260" s="712"/>
      <c r="J260" s="712"/>
      <c r="K260" s="715"/>
      <c r="L260" s="698">
        <f t="shared" si="120"/>
        <v>0</v>
      </c>
      <c r="M260" s="712"/>
      <c r="N260" s="715"/>
      <c r="O260" s="709"/>
      <c r="P260" s="681">
        <f t="shared" si="121"/>
        <v>-15</v>
      </c>
      <c r="Q260" s="665" t="s">
        <v>1080</v>
      </c>
    </row>
    <row r="261" spans="1:17" ht="78.75" x14ac:dyDescent="0.25">
      <c r="A261" s="710"/>
      <c r="B261" s="735" t="s">
        <v>1355</v>
      </c>
      <c r="C261" s="713"/>
      <c r="D261" s="713"/>
      <c r="E261" s="713"/>
      <c r="F261" s="713"/>
      <c r="G261" s="714">
        <v>-65</v>
      </c>
      <c r="H261" s="681">
        <f t="shared" si="119"/>
        <v>-65</v>
      </c>
      <c r="I261" s="712"/>
      <c r="J261" s="712"/>
      <c r="K261" s="715"/>
      <c r="L261" s="698">
        <f t="shared" si="120"/>
        <v>0</v>
      </c>
      <c r="M261" s="712"/>
      <c r="N261" s="715"/>
      <c r="O261" s="709"/>
      <c r="P261" s="681">
        <f t="shared" si="121"/>
        <v>-65</v>
      </c>
      <c r="Q261" s="665" t="s">
        <v>1080</v>
      </c>
    </row>
    <row r="262" spans="1:17" ht="63" x14ac:dyDescent="0.25">
      <c r="A262" s="710"/>
      <c r="B262" s="735" t="s">
        <v>1356</v>
      </c>
      <c r="C262" s="713"/>
      <c r="D262" s="713"/>
      <c r="E262" s="713"/>
      <c r="F262" s="713"/>
      <c r="G262" s="714">
        <v>-15</v>
      </c>
      <c r="H262" s="681">
        <f t="shared" si="119"/>
        <v>-15</v>
      </c>
      <c r="I262" s="712"/>
      <c r="J262" s="712"/>
      <c r="K262" s="715"/>
      <c r="L262" s="698">
        <f t="shared" si="120"/>
        <v>0</v>
      </c>
      <c r="M262" s="712"/>
      <c r="N262" s="715"/>
      <c r="O262" s="709"/>
      <c r="P262" s="681">
        <f t="shared" si="121"/>
        <v>-15</v>
      </c>
      <c r="Q262" s="665" t="s">
        <v>1080</v>
      </c>
    </row>
    <row r="263" spans="1:17" ht="78.75" x14ac:dyDescent="0.25">
      <c r="A263" s="710"/>
      <c r="B263" s="735" t="s">
        <v>1357</v>
      </c>
      <c r="C263" s="713"/>
      <c r="D263" s="713"/>
      <c r="E263" s="713"/>
      <c r="F263" s="713"/>
      <c r="G263" s="714">
        <v>-65</v>
      </c>
      <c r="H263" s="681">
        <f t="shared" si="119"/>
        <v>-65</v>
      </c>
      <c r="I263" s="712"/>
      <c r="J263" s="712"/>
      <c r="K263" s="715"/>
      <c r="L263" s="698">
        <f t="shared" si="120"/>
        <v>0</v>
      </c>
      <c r="M263" s="712"/>
      <c r="N263" s="715"/>
      <c r="O263" s="709"/>
      <c r="P263" s="681">
        <f t="shared" si="121"/>
        <v>-65</v>
      </c>
      <c r="Q263" s="665" t="s">
        <v>1080</v>
      </c>
    </row>
    <row r="264" spans="1:17" ht="81.75" customHeight="1" x14ac:dyDescent="0.25">
      <c r="A264" s="710"/>
      <c r="B264" s="1114" t="s">
        <v>1358</v>
      </c>
      <c r="C264" s="713"/>
      <c r="D264" s="713"/>
      <c r="E264" s="713"/>
      <c r="F264" s="713"/>
      <c r="G264" s="714">
        <v>-75</v>
      </c>
      <c r="H264" s="681">
        <f t="shared" si="119"/>
        <v>-75</v>
      </c>
      <c r="I264" s="712"/>
      <c r="J264" s="712"/>
      <c r="K264" s="715"/>
      <c r="L264" s="698">
        <f t="shared" si="120"/>
        <v>0</v>
      </c>
      <c r="M264" s="712"/>
      <c r="N264" s="715"/>
      <c r="O264" s="709"/>
      <c r="P264" s="681">
        <f t="shared" si="121"/>
        <v>-75</v>
      </c>
      <c r="Q264" s="665" t="s">
        <v>1080</v>
      </c>
    </row>
    <row r="265" spans="1:17" ht="78" customHeight="1" x14ac:dyDescent="0.25">
      <c r="A265" s="710"/>
      <c r="B265" s="1114" t="s">
        <v>1359</v>
      </c>
      <c r="C265" s="713"/>
      <c r="D265" s="713"/>
      <c r="E265" s="713"/>
      <c r="F265" s="713"/>
      <c r="G265" s="714">
        <v>-65</v>
      </c>
      <c r="H265" s="681">
        <f t="shared" si="119"/>
        <v>-65</v>
      </c>
      <c r="I265" s="712"/>
      <c r="J265" s="712"/>
      <c r="K265" s="715"/>
      <c r="L265" s="698">
        <f t="shared" si="120"/>
        <v>0</v>
      </c>
      <c r="M265" s="712"/>
      <c r="N265" s="715"/>
      <c r="O265" s="709"/>
      <c r="P265" s="681">
        <f t="shared" si="121"/>
        <v>-65</v>
      </c>
      <c r="Q265" s="665" t="s">
        <v>1080</v>
      </c>
    </row>
    <row r="266" spans="1:17" ht="63" x14ac:dyDescent="0.25">
      <c r="A266" s="710"/>
      <c r="B266" s="735" t="s">
        <v>1360</v>
      </c>
      <c r="C266" s="713"/>
      <c r="D266" s="713"/>
      <c r="E266" s="713"/>
      <c r="F266" s="713"/>
      <c r="G266" s="714">
        <v>-15</v>
      </c>
      <c r="H266" s="681">
        <f t="shared" si="119"/>
        <v>-15</v>
      </c>
      <c r="I266" s="712"/>
      <c r="J266" s="712"/>
      <c r="K266" s="715"/>
      <c r="L266" s="698">
        <f t="shared" si="120"/>
        <v>0</v>
      </c>
      <c r="M266" s="712"/>
      <c r="N266" s="715"/>
      <c r="O266" s="709"/>
      <c r="P266" s="681">
        <f t="shared" si="121"/>
        <v>-15</v>
      </c>
      <c r="Q266" s="665" t="s">
        <v>1080</v>
      </c>
    </row>
    <row r="267" spans="1:17" ht="63" x14ac:dyDescent="0.25">
      <c r="A267" s="710"/>
      <c r="B267" s="735" t="s">
        <v>1361</v>
      </c>
      <c r="C267" s="713"/>
      <c r="D267" s="713"/>
      <c r="E267" s="713"/>
      <c r="F267" s="713"/>
      <c r="G267" s="714">
        <v>-15</v>
      </c>
      <c r="H267" s="698">
        <f t="shared" si="119"/>
        <v>-15</v>
      </c>
      <c r="I267" s="712"/>
      <c r="J267" s="712"/>
      <c r="K267" s="715"/>
      <c r="L267" s="698">
        <f t="shared" si="120"/>
        <v>0</v>
      </c>
      <c r="M267" s="712"/>
      <c r="N267" s="715"/>
      <c r="O267" s="709"/>
      <c r="P267" s="698">
        <f t="shared" si="121"/>
        <v>-15</v>
      </c>
      <c r="Q267" s="665" t="s">
        <v>1080</v>
      </c>
    </row>
    <row r="268" spans="1:17" ht="63" x14ac:dyDescent="0.25">
      <c r="A268" s="710"/>
      <c r="B268" s="735" t="s">
        <v>1362</v>
      </c>
      <c r="C268" s="713"/>
      <c r="D268" s="713"/>
      <c r="E268" s="713"/>
      <c r="F268" s="713"/>
      <c r="G268" s="714">
        <v>-15</v>
      </c>
      <c r="H268" s="698">
        <f t="shared" si="119"/>
        <v>-15</v>
      </c>
      <c r="I268" s="712"/>
      <c r="J268" s="712"/>
      <c r="K268" s="715"/>
      <c r="L268" s="698">
        <f t="shared" si="120"/>
        <v>0</v>
      </c>
      <c r="M268" s="712"/>
      <c r="N268" s="715"/>
      <c r="O268" s="709"/>
      <c r="P268" s="698">
        <f t="shared" si="121"/>
        <v>-15</v>
      </c>
      <c r="Q268" s="665" t="s">
        <v>1080</v>
      </c>
    </row>
    <row r="269" spans="1:17" ht="78.75" x14ac:dyDescent="0.25">
      <c r="A269" s="710"/>
      <c r="B269" s="735" t="s">
        <v>1363</v>
      </c>
      <c r="C269" s="713"/>
      <c r="D269" s="713"/>
      <c r="E269" s="713"/>
      <c r="F269" s="713"/>
      <c r="G269" s="714">
        <v>-15</v>
      </c>
      <c r="H269" s="681">
        <f t="shared" si="119"/>
        <v>-15</v>
      </c>
      <c r="I269" s="712"/>
      <c r="J269" s="712"/>
      <c r="K269" s="715"/>
      <c r="L269" s="698">
        <f t="shared" si="120"/>
        <v>0</v>
      </c>
      <c r="M269" s="712"/>
      <c r="N269" s="715"/>
      <c r="O269" s="709"/>
      <c r="P269" s="681">
        <f t="shared" si="121"/>
        <v>-15</v>
      </c>
      <c r="Q269" s="665" t="s">
        <v>1080</v>
      </c>
    </row>
    <row r="270" spans="1:17" ht="63" x14ac:dyDescent="0.25">
      <c r="A270" s="710"/>
      <c r="B270" s="735" t="s">
        <v>1364</v>
      </c>
      <c r="C270" s="713"/>
      <c r="D270" s="713"/>
      <c r="E270" s="713"/>
      <c r="F270" s="713"/>
      <c r="G270" s="714">
        <v>-15</v>
      </c>
      <c r="H270" s="681">
        <f t="shared" si="119"/>
        <v>-15</v>
      </c>
      <c r="I270" s="712"/>
      <c r="J270" s="712"/>
      <c r="K270" s="715"/>
      <c r="L270" s="698">
        <f t="shared" si="120"/>
        <v>0</v>
      </c>
      <c r="M270" s="712"/>
      <c r="N270" s="715"/>
      <c r="O270" s="709"/>
      <c r="P270" s="681">
        <f t="shared" si="121"/>
        <v>-15</v>
      </c>
      <c r="Q270" s="665" t="s">
        <v>1080</v>
      </c>
    </row>
    <row r="271" spans="1:17" ht="63" x14ac:dyDescent="0.25">
      <c r="A271" s="710"/>
      <c r="B271" s="735" t="s">
        <v>1365</v>
      </c>
      <c r="C271" s="713"/>
      <c r="D271" s="713"/>
      <c r="E271" s="713"/>
      <c r="F271" s="713"/>
      <c r="G271" s="714">
        <v>-15</v>
      </c>
      <c r="H271" s="681">
        <f t="shared" si="119"/>
        <v>-15</v>
      </c>
      <c r="I271" s="712"/>
      <c r="J271" s="712"/>
      <c r="K271" s="715"/>
      <c r="L271" s="698">
        <f t="shared" si="120"/>
        <v>0</v>
      </c>
      <c r="M271" s="712"/>
      <c r="N271" s="715"/>
      <c r="O271" s="709"/>
      <c r="P271" s="681">
        <f t="shared" si="121"/>
        <v>-15</v>
      </c>
      <c r="Q271" s="665" t="s">
        <v>1080</v>
      </c>
    </row>
    <row r="272" spans="1:17" ht="63" x14ac:dyDescent="0.25">
      <c r="A272" s="710"/>
      <c r="B272" s="735" t="s">
        <v>1366</v>
      </c>
      <c r="C272" s="713"/>
      <c r="D272" s="713"/>
      <c r="E272" s="713"/>
      <c r="F272" s="713"/>
      <c r="G272" s="714">
        <v>-15</v>
      </c>
      <c r="H272" s="681">
        <f t="shared" si="119"/>
        <v>-15</v>
      </c>
      <c r="I272" s="712"/>
      <c r="J272" s="712"/>
      <c r="K272" s="715"/>
      <c r="L272" s="698">
        <f t="shared" si="120"/>
        <v>0</v>
      </c>
      <c r="M272" s="712"/>
      <c r="N272" s="715"/>
      <c r="O272" s="709"/>
      <c r="P272" s="681">
        <f t="shared" si="121"/>
        <v>-15</v>
      </c>
      <c r="Q272" s="665" t="s">
        <v>1080</v>
      </c>
    </row>
    <row r="273" spans="1:17" ht="63" x14ac:dyDescent="0.25">
      <c r="A273" s="710"/>
      <c r="B273" s="735" t="s">
        <v>1367</v>
      </c>
      <c r="C273" s="713"/>
      <c r="D273" s="713"/>
      <c r="E273" s="713"/>
      <c r="F273" s="713"/>
      <c r="G273" s="714">
        <v>-15</v>
      </c>
      <c r="H273" s="681">
        <f t="shared" si="119"/>
        <v>-15</v>
      </c>
      <c r="I273" s="712"/>
      <c r="J273" s="712"/>
      <c r="K273" s="715"/>
      <c r="L273" s="698">
        <f t="shared" si="120"/>
        <v>0</v>
      </c>
      <c r="M273" s="712"/>
      <c r="N273" s="715"/>
      <c r="O273" s="709"/>
      <c r="P273" s="681">
        <f t="shared" si="121"/>
        <v>-15</v>
      </c>
      <c r="Q273" s="665" t="s">
        <v>1080</v>
      </c>
    </row>
    <row r="274" spans="1:17" ht="63" x14ac:dyDescent="0.25">
      <c r="A274" s="710"/>
      <c r="B274" s="735" t="s">
        <v>1368</v>
      </c>
      <c r="C274" s="713"/>
      <c r="D274" s="713"/>
      <c r="E274" s="713"/>
      <c r="F274" s="713"/>
      <c r="G274" s="714">
        <v>-25</v>
      </c>
      <c r="H274" s="681">
        <f t="shared" si="119"/>
        <v>-25</v>
      </c>
      <c r="I274" s="712"/>
      <c r="J274" s="712"/>
      <c r="K274" s="715"/>
      <c r="L274" s="698">
        <f t="shared" si="120"/>
        <v>0</v>
      </c>
      <c r="M274" s="712"/>
      <c r="N274" s="715"/>
      <c r="O274" s="709"/>
      <c r="P274" s="681">
        <f t="shared" si="121"/>
        <v>-25</v>
      </c>
      <c r="Q274" s="665" t="s">
        <v>1080</v>
      </c>
    </row>
    <row r="275" spans="1:17" ht="63" x14ac:dyDescent="0.25">
      <c r="A275" s="710"/>
      <c r="B275" s="735" t="s">
        <v>1369</v>
      </c>
      <c r="C275" s="713"/>
      <c r="D275" s="713"/>
      <c r="E275" s="713"/>
      <c r="F275" s="713"/>
      <c r="G275" s="714">
        <v>-25</v>
      </c>
      <c r="H275" s="681">
        <f t="shared" si="119"/>
        <v>-25</v>
      </c>
      <c r="I275" s="712"/>
      <c r="J275" s="712"/>
      <c r="K275" s="715"/>
      <c r="L275" s="698">
        <f t="shared" si="120"/>
        <v>0</v>
      </c>
      <c r="M275" s="712"/>
      <c r="N275" s="715"/>
      <c r="O275" s="709"/>
      <c r="P275" s="681">
        <f t="shared" si="121"/>
        <v>-25</v>
      </c>
      <c r="Q275" s="665" t="s">
        <v>1080</v>
      </c>
    </row>
    <row r="276" spans="1:17" ht="63" x14ac:dyDescent="0.25">
      <c r="A276" s="710"/>
      <c r="B276" s="735" t="s">
        <v>1370</v>
      </c>
      <c r="C276" s="713"/>
      <c r="D276" s="713"/>
      <c r="E276" s="713"/>
      <c r="F276" s="713"/>
      <c r="G276" s="714">
        <v>-15</v>
      </c>
      <c r="H276" s="681">
        <f t="shared" si="119"/>
        <v>-15</v>
      </c>
      <c r="I276" s="712"/>
      <c r="J276" s="712"/>
      <c r="K276" s="715"/>
      <c r="L276" s="698">
        <f t="shared" si="120"/>
        <v>0</v>
      </c>
      <c r="M276" s="712"/>
      <c r="N276" s="715"/>
      <c r="O276" s="709"/>
      <c r="P276" s="681">
        <f t="shared" si="121"/>
        <v>-15</v>
      </c>
      <c r="Q276" s="665" t="s">
        <v>1080</v>
      </c>
    </row>
    <row r="277" spans="1:17" ht="63" x14ac:dyDescent="0.25">
      <c r="A277" s="710"/>
      <c r="B277" s="735" t="s">
        <v>1371</v>
      </c>
      <c r="C277" s="713"/>
      <c r="D277" s="713"/>
      <c r="E277" s="713"/>
      <c r="F277" s="713"/>
      <c r="G277" s="714">
        <v>-15</v>
      </c>
      <c r="H277" s="698">
        <f t="shared" si="119"/>
        <v>-15</v>
      </c>
      <c r="I277" s="712"/>
      <c r="J277" s="712"/>
      <c r="K277" s="715"/>
      <c r="L277" s="698">
        <f t="shared" si="120"/>
        <v>0</v>
      </c>
      <c r="M277" s="712"/>
      <c r="N277" s="715"/>
      <c r="O277" s="709"/>
      <c r="P277" s="698">
        <f t="shared" si="121"/>
        <v>-15</v>
      </c>
      <c r="Q277" s="665" t="s">
        <v>1080</v>
      </c>
    </row>
    <row r="278" spans="1:17" ht="63" x14ac:dyDescent="0.25">
      <c r="A278" s="710"/>
      <c r="B278" s="735" t="s">
        <v>1372</v>
      </c>
      <c r="C278" s="713"/>
      <c r="D278" s="713"/>
      <c r="E278" s="713"/>
      <c r="F278" s="713"/>
      <c r="G278" s="714">
        <v>-15</v>
      </c>
      <c r="H278" s="698">
        <f t="shared" si="119"/>
        <v>-15</v>
      </c>
      <c r="I278" s="712"/>
      <c r="J278" s="712"/>
      <c r="K278" s="715"/>
      <c r="L278" s="698">
        <f t="shared" si="120"/>
        <v>0</v>
      </c>
      <c r="M278" s="712"/>
      <c r="N278" s="715"/>
      <c r="O278" s="709"/>
      <c r="P278" s="698">
        <f t="shared" si="121"/>
        <v>-15</v>
      </c>
      <c r="Q278" s="665" t="s">
        <v>1080</v>
      </c>
    </row>
    <row r="279" spans="1:17" ht="63" x14ac:dyDescent="0.25">
      <c r="A279" s="710"/>
      <c r="B279" s="735" t="s">
        <v>1373</v>
      </c>
      <c r="C279" s="713"/>
      <c r="D279" s="713"/>
      <c r="E279" s="713"/>
      <c r="F279" s="713"/>
      <c r="G279" s="714">
        <v>-15</v>
      </c>
      <c r="H279" s="681">
        <f t="shared" si="119"/>
        <v>-15</v>
      </c>
      <c r="I279" s="712"/>
      <c r="J279" s="712"/>
      <c r="K279" s="715"/>
      <c r="L279" s="698">
        <f t="shared" si="120"/>
        <v>0</v>
      </c>
      <c r="M279" s="712"/>
      <c r="N279" s="715"/>
      <c r="O279" s="709"/>
      <c r="P279" s="681">
        <f t="shared" si="121"/>
        <v>-15</v>
      </c>
      <c r="Q279" s="665" t="s">
        <v>1080</v>
      </c>
    </row>
    <row r="280" spans="1:17" ht="63" x14ac:dyDescent="0.25">
      <c r="A280" s="710"/>
      <c r="B280" s="735" t="s">
        <v>1374</v>
      </c>
      <c r="C280" s="713"/>
      <c r="D280" s="713"/>
      <c r="E280" s="713"/>
      <c r="F280" s="713"/>
      <c r="G280" s="714">
        <v>-15</v>
      </c>
      <c r="H280" s="681">
        <f t="shared" si="119"/>
        <v>-15</v>
      </c>
      <c r="I280" s="712"/>
      <c r="J280" s="712"/>
      <c r="K280" s="715"/>
      <c r="L280" s="698">
        <f t="shared" si="120"/>
        <v>0</v>
      </c>
      <c r="M280" s="712"/>
      <c r="N280" s="715"/>
      <c r="O280" s="709"/>
      <c r="P280" s="681">
        <f t="shared" si="121"/>
        <v>-15</v>
      </c>
      <c r="Q280" s="665" t="s">
        <v>1080</v>
      </c>
    </row>
    <row r="281" spans="1:17" ht="63" x14ac:dyDescent="0.25">
      <c r="A281" s="710"/>
      <c r="B281" s="735" t="s">
        <v>1375</v>
      </c>
      <c r="C281" s="713"/>
      <c r="D281" s="713"/>
      <c r="E281" s="713"/>
      <c r="F281" s="713"/>
      <c r="G281" s="714">
        <v>-15</v>
      </c>
      <c r="H281" s="681">
        <f t="shared" si="119"/>
        <v>-15</v>
      </c>
      <c r="I281" s="712"/>
      <c r="J281" s="712"/>
      <c r="K281" s="715"/>
      <c r="L281" s="698">
        <f t="shared" si="120"/>
        <v>0</v>
      </c>
      <c r="M281" s="712"/>
      <c r="N281" s="715"/>
      <c r="O281" s="709"/>
      <c r="P281" s="681">
        <f t="shared" si="121"/>
        <v>-15</v>
      </c>
      <c r="Q281" s="665" t="s">
        <v>1080</v>
      </c>
    </row>
    <row r="282" spans="1:17" ht="63" x14ac:dyDescent="0.25">
      <c r="A282" s="710"/>
      <c r="B282" s="735" t="s">
        <v>1376</v>
      </c>
      <c r="C282" s="713"/>
      <c r="D282" s="713"/>
      <c r="E282" s="713"/>
      <c r="F282" s="713"/>
      <c r="G282" s="714">
        <v>-15</v>
      </c>
      <c r="H282" s="681">
        <f t="shared" si="119"/>
        <v>-15</v>
      </c>
      <c r="I282" s="712"/>
      <c r="J282" s="712"/>
      <c r="K282" s="715"/>
      <c r="L282" s="698">
        <f t="shared" si="120"/>
        <v>0</v>
      </c>
      <c r="M282" s="712"/>
      <c r="N282" s="715"/>
      <c r="O282" s="709"/>
      <c r="P282" s="681">
        <f t="shared" si="121"/>
        <v>-15</v>
      </c>
      <c r="Q282" s="665" t="s">
        <v>1080</v>
      </c>
    </row>
    <row r="283" spans="1:17" ht="63" x14ac:dyDescent="0.25">
      <c r="A283" s="710"/>
      <c r="B283" s="735" t="s">
        <v>1377</v>
      </c>
      <c r="C283" s="713"/>
      <c r="D283" s="713"/>
      <c r="E283" s="713"/>
      <c r="F283" s="713"/>
      <c r="G283" s="714">
        <v>-15</v>
      </c>
      <c r="H283" s="681">
        <f t="shared" si="119"/>
        <v>-15</v>
      </c>
      <c r="I283" s="712"/>
      <c r="J283" s="712"/>
      <c r="K283" s="715"/>
      <c r="L283" s="698">
        <f t="shared" si="120"/>
        <v>0</v>
      </c>
      <c r="M283" s="712"/>
      <c r="N283" s="715"/>
      <c r="O283" s="709"/>
      <c r="P283" s="681">
        <f t="shared" si="121"/>
        <v>-15</v>
      </c>
      <c r="Q283" s="665" t="s">
        <v>1080</v>
      </c>
    </row>
    <row r="284" spans="1:17" ht="78.75" customHeight="1" x14ac:dyDescent="0.25">
      <c r="A284" s="710"/>
      <c r="B284" s="1114" t="s">
        <v>1378</v>
      </c>
      <c r="C284" s="713"/>
      <c r="D284" s="713"/>
      <c r="E284" s="713"/>
      <c r="F284" s="713"/>
      <c r="G284" s="714">
        <v>-400</v>
      </c>
      <c r="H284" s="681">
        <f t="shared" si="119"/>
        <v>-400</v>
      </c>
      <c r="I284" s="712"/>
      <c r="J284" s="712"/>
      <c r="K284" s="715"/>
      <c r="L284" s="698">
        <f t="shared" si="120"/>
        <v>0</v>
      </c>
      <c r="M284" s="712"/>
      <c r="N284" s="715"/>
      <c r="O284" s="709"/>
      <c r="P284" s="681">
        <f t="shared" si="121"/>
        <v>-400</v>
      </c>
      <c r="Q284" s="665" t="s">
        <v>1080</v>
      </c>
    </row>
    <row r="285" spans="1:17" ht="63" x14ac:dyDescent="0.25">
      <c r="A285" s="710"/>
      <c r="B285" s="735" t="s">
        <v>1379</v>
      </c>
      <c r="C285" s="713"/>
      <c r="D285" s="713"/>
      <c r="E285" s="713"/>
      <c r="F285" s="713"/>
      <c r="G285" s="714">
        <v>-70</v>
      </c>
      <c r="H285" s="681">
        <f t="shared" si="119"/>
        <v>-70</v>
      </c>
      <c r="I285" s="712"/>
      <c r="J285" s="712"/>
      <c r="K285" s="715"/>
      <c r="L285" s="698">
        <f t="shared" si="120"/>
        <v>0</v>
      </c>
      <c r="M285" s="712"/>
      <c r="N285" s="715"/>
      <c r="O285" s="709"/>
      <c r="P285" s="681">
        <f t="shared" si="121"/>
        <v>-70</v>
      </c>
      <c r="Q285" s="665" t="s">
        <v>1080</v>
      </c>
    </row>
    <row r="286" spans="1:17" ht="78.75" x14ac:dyDescent="0.25">
      <c r="A286" s="710"/>
      <c r="B286" s="735" t="s">
        <v>1380</v>
      </c>
      <c r="C286" s="713"/>
      <c r="D286" s="713"/>
      <c r="E286" s="713"/>
      <c r="F286" s="713"/>
      <c r="G286" s="714">
        <v>-450</v>
      </c>
      <c r="H286" s="681">
        <f t="shared" si="119"/>
        <v>-450</v>
      </c>
      <c r="I286" s="712"/>
      <c r="J286" s="712"/>
      <c r="K286" s="715"/>
      <c r="L286" s="698">
        <f t="shared" si="120"/>
        <v>0</v>
      </c>
      <c r="M286" s="712"/>
      <c r="N286" s="715"/>
      <c r="O286" s="709"/>
      <c r="P286" s="681">
        <f t="shared" si="121"/>
        <v>-450</v>
      </c>
      <c r="Q286" s="665" t="s">
        <v>1080</v>
      </c>
    </row>
    <row r="287" spans="1:17" x14ac:dyDescent="0.25">
      <c r="A287" s="710"/>
      <c r="B287" s="735"/>
      <c r="C287" s="713"/>
      <c r="D287" s="713"/>
      <c r="E287" s="713"/>
      <c r="F287" s="713"/>
      <c r="G287" s="714"/>
      <c r="H287" s="681">
        <f t="shared" si="119"/>
        <v>0</v>
      </c>
      <c r="I287" s="712"/>
      <c r="J287" s="712"/>
      <c r="K287" s="715"/>
      <c r="L287" s="698">
        <f t="shared" si="120"/>
        <v>0</v>
      </c>
      <c r="M287" s="712"/>
      <c r="N287" s="715"/>
      <c r="O287" s="709"/>
      <c r="P287" s="681">
        <f t="shared" si="121"/>
        <v>0</v>
      </c>
      <c r="Q287" s="665" t="s">
        <v>1080</v>
      </c>
    </row>
    <row r="288" spans="1:17" x14ac:dyDescent="0.25">
      <c r="A288" s="710"/>
      <c r="B288" s="735"/>
      <c r="C288" s="713"/>
      <c r="D288" s="713"/>
      <c r="E288" s="713"/>
      <c r="F288" s="713"/>
      <c r="G288" s="714"/>
      <c r="H288" s="681">
        <f t="shared" si="119"/>
        <v>0</v>
      </c>
      <c r="I288" s="712"/>
      <c r="J288" s="712"/>
      <c r="K288" s="715"/>
      <c r="L288" s="698">
        <f t="shared" si="120"/>
        <v>0</v>
      </c>
      <c r="M288" s="712"/>
      <c r="N288" s="715"/>
      <c r="O288" s="709"/>
      <c r="P288" s="681">
        <f t="shared" si="121"/>
        <v>0</v>
      </c>
      <c r="Q288" s="665" t="s">
        <v>1080</v>
      </c>
    </row>
    <row r="289" spans="1:17" ht="16.5" thickBot="1" x14ac:dyDescent="0.3">
      <c r="A289" s="710"/>
      <c r="B289" s="735"/>
      <c r="C289" s="712"/>
      <c r="D289" s="713"/>
      <c r="E289" s="713"/>
      <c r="F289" s="713"/>
      <c r="G289" s="714"/>
      <c r="H289" s="681"/>
      <c r="I289" s="712"/>
      <c r="J289" s="712"/>
      <c r="K289" s="715"/>
      <c r="L289" s="698"/>
      <c r="M289" s="712"/>
      <c r="N289" s="715"/>
      <c r="O289" s="709"/>
      <c r="P289" s="681"/>
    </row>
    <row r="290" spans="1:17" ht="16.5" thickBot="1" x14ac:dyDescent="0.3">
      <c r="A290" s="756" t="s">
        <v>51</v>
      </c>
      <c r="B290" s="757" t="s">
        <v>52</v>
      </c>
      <c r="C290" s="758">
        <f t="shared" ref="C290:P290" si="122">SUM(C10:C289)</f>
        <v>368577</v>
      </c>
      <c r="D290" s="758">
        <f t="shared" si="122"/>
        <v>91828</v>
      </c>
      <c r="E290" s="758">
        <f t="shared" si="122"/>
        <v>5460772</v>
      </c>
      <c r="F290" s="758">
        <f t="shared" si="122"/>
        <v>223679</v>
      </c>
      <c r="G290" s="758">
        <f t="shared" si="122"/>
        <v>14454088</v>
      </c>
      <c r="H290" s="758">
        <f t="shared" si="122"/>
        <v>20598944</v>
      </c>
      <c r="I290" s="758">
        <f t="shared" si="122"/>
        <v>28852658</v>
      </c>
      <c r="J290" s="758">
        <f t="shared" si="122"/>
        <v>1137966</v>
      </c>
      <c r="K290" s="758">
        <f t="shared" si="122"/>
        <v>1765751</v>
      </c>
      <c r="L290" s="758">
        <f t="shared" si="122"/>
        <v>31756375</v>
      </c>
      <c r="M290" s="758">
        <f t="shared" si="122"/>
        <v>240200</v>
      </c>
      <c r="N290" s="758">
        <f t="shared" si="122"/>
        <v>2143704</v>
      </c>
      <c r="O290" s="758">
        <f t="shared" si="122"/>
        <v>2383904</v>
      </c>
      <c r="P290" s="758">
        <f t="shared" si="122"/>
        <v>54739223</v>
      </c>
    </row>
    <row r="291" spans="1:17" x14ac:dyDescent="0.25">
      <c r="A291" s="708"/>
      <c r="B291" s="700" t="s">
        <v>102</v>
      </c>
      <c r="C291" s="694"/>
      <c r="D291" s="695"/>
      <c r="E291" s="695"/>
      <c r="F291" s="697"/>
      <c r="G291" s="697"/>
      <c r="H291" s="681"/>
      <c r="I291" s="694"/>
      <c r="J291" s="694"/>
      <c r="K291" s="697"/>
      <c r="L291" s="681"/>
      <c r="M291" s="679"/>
      <c r="N291" s="697"/>
      <c r="O291" s="699"/>
      <c r="P291" s="681"/>
    </row>
    <row r="292" spans="1:17" x14ac:dyDescent="0.25">
      <c r="A292" s="708"/>
      <c r="B292" s="711"/>
      <c r="C292" s="694"/>
      <c r="D292" s="695"/>
      <c r="E292" s="695"/>
      <c r="F292" s="697"/>
      <c r="G292" s="697"/>
      <c r="H292" s="699"/>
      <c r="I292" s="694"/>
      <c r="J292" s="694"/>
      <c r="K292" s="697"/>
      <c r="L292" s="699"/>
      <c r="M292" s="694"/>
      <c r="N292" s="697"/>
      <c r="O292" s="699"/>
      <c r="P292" s="699"/>
    </row>
    <row r="293" spans="1:17" ht="47.25" x14ac:dyDescent="0.25">
      <c r="A293" s="708"/>
      <c r="B293" s="716" t="s">
        <v>1309</v>
      </c>
      <c r="C293" s="694"/>
      <c r="D293" s="695"/>
      <c r="E293" s="695"/>
      <c r="F293" s="697"/>
      <c r="G293" s="697"/>
      <c r="H293" s="699"/>
      <c r="I293" s="694"/>
      <c r="J293" s="694"/>
      <c r="K293" s="697"/>
      <c r="L293" s="699"/>
      <c r="M293" s="694">
        <v>-1000</v>
      </c>
      <c r="N293" s="697"/>
      <c r="O293" s="699">
        <f t="shared" ref="O293:O309" si="123">SUM(M293:N293)</f>
        <v>-1000</v>
      </c>
      <c r="P293" s="699">
        <f>SUM(O293)</f>
        <v>-1000</v>
      </c>
      <c r="Q293" s="665" t="s">
        <v>1080</v>
      </c>
    </row>
    <row r="294" spans="1:17" x14ac:dyDescent="0.25">
      <c r="A294" s="708"/>
      <c r="B294" s="716" t="s">
        <v>1310</v>
      </c>
      <c r="C294" s="694"/>
      <c r="D294" s="695"/>
      <c r="E294" s="695"/>
      <c r="F294" s="697"/>
      <c r="G294" s="697"/>
      <c r="H294" s="699"/>
      <c r="I294" s="694"/>
      <c r="J294" s="694"/>
      <c r="K294" s="697"/>
      <c r="L294" s="699"/>
      <c r="M294" s="695">
        <v>-1100</v>
      </c>
      <c r="N294" s="697"/>
      <c r="O294" s="699">
        <f t="shared" si="123"/>
        <v>-1100</v>
      </c>
      <c r="P294" s="699">
        <f t="shared" ref="P294:P296" si="124">SUM(O294+L294+H294)</f>
        <v>-1100</v>
      </c>
      <c r="Q294" s="665" t="s">
        <v>1080</v>
      </c>
    </row>
    <row r="295" spans="1:17" x14ac:dyDescent="0.25">
      <c r="A295" s="708"/>
      <c r="B295" s="716" t="s">
        <v>1311</v>
      </c>
      <c r="C295" s="694"/>
      <c r="D295" s="695"/>
      <c r="E295" s="695"/>
      <c r="F295" s="697"/>
      <c r="G295" s="697"/>
      <c r="H295" s="699"/>
      <c r="I295" s="694"/>
      <c r="J295" s="694"/>
      <c r="K295" s="697"/>
      <c r="L295" s="699"/>
      <c r="M295" s="695">
        <v>-1500</v>
      </c>
      <c r="N295" s="697"/>
      <c r="O295" s="699">
        <f t="shared" si="123"/>
        <v>-1500</v>
      </c>
      <c r="P295" s="699">
        <f t="shared" si="124"/>
        <v>-1500</v>
      </c>
      <c r="Q295" s="665" t="s">
        <v>1080</v>
      </c>
    </row>
    <row r="296" spans="1:17" ht="39" customHeight="1" x14ac:dyDescent="0.25">
      <c r="A296" s="734"/>
      <c r="B296" s="716" t="s">
        <v>1336</v>
      </c>
      <c r="C296" s="712"/>
      <c r="D296" s="713"/>
      <c r="E296" s="713"/>
      <c r="F296" s="715"/>
      <c r="G296" s="715"/>
      <c r="H296" s="709"/>
      <c r="I296" s="712"/>
      <c r="J296" s="712"/>
      <c r="K296" s="715"/>
      <c r="L296" s="709"/>
      <c r="M296" s="713">
        <v>-7987</v>
      </c>
      <c r="N296" s="715"/>
      <c r="O296" s="709">
        <f t="shared" si="123"/>
        <v>-7987</v>
      </c>
      <c r="P296" s="709">
        <f t="shared" si="124"/>
        <v>-7987</v>
      </c>
      <c r="Q296" s="665" t="s">
        <v>1080</v>
      </c>
    </row>
    <row r="297" spans="1:17" ht="31.5" x14ac:dyDescent="0.25">
      <c r="A297" s="708"/>
      <c r="B297" s="716" t="s">
        <v>1381</v>
      </c>
      <c r="C297" s="694"/>
      <c r="D297" s="695"/>
      <c r="E297" s="695"/>
      <c r="F297" s="697"/>
      <c r="G297" s="697"/>
      <c r="H297" s="699"/>
      <c r="I297" s="694"/>
      <c r="J297" s="694"/>
      <c r="K297" s="697"/>
      <c r="L297" s="699"/>
      <c r="M297" s="695">
        <v>-800</v>
      </c>
      <c r="N297" s="697"/>
      <c r="O297" s="699">
        <f t="shared" si="123"/>
        <v>-800</v>
      </c>
      <c r="P297" s="699">
        <f t="shared" ref="P297:P309" si="125">SUM(O297+L297+H297)</f>
        <v>-800</v>
      </c>
      <c r="Q297" s="665" t="s">
        <v>1080</v>
      </c>
    </row>
    <row r="298" spans="1:17" x14ac:dyDescent="0.25">
      <c r="A298" s="708"/>
      <c r="B298" s="716" t="s">
        <v>1346</v>
      </c>
      <c r="C298" s="694"/>
      <c r="D298" s="695"/>
      <c r="E298" s="695"/>
      <c r="F298" s="697"/>
      <c r="G298" s="697"/>
      <c r="H298" s="699"/>
      <c r="I298" s="694"/>
      <c r="J298" s="694"/>
      <c r="K298" s="697"/>
      <c r="L298" s="699"/>
      <c r="M298" s="695">
        <v>-800</v>
      </c>
      <c r="N298" s="697"/>
      <c r="O298" s="699">
        <f t="shared" si="123"/>
        <v>-800</v>
      </c>
      <c r="P298" s="699">
        <f t="shared" si="125"/>
        <v>-800</v>
      </c>
      <c r="Q298" s="665" t="s">
        <v>1080</v>
      </c>
    </row>
    <row r="299" spans="1:17" x14ac:dyDescent="0.25">
      <c r="A299" s="708"/>
      <c r="B299" s="716" t="s">
        <v>1168</v>
      </c>
      <c r="C299" s="694"/>
      <c r="D299" s="695"/>
      <c r="E299" s="695"/>
      <c r="F299" s="697"/>
      <c r="G299" s="697"/>
      <c r="H299" s="699"/>
      <c r="I299" s="694"/>
      <c r="J299" s="694"/>
      <c r="K299" s="697"/>
      <c r="L299" s="699"/>
      <c r="M299" s="695">
        <v>-19000</v>
      </c>
      <c r="N299" s="697"/>
      <c r="O299" s="699">
        <f t="shared" si="123"/>
        <v>-19000</v>
      </c>
      <c r="P299" s="699">
        <f t="shared" si="125"/>
        <v>-19000</v>
      </c>
      <c r="Q299" s="665" t="s">
        <v>1080</v>
      </c>
    </row>
    <row r="300" spans="1:17" ht="47.25" x14ac:dyDescent="0.25">
      <c r="A300" s="708"/>
      <c r="B300" s="716" t="s">
        <v>1382</v>
      </c>
      <c r="C300" s="694"/>
      <c r="D300" s="695"/>
      <c r="E300" s="695"/>
      <c r="F300" s="697"/>
      <c r="G300" s="697"/>
      <c r="H300" s="699"/>
      <c r="I300" s="694"/>
      <c r="J300" s="694"/>
      <c r="K300" s="697"/>
      <c r="L300" s="699"/>
      <c r="M300" s="695">
        <v>11176</v>
      </c>
      <c r="N300" s="697"/>
      <c r="O300" s="699">
        <f t="shared" si="123"/>
        <v>11176</v>
      </c>
      <c r="P300" s="699">
        <f t="shared" si="125"/>
        <v>11176</v>
      </c>
      <c r="Q300" s="665" t="s">
        <v>1080</v>
      </c>
    </row>
    <row r="301" spans="1:17" ht="31.5" x14ac:dyDescent="0.25">
      <c r="A301" s="708"/>
      <c r="B301" s="716" t="s">
        <v>1383</v>
      </c>
      <c r="C301" s="694"/>
      <c r="D301" s="695"/>
      <c r="E301" s="695"/>
      <c r="F301" s="697"/>
      <c r="G301" s="697"/>
      <c r="H301" s="699"/>
      <c r="I301" s="694"/>
      <c r="J301" s="694"/>
      <c r="K301" s="697"/>
      <c r="L301" s="699"/>
      <c r="M301" s="695">
        <v>-28450</v>
      </c>
      <c r="N301" s="697"/>
      <c r="O301" s="699">
        <f t="shared" si="123"/>
        <v>-28450</v>
      </c>
      <c r="P301" s="699">
        <f t="shared" si="125"/>
        <v>-28450</v>
      </c>
      <c r="Q301" s="665" t="s">
        <v>1080</v>
      </c>
    </row>
    <row r="302" spans="1:17" ht="63" x14ac:dyDescent="0.25">
      <c r="A302" s="708"/>
      <c r="B302" s="716" t="s">
        <v>1178</v>
      </c>
      <c r="C302" s="694"/>
      <c r="D302" s="695"/>
      <c r="E302" s="695"/>
      <c r="F302" s="697"/>
      <c r="G302" s="697"/>
      <c r="H302" s="699"/>
      <c r="I302" s="694"/>
      <c r="J302" s="694"/>
      <c r="K302" s="697"/>
      <c r="L302" s="699"/>
      <c r="M302" s="695">
        <v>19135</v>
      </c>
      <c r="N302" s="697"/>
      <c r="O302" s="699">
        <f t="shared" si="123"/>
        <v>19135</v>
      </c>
      <c r="P302" s="699">
        <f t="shared" si="125"/>
        <v>19135</v>
      </c>
      <c r="Q302" s="665" t="s">
        <v>1080</v>
      </c>
    </row>
    <row r="303" spans="1:17" x14ac:dyDescent="0.25">
      <c r="A303" s="708"/>
      <c r="B303" s="716" t="s">
        <v>1181</v>
      </c>
      <c r="C303" s="694"/>
      <c r="D303" s="695"/>
      <c r="E303" s="695"/>
      <c r="F303" s="697"/>
      <c r="G303" s="697"/>
      <c r="H303" s="699"/>
      <c r="I303" s="694"/>
      <c r="J303" s="694"/>
      <c r="K303" s="697"/>
      <c r="L303" s="699"/>
      <c r="M303" s="695">
        <v>-51497</v>
      </c>
      <c r="N303" s="697"/>
      <c r="O303" s="699">
        <f t="shared" si="123"/>
        <v>-51497</v>
      </c>
      <c r="P303" s="699">
        <f t="shared" si="125"/>
        <v>-51497</v>
      </c>
      <c r="Q303" s="665" t="s">
        <v>1080</v>
      </c>
    </row>
    <row r="304" spans="1:17" ht="63" x14ac:dyDescent="0.25">
      <c r="A304" s="754"/>
      <c r="B304" s="716" t="s">
        <v>1178</v>
      </c>
      <c r="C304" s="694"/>
      <c r="D304" s="695"/>
      <c r="E304" s="695"/>
      <c r="F304" s="697"/>
      <c r="G304" s="697"/>
      <c r="H304" s="699"/>
      <c r="I304" s="694"/>
      <c r="J304" s="694"/>
      <c r="K304" s="697"/>
      <c r="L304" s="699"/>
      <c r="M304" s="695">
        <v>82465</v>
      </c>
      <c r="N304" s="697"/>
      <c r="O304" s="699">
        <f t="shared" si="123"/>
        <v>82465</v>
      </c>
      <c r="P304" s="699">
        <f t="shared" si="125"/>
        <v>82465</v>
      </c>
      <c r="Q304" s="665" t="s">
        <v>1080</v>
      </c>
    </row>
    <row r="305" spans="1:17" ht="31.5" x14ac:dyDescent="0.25">
      <c r="A305" s="754"/>
      <c r="B305" s="716" t="s">
        <v>1334</v>
      </c>
      <c r="C305" s="694"/>
      <c r="D305" s="695"/>
      <c r="E305" s="695"/>
      <c r="F305" s="697"/>
      <c r="G305" s="697"/>
      <c r="H305" s="699"/>
      <c r="I305" s="694"/>
      <c r="J305" s="694"/>
      <c r="K305" s="697"/>
      <c r="L305" s="699"/>
      <c r="M305" s="695">
        <v>-579</v>
      </c>
      <c r="N305" s="697"/>
      <c r="O305" s="699">
        <f t="shared" si="123"/>
        <v>-579</v>
      </c>
      <c r="P305" s="699">
        <f t="shared" si="125"/>
        <v>-579</v>
      </c>
      <c r="Q305" s="665" t="s">
        <v>1080</v>
      </c>
    </row>
    <row r="306" spans="1:17" ht="47.25" x14ac:dyDescent="0.25">
      <c r="A306" s="754"/>
      <c r="B306" s="716" t="s">
        <v>1384</v>
      </c>
      <c r="C306" s="694"/>
      <c r="D306" s="695"/>
      <c r="E306" s="695"/>
      <c r="F306" s="697"/>
      <c r="G306" s="697"/>
      <c r="H306" s="699"/>
      <c r="I306" s="694"/>
      <c r="J306" s="694"/>
      <c r="K306" s="697"/>
      <c r="L306" s="699"/>
      <c r="M306" s="695">
        <v>-5000</v>
      </c>
      <c r="N306" s="697"/>
      <c r="O306" s="699">
        <f t="shared" si="123"/>
        <v>-5000</v>
      </c>
      <c r="P306" s="699">
        <f t="shared" si="125"/>
        <v>-5000</v>
      </c>
      <c r="Q306" s="665" t="s">
        <v>1080</v>
      </c>
    </row>
    <row r="307" spans="1:17" x14ac:dyDescent="0.25">
      <c r="A307" s="754"/>
      <c r="B307" s="716" t="s">
        <v>1385</v>
      </c>
      <c r="C307" s="694"/>
      <c r="D307" s="695"/>
      <c r="E307" s="695"/>
      <c r="F307" s="697"/>
      <c r="G307" s="697"/>
      <c r="H307" s="699"/>
      <c r="I307" s="694"/>
      <c r="J307" s="694"/>
      <c r="K307" s="697"/>
      <c r="L307" s="699"/>
      <c r="M307" s="695">
        <v>-3150</v>
      </c>
      <c r="N307" s="697"/>
      <c r="O307" s="699">
        <f t="shared" si="123"/>
        <v>-3150</v>
      </c>
      <c r="P307" s="699">
        <f t="shared" si="125"/>
        <v>-3150</v>
      </c>
      <c r="Q307" s="665" t="s">
        <v>1080</v>
      </c>
    </row>
    <row r="308" spans="1:17" x14ac:dyDescent="0.25">
      <c r="A308" s="708"/>
      <c r="B308" s="716"/>
      <c r="C308" s="694"/>
      <c r="D308" s="695"/>
      <c r="E308" s="695"/>
      <c r="F308" s="697"/>
      <c r="G308" s="697"/>
      <c r="H308" s="699"/>
      <c r="I308" s="694"/>
      <c r="J308" s="694"/>
      <c r="K308" s="697"/>
      <c r="L308" s="699"/>
      <c r="M308" s="695"/>
      <c r="N308" s="697"/>
      <c r="O308" s="699">
        <f t="shared" si="123"/>
        <v>0</v>
      </c>
      <c r="P308" s="699">
        <f t="shared" si="125"/>
        <v>0</v>
      </c>
      <c r="Q308" s="665" t="s">
        <v>1080</v>
      </c>
    </row>
    <row r="309" spans="1:17" x14ac:dyDescent="0.25">
      <c r="A309" s="708"/>
      <c r="B309" s="716"/>
      <c r="C309" s="694"/>
      <c r="D309" s="695"/>
      <c r="E309" s="695"/>
      <c r="F309" s="697"/>
      <c r="G309" s="697"/>
      <c r="H309" s="699"/>
      <c r="I309" s="694"/>
      <c r="J309" s="694"/>
      <c r="K309" s="697"/>
      <c r="L309" s="699"/>
      <c r="M309" s="695"/>
      <c r="N309" s="697"/>
      <c r="O309" s="699">
        <f t="shared" si="123"/>
        <v>0</v>
      </c>
      <c r="P309" s="699">
        <f t="shared" si="125"/>
        <v>0</v>
      </c>
      <c r="Q309" s="665" t="s">
        <v>1078</v>
      </c>
    </row>
    <row r="310" spans="1:17" x14ac:dyDescent="0.25">
      <c r="A310" s="708"/>
      <c r="B310" s="716"/>
      <c r="C310" s="694"/>
      <c r="D310" s="695"/>
      <c r="E310" s="695"/>
      <c r="F310" s="697"/>
      <c r="G310" s="697"/>
      <c r="H310" s="699"/>
      <c r="I310" s="694"/>
      <c r="J310" s="694"/>
      <c r="K310" s="697"/>
      <c r="L310" s="699"/>
      <c r="M310" s="694"/>
      <c r="N310" s="697"/>
      <c r="O310" s="699"/>
      <c r="P310" s="699"/>
    </row>
    <row r="311" spans="1:17" ht="35.25" customHeight="1" x14ac:dyDescent="0.25">
      <c r="A311" s="710"/>
      <c r="B311" s="744" t="s">
        <v>1167</v>
      </c>
      <c r="C311" s="713"/>
      <c r="D311" s="713"/>
      <c r="E311" s="713"/>
      <c r="F311" s="713"/>
      <c r="G311" s="714"/>
      <c r="H311" s="681"/>
      <c r="I311" s="712"/>
      <c r="J311" s="712"/>
      <c r="K311" s="715"/>
      <c r="L311" s="698"/>
      <c r="M311" s="712"/>
      <c r="N311" s="715"/>
      <c r="O311" s="709"/>
      <c r="P311" s="681"/>
    </row>
    <row r="312" spans="1:17" x14ac:dyDescent="0.25">
      <c r="A312" s="724"/>
      <c r="B312" s="716"/>
      <c r="C312" s="713"/>
      <c r="D312" s="713"/>
      <c r="E312" s="713"/>
      <c r="F312" s="713"/>
      <c r="G312" s="714"/>
      <c r="H312" s="698">
        <f t="shared" ref="H312" si="126">SUM(C312:G312)</f>
        <v>0</v>
      </c>
      <c r="I312" s="712"/>
      <c r="J312" s="712"/>
      <c r="K312" s="715"/>
      <c r="L312" s="698">
        <f t="shared" ref="L312" si="127">SUM(I312:K312)</f>
        <v>0</v>
      </c>
      <c r="M312" s="712"/>
      <c r="N312" s="715"/>
      <c r="O312" s="709"/>
      <c r="P312" s="698">
        <f t="shared" ref="P312" si="128">O312+L312+H312</f>
        <v>0</v>
      </c>
      <c r="Q312" s="665" t="s">
        <v>1078</v>
      </c>
    </row>
    <row r="313" spans="1:17" x14ac:dyDescent="0.25">
      <c r="A313" s="724"/>
      <c r="B313" s="716"/>
      <c r="C313" s="712"/>
      <c r="D313" s="713"/>
      <c r="E313" s="713"/>
      <c r="F313" s="715"/>
      <c r="G313" s="714"/>
      <c r="H313" s="698"/>
      <c r="I313" s="712"/>
      <c r="J313" s="712"/>
      <c r="K313" s="715"/>
      <c r="L313" s="698"/>
      <c r="M313" s="712"/>
      <c r="N313" s="715"/>
      <c r="O313" s="709"/>
      <c r="P313" s="698"/>
    </row>
    <row r="314" spans="1:17" x14ac:dyDescent="0.25">
      <c r="A314" s="708"/>
      <c r="B314" s="717" t="s">
        <v>1079</v>
      </c>
      <c r="C314" s="694"/>
      <c r="D314" s="695"/>
      <c r="E314" s="695"/>
      <c r="F314" s="697"/>
      <c r="G314" s="697"/>
      <c r="H314" s="699"/>
      <c r="I314" s="694"/>
      <c r="J314" s="694"/>
      <c r="K314" s="697"/>
      <c r="L314" s="699"/>
      <c r="M314" s="694"/>
      <c r="N314" s="697"/>
      <c r="O314" s="699"/>
      <c r="P314" s="699"/>
    </row>
    <row r="315" spans="1:17" x14ac:dyDescent="0.25">
      <c r="A315" s="708"/>
      <c r="B315" s="735"/>
      <c r="C315" s="694"/>
      <c r="D315" s="695"/>
      <c r="E315" s="695"/>
      <c r="F315" s="697"/>
      <c r="G315" s="697"/>
      <c r="H315" s="699"/>
      <c r="I315" s="694"/>
      <c r="J315" s="694"/>
      <c r="K315" s="697"/>
      <c r="L315" s="699"/>
      <c r="M315" s="695"/>
      <c r="N315" s="697"/>
      <c r="O315" s="699">
        <f t="shared" ref="O315" si="129">SUM(M315:N315)</f>
        <v>0</v>
      </c>
      <c r="P315" s="699">
        <f t="shared" ref="P315" si="130">SUM(O315+L315+H315)</f>
        <v>0</v>
      </c>
      <c r="Q315" s="665" t="s">
        <v>1080</v>
      </c>
    </row>
    <row r="316" spans="1:17" x14ac:dyDescent="0.25">
      <c r="A316" s="708"/>
      <c r="B316" s="735"/>
      <c r="C316" s="694"/>
      <c r="D316" s="695"/>
      <c r="E316" s="695"/>
      <c r="F316" s="697"/>
      <c r="G316" s="697"/>
      <c r="H316" s="699"/>
      <c r="I316" s="694"/>
      <c r="J316" s="694"/>
      <c r="K316" s="697"/>
      <c r="L316" s="699"/>
      <c r="M316" s="695"/>
      <c r="N316" s="697"/>
      <c r="O316" s="699"/>
      <c r="P316" s="699"/>
    </row>
    <row r="317" spans="1:17" x14ac:dyDescent="0.25">
      <c r="A317" s="708"/>
      <c r="B317" s="711" t="s">
        <v>1092</v>
      </c>
      <c r="C317" s="694" t="s">
        <v>1191</v>
      </c>
      <c r="D317" s="695"/>
      <c r="E317" s="695"/>
      <c r="F317" s="697"/>
      <c r="G317" s="697"/>
      <c r="H317" s="699"/>
      <c r="I317" s="694"/>
      <c r="J317" s="694"/>
      <c r="K317" s="697"/>
      <c r="L317" s="699"/>
      <c r="M317" s="695"/>
      <c r="N317" s="697"/>
      <c r="O317" s="699"/>
      <c r="P317" s="699">
        <f t="shared" ref="P317:P324" si="131">SUM(O317+L317+H317)</f>
        <v>0</v>
      </c>
    </row>
    <row r="318" spans="1:17" ht="52.5" customHeight="1" x14ac:dyDescent="0.25">
      <c r="A318" s="708"/>
      <c r="B318" s="735" t="s">
        <v>1386</v>
      </c>
      <c r="C318" s="694" t="s">
        <v>1191</v>
      </c>
      <c r="D318" s="695"/>
      <c r="E318" s="695"/>
      <c r="F318" s="697"/>
      <c r="G318" s="697"/>
      <c r="H318" s="699"/>
      <c r="I318" s="694"/>
      <c r="J318" s="694"/>
      <c r="K318" s="697"/>
      <c r="L318" s="699"/>
      <c r="M318" s="697">
        <v>-5204</v>
      </c>
      <c r="N318" s="697"/>
      <c r="O318" s="699">
        <f t="shared" ref="O318:O324" si="132">SUM(M318:N318)</f>
        <v>-5204</v>
      </c>
      <c r="P318" s="699">
        <f t="shared" si="131"/>
        <v>-5204</v>
      </c>
      <c r="Q318" s="665" t="s">
        <v>1080</v>
      </c>
    </row>
    <row r="319" spans="1:17" ht="31.5" x14ac:dyDescent="0.25">
      <c r="A319" s="708"/>
      <c r="B319" s="735" t="s">
        <v>1387</v>
      </c>
      <c r="C319" s="694" t="s">
        <v>1191</v>
      </c>
      <c r="D319" s="695"/>
      <c r="E319" s="695"/>
      <c r="F319" s="697"/>
      <c r="G319" s="697"/>
      <c r="H319" s="699"/>
      <c r="I319" s="694"/>
      <c r="J319" s="694"/>
      <c r="K319" s="697"/>
      <c r="L319" s="699"/>
      <c r="M319" s="697">
        <v>-233</v>
      </c>
      <c r="N319" s="697"/>
      <c r="O319" s="699">
        <f t="shared" si="132"/>
        <v>-233</v>
      </c>
      <c r="P319" s="699">
        <f t="shared" si="131"/>
        <v>-233</v>
      </c>
      <c r="Q319" s="665" t="s">
        <v>1078</v>
      </c>
    </row>
    <row r="320" spans="1:17" ht="31.5" x14ac:dyDescent="0.25">
      <c r="A320" s="708"/>
      <c r="B320" s="735" t="s">
        <v>1388</v>
      </c>
      <c r="C320" s="694" t="s">
        <v>1191</v>
      </c>
      <c r="D320" s="695"/>
      <c r="E320" s="695"/>
      <c r="F320" s="697"/>
      <c r="G320" s="697"/>
      <c r="H320" s="699"/>
      <c r="I320" s="694"/>
      <c r="J320" s="694"/>
      <c r="K320" s="697"/>
      <c r="L320" s="699"/>
      <c r="M320" s="697">
        <v>-35663</v>
      </c>
      <c r="N320" s="697"/>
      <c r="O320" s="699">
        <f t="shared" si="132"/>
        <v>-35663</v>
      </c>
      <c r="P320" s="699">
        <f t="shared" si="131"/>
        <v>-35663</v>
      </c>
      <c r="Q320" s="665" t="s">
        <v>1078</v>
      </c>
    </row>
    <row r="321" spans="1:17" x14ac:dyDescent="0.25">
      <c r="A321" s="708"/>
      <c r="B321" s="711" t="s">
        <v>1389</v>
      </c>
      <c r="C321" s="694" t="s">
        <v>1191</v>
      </c>
      <c r="D321" s="695"/>
      <c r="E321" s="695"/>
      <c r="F321" s="697"/>
      <c r="G321" s="697"/>
      <c r="H321" s="699"/>
      <c r="I321" s="694"/>
      <c r="J321" s="694"/>
      <c r="K321" s="697"/>
      <c r="L321" s="699"/>
      <c r="M321" s="695"/>
      <c r="N321" s="697"/>
      <c r="O321" s="699"/>
      <c r="P321" s="699">
        <f t="shared" si="131"/>
        <v>0</v>
      </c>
    </row>
    <row r="322" spans="1:17" ht="31.5" x14ac:dyDescent="0.25">
      <c r="A322" s="708"/>
      <c r="B322" s="735" t="s">
        <v>1390</v>
      </c>
      <c r="C322" s="694" t="s">
        <v>1191</v>
      </c>
      <c r="D322" s="695"/>
      <c r="E322" s="695"/>
      <c r="F322" s="697"/>
      <c r="G322" s="697"/>
      <c r="H322" s="699"/>
      <c r="I322" s="694"/>
      <c r="J322" s="694"/>
      <c r="K322" s="697"/>
      <c r="L322" s="699"/>
      <c r="M322" s="697">
        <v>57000</v>
      </c>
      <c r="N322" s="697"/>
      <c r="O322" s="699">
        <f t="shared" ref="O322" si="133">SUM(M322:N322)</f>
        <v>57000</v>
      </c>
      <c r="P322" s="699">
        <f t="shared" si="131"/>
        <v>57000</v>
      </c>
      <c r="Q322" s="665" t="s">
        <v>1080</v>
      </c>
    </row>
    <row r="323" spans="1:17" ht="31.5" x14ac:dyDescent="0.25">
      <c r="A323" s="708"/>
      <c r="B323" s="735" t="s">
        <v>1391</v>
      </c>
      <c r="C323" s="694" t="s">
        <v>1191</v>
      </c>
      <c r="D323" s="695"/>
      <c r="E323" s="695"/>
      <c r="F323" s="697"/>
      <c r="G323" s="697"/>
      <c r="H323" s="699"/>
      <c r="I323" s="694"/>
      <c r="J323" s="694"/>
      <c r="K323" s="697"/>
      <c r="L323" s="699"/>
      <c r="M323" s="697">
        <v>7405</v>
      </c>
      <c r="N323" s="697"/>
      <c r="O323" s="699">
        <f t="shared" si="132"/>
        <v>7405</v>
      </c>
      <c r="P323" s="699">
        <f t="shared" si="131"/>
        <v>7405</v>
      </c>
      <c r="Q323" s="665" t="s">
        <v>1080</v>
      </c>
    </row>
    <row r="324" spans="1:17" x14ac:dyDescent="0.25">
      <c r="A324" s="708"/>
      <c r="B324" s="735"/>
      <c r="C324" s="694" t="s">
        <v>1191</v>
      </c>
      <c r="D324" s="695"/>
      <c r="E324" s="695"/>
      <c r="F324" s="697"/>
      <c r="G324" s="697"/>
      <c r="H324" s="699"/>
      <c r="I324" s="694"/>
      <c r="J324" s="694"/>
      <c r="K324" s="697"/>
      <c r="L324" s="699"/>
      <c r="M324" s="697"/>
      <c r="N324" s="697"/>
      <c r="O324" s="699">
        <f t="shared" si="132"/>
        <v>0</v>
      </c>
      <c r="P324" s="699">
        <f t="shared" si="131"/>
        <v>0</v>
      </c>
      <c r="Q324" s="665" t="s">
        <v>1080</v>
      </c>
    </row>
    <row r="325" spans="1:17" x14ac:dyDescent="0.25">
      <c r="A325" s="734"/>
      <c r="B325" s="721" t="s">
        <v>53</v>
      </c>
      <c r="C325" s="712"/>
      <c r="D325" s="713"/>
      <c r="E325" s="713"/>
      <c r="F325" s="715"/>
      <c r="G325" s="715"/>
      <c r="H325" s="698"/>
      <c r="I325" s="712"/>
      <c r="J325" s="712"/>
      <c r="K325" s="715"/>
      <c r="L325" s="698"/>
      <c r="M325" s="712"/>
      <c r="N325" s="759"/>
      <c r="O325" s="698"/>
      <c r="P325" s="681"/>
    </row>
    <row r="326" spans="1:17" ht="35.25" customHeight="1" x14ac:dyDescent="0.25">
      <c r="A326" s="710"/>
      <c r="B326" s="744" t="s">
        <v>1167</v>
      </c>
      <c r="C326" s="713"/>
      <c r="D326" s="713"/>
      <c r="E326" s="713"/>
      <c r="F326" s="713"/>
      <c r="G326" s="714"/>
      <c r="H326" s="681"/>
      <c r="I326" s="712"/>
      <c r="J326" s="712"/>
      <c r="K326" s="715"/>
      <c r="L326" s="698"/>
      <c r="M326" s="712"/>
      <c r="N326" s="715"/>
      <c r="O326" s="709"/>
      <c r="P326" s="681"/>
    </row>
    <row r="327" spans="1:17" ht="45.75" customHeight="1" x14ac:dyDescent="0.25">
      <c r="A327" s="724"/>
      <c r="B327" s="716" t="s">
        <v>1192</v>
      </c>
      <c r="C327" s="713"/>
      <c r="D327" s="713"/>
      <c r="E327" s="713"/>
      <c r="F327" s="713"/>
      <c r="G327" s="714"/>
      <c r="H327" s="698">
        <f t="shared" ref="H327:H331" si="134">SUM(C327:G327)</f>
        <v>0</v>
      </c>
      <c r="I327" s="712"/>
      <c r="J327" s="712"/>
      <c r="K327" s="715"/>
      <c r="L327" s="698">
        <f t="shared" ref="L327:L331" si="135">SUM(I327:K327)</f>
        <v>0</v>
      </c>
      <c r="M327" s="712"/>
      <c r="N327" s="715">
        <v>-201586</v>
      </c>
      <c r="O327" s="709"/>
      <c r="P327" s="698">
        <f t="shared" ref="P327:P331" si="136">O327+L327+H327</f>
        <v>0</v>
      </c>
      <c r="Q327" s="665" t="s">
        <v>1078</v>
      </c>
    </row>
    <row r="328" spans="1:17" ht="45.75" customHeight="1" x14ac:dyDescent="0.25">
      <c r="A328" s="724"/>
      <c r="B328" s="716" t="s">
        <v>1392</v>
      </c>
      <c r="C328" s="713"/>
      <c r="D328" s="713"/>
      <c r="E328" s="713"/>
      <c r="F328" s="713"/>
      <c r="G328" s="714"/>
      <c r="H328" s="698">
        <f t="shared" si="134"/>
        <v>0</v>
      </c>
      <c r="I328" s="712"/>
      <c r="J328" s="712"/>
      <c r="K328" s="715"/>
      <c r="L328" s="698">
        <f t="shared" si="135"/>
        <v>0</v>
      </c>
      <c r="M328" s="712"/>
      <c r="N328" s="715">
        <v>-23961</v>
      </c>
      <c r="O328" s="709"/>
      <c r="P328" s="698">
        <f t="shared" si="136"/>
        <v>0</v>
      </c>
      <c r="Q328" s="665" t="s">
        <v>1078</v>
      </c>
    </row>
    <row r="329" spans="1:17" ht="78.75" customHeight="1" x14ac:dyDescent="0.25">
      <c r="A329" s="724"/>
      <c r="B329" s="716" t="s">
        <v>1393</v>
      </c>
      <c r="C329" s="713"/>
      <c r="D329" s="713"/>
      <c r="E329" s="713"/>
      <c r="F329" s="713"/>
      <c r="G329" s="714"/>
      <c r="H329" s="681">
        <f t="shared" si="134"/>
        <v>0</v>
      </c>
      <c r="I329" s="712"/>
      <c r="J329" s="712"/>
      <c r="K329" s="715"/>
      <c r="L329" s="698">
        <f t="shared" si="135"/>
        <v>0</v>
      </c>
      <c r="M329" s="712"/>
      <c r="N329" s="715">
        <v>374030</v>
      </c>
      <c r="O329" s="709"/>
      <c r="P329" s="681">
        <f t="shared" si="136"/>
        <v>0</v>
      </c>
      <c r="Q329" s="665" t="s">
        <v>1078</v>
      </c>
    </row>
    <row r="330" spans="1:17" ht="47.25" x14ac:dyDescent="0.25">
      <c r="A330" s="724"/>
      <c r="B330" s="716" t="s">
        <v>1394</v>
      </c>
      <c r="C330" s="713"/>
      <c r="D330" s="713"/>
      <c r="E330" s="713"/>
      <c r="F330" s="713"/>
      <c r="G330" s="714"/>
      <c r="H330" s="681">
        <f t="shared" si="134"/>
        <v>0</v>
      </c>
      <c r="I330" s="712"/>
      <c r="J330" s="712"/>
      <c r="K330" s="715"/>
      <c r="L330" s="698">
        <f t="shared" si="135"/>
        <v>0</v>
      </c>
      <c r="M330" s="712"/>
      <c r="N330" s="715">
        <v>-50000</v>
      </c>
      <c r="O330" s="709"/>
      <c r="P330" s="681">
        <f t="shared" si="136"/>
        <v>0</v>
      </c>
      <c r="Q330" s="665" t="s">
        <v>1078</v>
      </c>
    </row>
    <row r="331" spans="1:17" ht="31.5" x14ac:dyDescent="0.25">
      <c r="A331" s="724"/>
      <c r="B331" s="716" t="s">
        <v>1321</v>
      </c>
      <c r="C331" s="713"/>
      <c r="D331" s="713"/>
      <c r="E331" s="713"/>
      <c r="F331" s="713"/>
      <c r="G331" s="714"/>
      <c r="H331" s="681">
        <f t="shared" si="134"/>
        <v>0</v>
      </c>
      <c r="I331" s="712"/>
      <c r="J331" s="712"/>
      <c r="K331" s="715"/>
      <c r="L331" s="698">
        <f t="shared" si="135"/>
        <v>0</v>
      </c>
      <c r="M331" s="712"/>
      <c r="N331" s="715">
        <v>-189000</v>
      </c>
      <c r="O331" s="709"/>
      <c r="P331" s="681">
        <f t="shared" si="136"/>
        <v>0</v>
      </c>
      <c r="Q331" s="665" t="s">
        <v>1078</v>
      </c>
    </row>
    <row r="332" spans="1:17" x14ac:dyDescent="0.25">
      <c r="A332" s="724"/>
      <c r="B332" s="716"/>
      <c r="C332" s="712"/>
      <c r="D332" s="713"/>
      <c r="E332" s="713"/>
      <c r="F332" s="713"/>
      <c r="G332" s="714"/>
      <c r="H332" s="681"/>
      <c r="I332" s="712"/>
      <c r="J332" s="712"/>
      <c r="K332" s="715"/>
      <c r="L332" s="698"/>
      <c r="M332" s="712"/>
      <c r="N332" s="715"/>
      <c r="O332" s="709"/>
      <c r="P332" s="681"/>
    </row>
    <row r="333" spans="1:17" ht="47.25" x14ac:dyDescent="0.25">
      <c r="A333" s="734"/>
      <c r="B333" s="711" t="s">
        <v>1164</v>
      </c>
      <c r="C333" s="712"/>
      <c r="D333" s="713"/>
      <c r="E333" s="713"/>
      <c r="F333" s="713"/>
      <c r="G333" s="720"/>
      <c r="H333" s="681"/>
      <c r="I333" s="712"/>
      <c r="J333" s="712"/>
      <c r="K333" s="715"/>
      <c r="L333" s="698"/>
      <c r="M333" s="712"/>
      <c r="N333" s="715"/>
      <c r="O333" s="709"/>
      <c r="P333" s="681"/>
    </row>
    <row r="334" spans="1:17" ht="126" x14ac:dyDescent="0.25">
      <c r="A334" s="734"/>
      <c r="B334" s="1115" t="s">
        <v>1395</v>
      </c>
      <c r="C334" s="712"/>
      <c r="D334" s="713"/>
      <c r="E334" s="713"/>
      <c r="F334" s="713"/>
      <c r="G334" s="720"/>
      <c r="H334" s="681">
        <f t="shared" ref="H334" si="137">SUM(C334:G334)</f>
        <v>0</v>
      </c>
      <c r="I334" s="712"/>
      <c r="J334" s="712"/>
      <c r="K334" s="715"/>
      <c r="L334" s="698">
        <f t="shared" ref="L334" si="138">SUM(I334:K334)</f>
        <v>0</v>
      </c>
      <c r="M334" s="712"/>
      <c r="N334" s="715">
        <v>-750</v>
      </c>
      <c r="O334" s="709"/>
      <c r="P334" s="681">
        <f t="shared" ref="P334" si="139">O334+L334+H334</f>
        <v>0</v>
      </c>
      <c r="Q334" s="665" t="s">
        <v>1078</v>
      </c>
    </row>
    <row r="335" spans="1:17" x14ac:dyDescent="0.25">
      <c r="A335" s="724"/>
      <c r="B335" s="716"/>
      <c r="C335" s="712"/>
      <c r="D335" s="713"/>
      <c r="E335" s="713"/>
      <c r="F335" s="715"/>
      <c r="G335" s="714"/>
      <c r="H335" s="681"/>
      <c r="I335" s="712"/>
      <c r="J335" s="712"/>
      <c r="K335" s="715"/>
      <c r="L335" s="698"/>
      <c r="M335" s="712"/>
      <c r="N335" s="715"/>
      <c r="O335" s="709"/>
      <c r="P335" s="681"/>
    </row>
    <row r="336" spans="1:17" x14ac:dyDescent="0.25">
      <c r="A336" s="734"/>
      <c r="B336" s="760" t="s">
        <v>1079</v>
      </c>
      <c r="C336" s="712"/>
      <c r="D336" s="713"/>
      <c r="E336" s="713"/>
      <c r="F336" s="715"/>
      <c r="G336" s="715"/>
      <c r="H336" s="698"/>
      <c r="I336" s="712"/>
      <c r="J336" s="712"/>
      <c r="K336" s="715"/>
      <c r="L336" s="698"/>
      <c r="M336" s="712"/>
      <c r="N336" s="759"/>
      <c r="O336" s="698"/>
      <c r="P336" s="681"/>
    </row>
    <row r="337" spans="1:17" ht="31.5" x14ac:dyDescent="0.25">
      <c r="A337" s="734"/>
      <c r="B337" s="742" t="s">
        <v>1088</v>
      </c>
      <c r="C337" s="712"/>
      <c r="D337" s="713"/>
      <c r="E337" s="713"/>
      <c r="F337" s="715"/>
      <c r="G337" s="715"/>
      <c r="H337" s="698"/>
      <c r="I337" s="712"/>
      <c r="J337" s="712"/>
      <c r="K337" s="715"/>
      <c r="L337" s="698"/>
      <c r="M337" s="712"/>
      <c r="N337" s="715">
        <v>4614</v>
      </c>
      <c r="O337" s="709">
        <f t="shared" ref="O337:O340" si="140">SUM(M337:N337)</f>
        <v>4614</v>
      </c>
      <c r="P337" s="681">
        <f t="shared" ref="P337:P340" si="141">SUM(O337)</f>
        <v>4614</v>
      </c>
      <c r="Q337" s="665" t="s">
        <v>1396</v>
      </c>
    </row>
    <row r="338" spans="1:17" x14ac:dyDescent="0.25">
      <c r="A338" s="734"/>
      <c r="B338" s="742" t="s">
        <v>1089</v>
      </c>
      <c r="C338" s="712"/>
      <c r="D338" s="713"/>
      <c r="E338" s="713"/>
      <c r="F338" s="715"/>
      <c r="G338" s="715"/>
      <c r="H338" s="698"/>
      <c r="I338" s="712"/>
      <c r="J338" s="712"/>
      <c r="K338" s="715"/>
      <c r="L338" s="698"/>
      <c r="M338" s="712"/>
      <c r="N338" s="715">
        <v>44200</v>
      </c>
      <c r="O338" s="709">
        <f t="shared" si="140"/>
        <v>44200</v>
      </c>
      <c r="P338" s="681">
        <f t="shared" si="141"/>
        <v>44200</v>
      </c>
      <c r="Q338" s="665" t="s">
        <v>1078</v>
      </c>
    </row>
    <row r="339" spans="1:17" ht="47.25" x14ac:dyDescent="0.25">
      <c r="A339" s="734"/>
      <c r="B339" s="742" t="s">
        <v>1090</v>
      </c>
      <c r="C339" s="712"/>
      <c r="D339" s="713"/>
      <c r="E339" s="713"/>
      <c r="F339" s="715"/>
      <c r="G339" s="715"/>
      <c r="H339" s="698"/>
      <c r="I339" s="712"/>
      <c r="J339" s="712"/>
      <c r="K339" s="715"/>
      <c r="L339" s="698"/>
      <c r="M339" s="712"/>
      <c r="N339" s="715">
        <v>1706</v>
      </c>
      <c r="O339" s="709">
        <f t="shared" si="140"/>
        <v>1706</v>
      </c>
      <c r="P339" s="681">
        <f t="shared" si="141"/>
        <v>1706</v>
      </c>
      <c r="Q339" s="665" t="s">
        <v>1078</v>
      </c>
    </row>
    <row r="340" spans="1:17" x14ac:dyDescent="0.25">
      <c r="A340" s="734"/>
      <c r="B340" s="742" t="s">
        <v>1091</v>
      </c>
      <c r="C340" s="712"/>
      <c r="D340" s="713"/>
      <c r="E340" s="713"/>
      <c r="F340" s="715"/>
      <c r="G340" s="715"/>
      <c r="H340" s="698"/>
      <c r="I340" s="712"/>
      <c r="J340" s="712"/>
      <c r="K340" s="715"/>
      <c r="L340" s="698"/>
      <c r="M340" s="712"/>
      <c r="N340" s="715">
        <v>24367</v>
      </c>
      <c r="O340" s="709">
        <f t="shared" si="140"/>
        <v>24367</v>
      </c>
      <c r="P340" s="681">
        <f t="shared" si="141"/>
        <v>24367</v>
      </c>
      <c r="Q340" s="665" t="s">
        <v>1397</v>
      </c>
    </row>
    <row r="341" spans="1:17" x14ac:dyDescent="0.25">
      <c r="A341" s="761"/>
      <c r="B341" s="742"/>
      <c r="C341" s="762"/>
      <c r="D341" s="763"/>
      <c r="E341" s="763"/>
      <c r="F341" s="764"/>
      <c r="G341" s="764"/>
      <c r="H341" s="765"/>
      <c r="I341" s="762"/>
      <c r="J341" s="762"/>
      <c r="K341" s="764"/>
      <c r="L341" s="765"/>
      <c r="M341" s="762"/>
      <c r="N341" s="764"/>
      <c r="O341" s="709"/>
      <c r="P341" s="681"/>
    </row>
    <row r="342" spans="1:17" ht="29.25" customHeight="1" x14ac:dyDescent="0.25">
      <c r="A342" s="761"/>
      <c r="B342" s="711" t="s">
        <v>1163</v>
      </c>
      <c r="C342" s="762"/>
      <c r="D342" s="763"/>
      <c r="E342" s="763"/>
      <c r="F342" s="764"/>
      <c r="G342" s="764"/>
      <c r="H342" s="765"/>
      <c r="I342" s="762"/>
      <c r="J342" s="762"/>
      <c r="K342" s="764"/>
      <c r="L342" s="765"/>
      <c r="M342" s="762"/>
      <c r="N342" s="764"/>
      <c r="O342" s="709"/>
      <c r="P342" s="681"/>
    </row>
    <row r="343" spans="1:17" ht="33.75" customHeight="1" x14ac:dyDescent="0.25">
      <c r="A343" s="734"/>
      <c r="B343" s="767" t="s">
        <v>1398</v>
      </c>
      <c r="C343" s="712"/>
      <c r="D343" s="713"/>
      <c r="E343" s="713"/>
      <c r="F343" s="715"/>
      <c r="G343" s="715"/>
      <c r="H343" s="698"/>
      <c r="I343" s="712"/>
      <c r="J343" s="712"/>
      <c r="K343" s="715"/>
      <c r="L343" s="698"/>
      <c r="M343" s="712"/>
      <c r="N343" s="715">
        <v>-18945</v>
      </c>
      <c r="O343" s="709">
        <f t="shared" ref="O343:O344" si="142">SUM(M343:N343)</f>
        <v>-18945</v>
      </c>
      <c r="P343" s="681">
        <f t="shared" ref="P343:P344" si="143">SUM(O343)</f>
        <v>-18945</v>
      </c>
      <c r="Q343" s="665" t="s">
        <v>1397</v>
      </c>
    </row>
    <row r="344" spans="1:17" ht="31.5" x14ac:dyDescent="0.25">
      <c r="A344" s="734"/>
      <c r="B344" s="742" t="s">
        <v>1399</v>
      </c>
      <c r="C344" s="712"/>
      <c r="D344" s="713"/>
      <c r="E344" s="713"/>
      <c r="F344" s="715"/>
      <c r="G344" s="715"/>
      <c r="H344" s="698"/>
      <c r="I344" s="712"/>
      <c r="J344" s="712"/>
      <c r="K344" s="715"/>
      <c r="L344" s="698"/>
      <c r="M344" s="712"/>
      <c r="N344" s="715">
        <v>18945</v>
      </c>
      <c r="O344" s="709">
        <f t="shared" si="142"/>
        <v>18945</v>
      </c>
      <c r="P344" s="698">
        <f t="shared" si="143"/>
        <v>18945</v>
      </c>
      <c r="Q344" s="665" t="s">
        <v>1397</v>
      </c>
    </row>
    <row r="345" spans="1:17" x14ac:dyDescent="0.25">
      <c r="A345" s="734"/>
      <c r="B345" s="742"/>
      <c r="C345" s="712"/>
      <c r="D345" s="713"/>
      <c r="E345" s="713"/>
      <c r="F345" s="715"/>
      <c r="G345" s="715"/>
      <c r="H345" s="698"/>
      <c r="I345" s="712"/>
      <c r="J345" s="712"/>
      <c r="K345" s="715"/>
      <c r="L345" s="698"/>
      <c r="M345" s="712"/>
      <c r="N345" s="715"/>
      <c r="O345" s="709"/>
      <c r="P345" s="698"/>
    </row>
    <row r="346" spans="1:17" x14ac:dyDescent="0.25">
      <c r="A346" s="761"/>
      <c r="B346" s="766" t="s">
        <v>1092</v>
      </c>
      <c r="C346" s="762"/>
      <c r="D346" s="763"/>
      <c r="E346" s="763"/>
      <c r="F346" s="764"/>
      <c r="G346" s="764"/>
      <c r="H346" s="765"/>
      <c r="I346" s="762"/>
      <c r="J346" s="762"/>
      <c r="K346" s="764"/>
      <c r="L346" s="765"/>
      <c r="M346" s="762"/>
      <c r="N346" s="764"/>
      <c r="O346" s="709"/>
      <c r="P346" s="681"/>
    </row>
    <row r="347" spans="1:17" ht="47.25" x14ac:dyDescent="0.25">
      <c r="A347" s="761"/>
      <c r="B347" s="767" t="s">
        <v>1400</v>
      </c>
      <c r="C347" s="762"/>
      <c r="D347" s="763"/>
      <c r="E347" s="763"/>
      <c r="F347" s="764"/>
      <c r="G347" s="764"/>
      <c r="H347" s="765"/>
      <c r="I347" s="762"/>
      <c r="J347" s="762"/>
      <c r="K347" s="764"/>
      <c r="L347" s="765"/>
      <c r="M347" s="762"/>
      <c r="N347" s="764">
        <v>-10337</v>
      </c>
      <c r="O347" s="709">
        <f t="shared" ref="O347:O354" si="144">SUM(M347:N347)</f>
        <v>-10337</v>
      </c>
      <c r="P347" s="681">
        <f t="shared" ref="P347:P354" si="145">SUM(O347)</f>
        <v>-10337</v>
      </c>
      <c r="Q347" s="665" t="s">
        <v>1078</v>
      </c>
    </row>
    <row r="348" spans="1:17" x14ac:dyDescent="0.25">
      <c r="A348" s="761"/>
      <c r="B348" s="767" t="s">
        <v>1093</v>
      </c>
      <c r="C348" s="762"/>
      <c r="D348" s="763"/>
      <c r="E348" s="763"/>
      <c r="F348" s="764"/>
      <c r="G348" s="764"/>
      <c r="H348" s="765"/>
      <c r="I348" s="762"/>
      <c r="J348" s="762"/>
      <c r="K348" s="764"/>
      <c r="L348" s="765"/>
      <c r="M348" s="762"/>
      <c r="N348" s="764">
        <v>-583</v>
      </c>
      <c r="O348" s="709">
        <f t="shared" si="144"/>
        <v>-583</v>
      </c>
      <c r="P348" s="681">
        <f t="shared" si="145"/>
        <v>-583</v>
      </c>
      <c r="Q348" s="665" t="s">
        <v>1078</v>
      </c>
    </row>
    <row r="349" spans="1:17" ht="31.5" x14ac:dyDescent="0.25">
      <c r="A349" s="761"/>
      <c r="B349" s="767" t="s">
        <v>1094</v>
      </c>
      <c r="C349" s="762"/>
      <c r="D349" s="763"/>
      <c r="E349" s="763"/>
      <c r="F349" s="764"/>
      <c r="G349" s="764"/>
      <c r="H349" s="765"/>
      <c r="I349" s="762"/>
      <c r="J349" s="762"/>
      <c r="K349" s="764"/>
      <c r="L349" s="765"/>
      <c r="M349" s="762"/>
      <c r="N349" s="764">
        <v>-27605</v>
      </c>
      <c r="O349" s="709">
        <f t="shared" si="144"/>
        <v>-27605</v>
      </c>
      <c r="P349" s="681">
        <f t="shared" si="145"/>
        <v>-27605</v>
      </c>
      <c r="Q349" s="665" t="s">
        <v>1078</v>
      </c>
    </row>
    <row r="350" spans="1:17" x14ac:dyDescent="0.25">
      <c r="A350" s="761"/>
      <c r="B350" s="767" t="s">
        <v>1095</v>
      </c>
      <c r="C350" s="762"/>
      <c r="D350" s="763"/>
      <c r="E350" s="763"/>
      <c r="F350" s="764"/>
      <c r="G350" s="764"/>
      <c r="H350" s="765"/>
      <c r="I350" s="762"/>
      <c r="J350" s="762"/>
      <c r="K350" s="764"/>
      <c r="L350" s="765"/>
      <c r="M350" s="762"/>
      <c r="N350" s="764">
        <v>-55920</v>
      </c>
      <c r="O350" s="709">
        <f t="shared" si="144"/>
        <v>-55920</v>
      </c>
      <c r="P350" s="681">
        <f t="shared" si="145"/>
        <v>-55920</v>
      </c>
      <c r="Q350" s="665" t="s">
        <v>1080</v>
      </c>
    </row>
    <row r="351" spans="1:17" x14ac:dyDescent="0.25">
      <c r="A351" s="761"/>
      <c r="B351" s="767" t="s">
        <v>1089</v>
      </c>
      <c r="C351" s="762"/>
      <c r="D351" s="763"/>
      <c r="E351" s="763"/>
      <c r="F351" s="764"/>
      <c r="G351" s="764"/>
      <c r="H351" s="765"/>
      <c r="I351" s="762"/>
      <c r="J351" s="762"/>
      <c r="K351" s="764"/>
      <c r="L351" s="765"/>
      <c r="M351" s="762"/>
      <c r="N351" s="764">
        <v>-44200</v>
      </c>
      <c r="O351" s="709">
        <f t="shared" si="144"/>
        <v>-44200</v>
      </c>
      <c r="P351" s="681">
        <f t="shared" si="145"/>
        <v>-44200</v>
      </c>
      <c r="Q351" s="665" t="s">
        <v>1084</v>
      </c>
    </row>
    <row r="352" spans="1:17" ht="47.25" x14ac:dyDescent="0.25">
      <c r="A352" s="761"/>
      <c r="B352" s="742" t="s">
        <v>1090</v>
      </c>
      <c r="C352" s="762"/>
      <c r="D352" s="763"/>
      <c r="E352" s="763"/>
      <c r="F352" s="764"/>
      <c r="G352" s="764"/>
      <c r="H352" s="765"/>
      <c r="I352" s="762"/>
      <c r="J352" s="762"/>
      <c r="K352" s="764"/>
      <c r="L352" s="765"/>
      <c r="M352" s="762"/>
      <c r="N352" s="764">
        <v>-1706</v>
      </c>
      <c r="O352" s="709">
        <f t="shared" si="144"/>
        <v>-1706</v>
      </c>
      <c r="P352" s="681">
        <f t="shared" si="145"/>
        <v>-1706</v>
      </c>
      <c r="Q352" s="665" t="s">
        <v>1084</v>
      </c>
    </row>
    <row r="353" spans="1:17" x14ac:dyDescent="0.25">
      <c r="A353" s="734"/>
      <c r="B353" s="742" t="s">
        <v>1091</v>
      </c>
      <c r="C353" s="712"/>
      <c r="D353" s="713"/>
      <c r="E353" s="713"/>
      <c r="F353" s="715"/>
      <c r="G353" s="715"/>
      <c r="H353" s="698"/>
      <c r="I353" s="712"/>
      <c r="J353" s="712"/>
      <c r="K353" s="715"/>
      <c r="L353" s="698"/>
      <c r="M353" s="712"/>
      <c r="N353" s="715">
        <v>-24367</v>
      </c>
      <c r="O353" s="709">
        <f t="shared" si="144"/>
        <v>-24367</v>
      </c>
      <c r="P353" s="698">
        <f t="shared" si="145"/>
        <v>-24367</v>
      </c>
      <c r="Q353" s="665" t="s">
        <v>1401</v>
      </c>
    </row>
    <row r="354" spans="1:17" ht="31.5" x14ac:dyDescent="0.25">
      <c r="A354" s="734"/>
      <c r="B354" s="742" t="s">
        <v>1088</v>
      </c>
      <c r="C354" s="712"/>
      <c r="D354" s="713"/>
      <c r="E354" s="713"/>
      <c r="F354" s="715"/>
      <c r="G354" s="715"/>
      <c r="H354" s="698"/>
      <c r="I354" s="712"/>
      <c r="J354" s="712"/>
      <c r="K354" s="715"/>
      <c r="L354" s="698"/>
      <c r="M354" s="712"/>
      <c r="N354" s="715">
        <f>-4614+446</f>
        <v>-4168</v>
      </c>
      <c r="O354" s="709">
        <f t="shared" si="144"/>
        <v>-4168</v>
      </c>
      <c r="P354" s="698">
        <f t="shared" si="145"/>
        <v>-4168</v>
      </c>
      <c r="Q354" s="665" t="s">
        <v>1402</v>
      </c>
    </row>
    <row r="355" spans="1:17" x14ac:dyDescent="0.25">
      <c r="A355" s="734"/>
      <c r="B355" s="742"/>
      <c r="C355" s="712"/>
      <c r="D355" s="713"/>
      <c r="E355" s="713"/>
      <c r="F355" s="715"/>
      <c r="G355" s="715"/>
      <c r="H355" s="698"/>
      <c r="I355" s="712"/>
      <c r="J355" s="712"/>
      <c r="K355" s="715"/>
      <c r="L355" s="698"/>
      <c r="M355" s="712"/>
      <c r="N355" s="715"/>
      <c r="O355" s="709"/>
      <c r="P355" s="698"/>
    </row>
    <row r="356" spans="1:17" x14ac:dyDescent="0.25">
      <c r="A356" s="734"/>
      <c r="B356" s="760" t="s">
        <v>1096</v>
      </c>
      <c r="C356" s="712"/>
      <c r="D356" s="713"/>
      <c r="E356" s="713"/>
      <c r="F356" s="715"/>
      <c r="G356" s="715"/>
      <c r="H356" s="698"/>
      <c r="I356" s="712"/>
      <c r="J356" s="712"/>
      <c r="K356" s="715"/>
      <c r="L356" s="698"/>
      <c r="M356" s="712"/>
      <c r="N356" s="715"/>
      <c r="O356" s="709"/>
      <c r="P356" s="698"/>
    </row>
    <row r="357" spans="1:17" ht="31.5" x14ac:dyDescent="0.25">
      <c r="A357" s="761"/>
      <c r="B357" s="767" t="s">
        <v>1088</v>
      </c>
      <c r="C357" s="762"/>
      <c r="D357" s="763"/>
      <c r="E357" s="763"/>
      <c r="F357" s="764"/>
      <c r="G357" s="764"/>
      <c r="H357" s="765"/>
      <c r="I357" s="762"/>
      <c r="J357" s="762"/>
      <c r="K357" s="764"/>
      <c r="L357" s="765"/>
      <c r="M357" s="762"/>
      <c r="N357" s="764">
        <v>-446</v>
      </c>
      <c r="O357" s="709">
        <f t="shared" ref="O357" si="146">SUM(M357:N357)</f>
        <v>-446</v>
      </c>
      <c r="P357" s="681">
        <f t="shared" ref="P357" si="147">SUM(O357)</f>
        <v>-446</v>
      </c>
      <c r="Q357" s="665" t="s">
        <v>1084</v>
      </c>
    </row>
    <row r="358" spans="1:17" x14ac:dyDescent="0.25">
      <c r="A358" s="761"/>
      <c r="B358" s="767"/>
      <c r="C358" s="762"/>
      <c r="D358" s="763"/>
      <c r="E358" s="763"/>
      <c r="F358" s="764"/>
      <c r="G358" s="764"/>
      <c r="H358" s="765"/>
      <c r="I358" s="762"/>
      <c r="J358" s="762"/>
      <c r="K358" s="764"/>
      <c r="L358" s="765"/>
      <c r="M358" s="762"/>
      <c r="N358" s="764"/>
      <c r="O358" s="709"/>
      <c r="P358" s="681"/>
    </row>
    <row r="359" spans="1:17" ht="16.5" thickBot="1" x14ac:dyDescent="0.3">
      <c r="A359" s="768" t="s">
        <v>54</v>
      </c>
      <c r="B359" s="769" t="s">
        <v>55</v>
      </c>
      <c r="C359" s="762"/>
      <c r="D359" s="763"/>
      <c r="E359" s="763"/>
      <c r="F359" s="764"/>
      <c r="G359" s="764"/>
      <c r="H359" s="765"/>
      <c r="I359" s="762"/>
      <c r="J359" s="762"/>
      <c r="K359" s="764"/>
      <c r="L359" s="765"/>
      <c r="M359" s="770">
        <f>SUM(M292:M358)</f>
        <v>15218</v>
      </c>
      <c r="N359" s="771">
        <f>SUM(N326:N358)</f>
        <v>-185712</v>
      </c>
      <c r="O359" s="765">
        <f>M359+N359</f>
        <v>-170494</v>
      </c>
      <c r="P359" s="681">
        <f>SUM(O359)</f>
        <v>-170494</v>
      </c>
    </row>
    <row r="360" spans="1:17" ht="17.25" thickTop="1" thickBot="1" x14ac:dyDescent="0.3">
      <c r="A360" s="772" t="s">
        <v>56</v>
      </c>
      <c r="B360" s="773" t="s">
        <v>57</v>
      </c>
      <c r="C360" s="774">
        <f>SUM(C290:C325)</f>
        <v>368577</v>
      </c>
      <c r="D360" s="774">
        <f t="shared" ref="D360:L360" si="148">SUM(D290:D359)</f>
        <v>91828</v>
      </c>
      <c r="E360" s="774">
        <f t="shared" si="148"/>
        <v>5460772</v>
      </c>
      <c r="F360" s="774">
        <f t="shared" si="148"/>
        <v>223679</v>
      </c>
      <c r="G360" s="774">
        <f t="shared" si="148"/>
        <v>14454088</v>
      </c>
      <c r="H360" s="774">
        <f t="shared" si="148"/>
        <v>20598944</v>
      </c>
      <c r="I360" s="774">
        <f t="shared" si="148"/>
        <v>28852658</v>
      </c>
      <c r="J360" s="774">
        <f t="shared" si="148"/>
        <v>1137966</v>
      </c>
      <c r="K360" s="774">
        <f t="shared" si="148"/>
        <v>1765751</v>
      </c>
      <c r="L360" s="774">
        <f t="shared" si="148"/>
        <v>31756375</v>
      </c>
      <c r="M360" s="774">
        <f>SUM(M290+M359)</f>
        <v>255418</v>
      </c>
      <c r="N360" s="774">
        <f>SUM(N290+N359)</f>
        <v>1957992</v>
      </c>
      <c r="O360" s="774">
        <f>SUM(O290+O359)</f>
        <v>2213410</v>
      </c>
      <c r="P360" s="774">
        <f>SUM(P290+P359)</f>
        <v>54568729</v>
      </c>
    </row>
    <row r="361" spans="1:17" x14ac:dyDescent="0.25">
      <c r="B361" s="670"/>
    </row>
    <row r="362" spans="1:17" x14ac:dyDescent="0.25">
      <c r="B362" s="670"/>
      <c r="C362" s="665">
        <f t="shared" ref="C362:P362" si="149">SUM(C360-C10)</f>
        <v>-25099</v>
      </c>
      <c r="D362" s="665">
        <f t="shared" si="149"/>
        <v>3076</v>
      </c>
      <c r="E362" s="665">
        <f t="shared" si="149"/>
        <v>198722</v>
      </c>
      <c r="F362" s="665">
        <f t="shared" si="149"/>
        <v>297</v>
      </c>
      <c r="G362" s="665">
        <f t="shared" si="149"/>
        <v>623238</v>
      </c>
      <c r="H362" s="665">
        <f t="shared" si="149"/>
        <v>800234</v>
      </c>
      <c r="I362" s="665">
        <f t="shared" si="149"/>
        <v>80567</v>
      </c>
      <c r="J362" s="665">
        <f t="shared" si="149"/>
        <v>-653584</v>
      </c>
      <c r="K362" s="665">
        <f t="shared" si="149"/>
        <v>122350</v>
      </c>
      <c r="L362" s="665">
        <f t="shared" si="149"/>
        <v>-450667</v>
      </c>
      <c r="M362" s="665">
        <f t="shared" si="149"/>
        <v>15218</v>
      </c>
      <c r="N362" s="665">
        <f t="shared" si="149"/>
        <v>-185712</v>
      </c>
      <c r="O362" s="665">
        <f t="shared" si="149"/>
        <v>-170494</v>
      </c>
      <c r="P362" s="665">
        <f t="shared" si="149"/>
        <v>179073</v>
      </c>
    </row>
    <row r="363" spans="1:17" x14ac:dyDescent="0.25">
      <c r="B363" s="670"/>
    </row>
    <row r="364" spans="1:17" x14ac:dyDescent="0.25">
      <c r="B364" s="670"/>
    </row>
    <row r="365" spans="1:17" x14ac:dyDescent="0.25">
      <c r="B365" s="670"/>
    </row>
    <row r="366" spans="1:17" x14ac:dyDescent="0.25">
      <c r="B366" s="670"/>
    </row>
    <row r="367" spans="1:17" x14ac:dyDescent="0.25">
      <c r="B367" s="670"/>
    </row>
    <row r="368" spans="1:17" x14ac:dyDescent="0.25">
      <c r="B368" s="670"/>
    </row>
    <row r="369" spans="2:2" x14ac:dyDescent="0.25">
      <c r="B369" s="670"/>
    </row>
    <row r="370" spans="2:2" x14ac:dyDescent="0.25">
      <c r="B370" s="670"/>
    </row>
    <row r="371" spans="2:2" x14ac:dyDescent="0.25">
      <c r="B371" s="670"/>
    </row>
    <row r="372" spans="2:2" x14ac:dyDescent="0.25">
      <c r="B372" s="670"/>
    </row>
    <row r="373" spans="2:2" x14ac:dyDescent="0.25">
      <c r="B373" s="670"/>
    </row>
    <row r="374" spans="2:2" x14ac:dyDescent="0.25">
      <c r="B374" s="670"/>
    </row>
    <row r="375" spans="2:2" x14ac:dyDescent="0.25">
      <c r="B375" s="670"/>
    </row>
    <row r="376" spans="2:2" x14ac:dyDescent="0.25">
      <c r="B376" s="670"/>
    </row>
    <row r="377" spans="2:2" x14ac:dyDescent="0.25">
      <c r="B377" s="670"/>
    </row>
    <row r="378" spans="2:2" x14ac:dyDescent="0.25">
      <c r="B378" s="670"/>
    </row>
  </sheetData>
  <mergeCells count="1">
    <mergeCell ref="A1:P1"/>
  </mergeCells>
  <printOptions horizontalCentered="1"/>
  <pageMargins left="0.19685039370078741" right="0.51181102362204722" top="0.78740157480314965" bottom="0.39370078740157483" header="0.43307086614173229" footer="0.19685039370078741"/>
  <pageSetup paperSize="9" scale="65" fitToHeight="0" orientation="landscape" r:id="rId1"/>
  <headerFooter alignWithMargins="0">
    <oddHeader>&amp;R&amp;"Times New Roman CE,Dőlt"&amp;10 10. melléklet
  az 5/2019.(II.15.) önkormányzati rendelethez&amp;X9</oddHeader>
    <oddFooter>&amp;L&amp;X9&amp;X Módosította a  28/2019.(XII.13.) önkormányzati rendelet 8.§ (8) bekezdése, hatályos 2019. december 16-tól.</oddFooter>
  </headerFooter>
  <rowBreaks count="2" manualBreakCount="2">
    <brk id="111" max="15" man="1"/>
    <brk id="214" max="1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9A65-B765-4C9C-BDA4-7FF5294F1A04}">
  <sheetPr>
    <tabColor theme="7" tint="0.39997558519241921"/>
    <pageSetUpPr fitToPage="1"/>
  </sheetPr>
  <dimension ref="A1:L285"/>
  <sheetViews>
    <sheetView view="pageBreakPreview" zoomScale="80" zoomScaleNormal="80" zoomScaleSheetLayoutView="80" workbookViewId="0">
      <pane ySplit="3" topLeftCell="A140" activePane="bottomLeft" state="frozen"/>
      <selection activeCell="B148" sqref="B148"/>
      <selection pane="bottomLeft" activeCell="B148" sqref="B148"/>
    </sheetView>
  </sheetViews>
  <sheetFormatPr defaultRowHeight="15.75" x14ac:dyDescent="0.25"/>
  <cols>
    <col min="1" max="1" width="4.875" style="775" bestFit="1" customWidth="1"/>
    <col min="2" max="2" width="65.75" style="775" customWidth="1"/>
    <col min="3" max="3" width="15.25" style="776" customWidth="1"/>
    <col min="4" max="5" width="13.25" style="776" customWidth="1"/>
    <col min="6" max="6" width="15.25" style="776" customWidth="1"/>
    <col min="7" max="8" width="13.25" style="776" customWidth="1"/>
    <col min="9" max="11" width="9.625" style="777" customWidth="1"/>
    <col min="12" max="218" width="9" style="775"/>
    <col min="219" max="219" width="4.875" style="775" bestFit="1" customWidth="1"/>
    <col min="220" max="220" width="65.75" style="775" customWidth="1"/>
    <col min="221" max="222" width="13.25" style="775" customWidth="1"/>
    <col min="223" max="223" width="17.125" style="775" customWidth="1"/>
    <col min="224" max="226" width="0" style="775" hidden="1" customWidth="1"/>
    <col min="227" max="474" width="9" style="775"/>
    <col min="475" max="475" width="4.875" style="775" bestFit="1" customWidth="1"/>
    <col min="476" max="476" width="65.75" style="775" customWidth="1"/>
    <col min="477" max="478" width="13.25" style="775" customWidth="1"/>
    <col min="479" max="479" width="17.125" style="775" customWidth="1"/>
    <col min="480" max="482" width="0" style="775" hidden="1" customWidth="1"/>
    <col min="483" max="730" width="9" style="775"/>
    <col min="731" max="731" width="4.875" style="775" bestFit="1" customWidth="1"/>
    <col min="732" max="732" width="65.75" style="775" customWidth="1"/>
    <col min="733" max="734" width="13.25" style="775" customWidth="1"/>
    <col min="735" max="735" width="17.125" style="775" customWidth="1"/>
    <col min="736" max="738" width="0" style="775" hidden="1" customWidth="1"/>
    <col min="739" max="986" width="9" style="775"/>
    <col min="987" max="987" width="4.875" style="775" bestFit="1" customWidth="1"/>
    <col min="988" max="988" width="65.75" style="775" customWidth="1"/>
    <col min="989" max="990" width="13.25" style="775" customWidth="1"/>
    <col min="991" max="991" width="17.125" style="775" customWidth="1"/>
    <col min="992" max="994" width="0" style="775" hidden="1" customWidth="1"/>
    <col min="995" max="1242" width="9" style="775"/>
    <col min="1243" max="1243" width="4.875" style="775" bestFit="1" customWidth="1"/>
    <col min="1244" max="1244" width="65.75" style="775" customWidth="1"/>
    <col min="1245" max="1246" width="13.25" style="775" customWidth="1"/>
    <col min="1247" max="1247" width="17.125" style="775" customWidth="1"/>
    <col min="1248" max="1250" width="0" style="775" hidden="1" customWidth="1"/>
    <col min="1251" max="1498" width="9" style="775"/>
    <col min="1499" max="1499" width="4.875" style="775" bestFit="1" customWidth="1"/>
    <col min="1500" max="1500" width="65.75" style="775" customWidth="1"/>
    <col min="1501" max="1502" width="13.25" style="775" customWidth="1"/>
    <col min="1503" max="1503" width="17.125" style="775" customWidth="1"/>
    <col min="1504" max="1506" width="0" style="775" hidden="1" customWidth="1"/>
    <col min="1507" max="1754" width="9" style="775"/>
    <col min="1755" max="1755" width="4.875" style="775" bestFit="1" customWidth="1"/>
    <col min="1756" max="1756" width="65.75" style="775" customWidth="1"/>
    <col min="1757" max="1758" width="13.25" style="775" customWidth="1"/>
    <col min="1759" max="1759" width="17.125" style="775" customWidth="1"/>
    <col min="1760" max="1762" width="0" style="775" hidden="1" customWidth="1"/>
    <col min="1763" max="2010" width="9" style="775"/>
    <col min="2011" max="2011" width="4.875" style="775" bestFit="1" customWidth="1"/>
    <col min="2012" max="2012" width="65.75" style="775" customWidth="1"/>
    <col min="2013" max="2014" width="13.25" style="775" customWidth="1"/>
    <col min="2015" max="2015" width="17.125" style="775" customWidth="1"/>
    <col min="2016" max="2018" width="0" style="775" hidden="1" customWidth="1"/>
    <col min="2019" max="2266" width="9" style="775"/>
    <col min="2267" max="2267" width="4.875" style="775" bestFit="1" customWidth="1"/>
    <col min="2268" max="2268" width="65.75" style="775" customWidth="1"/>
    <col min="2269" max="2270" width="13.25" style="775" customWidth="1"/>
    <col min="2271" max="2271" width="17.125" style="775" customWidth="1"/>
    <col min="2272" max="2274" width="0" style="775" hidden="1" customWidth="1"/>
    <col min="2275" max="2522" width="9" style="775"/>
    <col min="2523" max="2523" width="4.875" style="775" bestFit="1" customWidth="1"/>
    <col min="2524" max="2524" width="65.75" style="775" customWidth="1"/>
    <col min="2525" max="2526" width="13.25" style="775" customWidth="1"/>
    <col min="2527" max="2527" width="17.125" style="775" customWidth="1"/>
    <col min="2528" max="2530" width="0" style="775" hidden="1" customWidth="1"/>
    <col min="2531" max="2778" width="9" style="775"/>
    <col min="2779" max="2779" width="4.875" style="775" bestFit="1" customWidth="1"/>
    <col min="2780" max="2780" width="65.75" style="775" customWidth="1"/>
    <col min="2781" max="2782" width="13.25" style="775" customWidth="1"/>
    <col min="2783" max="2783" width="17.125" style="775" customWidth="1"/>
    <col min="2784" max="2786" width="0" style="775" hidden="1" customWidth="1"/>
    <col min="2787" max="3034" width="9" style="775"/>
    <col min="3035" max="3035" width="4.875" style="775" bestFit="1" customWidth="1"/>
    <col min="3036" max="3036" width="65.75" style="775" customWidth="1"/>
    <col min="3037" max="3038" width="13.25" style="775" customWidth="1"/>
    <col min="3039" max="3039" width="17.125" style="775" customWidth="1"/>
    <col min="3040" max="3042" width="0" style="775" hidden="1" customWidth="1"/>
    <col min="3043" max="3290" width="9" style="775"/>
    <col min="3291" max="3291" width="4.875" style="775" bestFit="1" customWidth="1"/>
    <col min="3292" max="3292" width="65.75" style="775" customWidth="1"/>
    <col min="3293" max="3294" width="13.25" style="775" customWidth="1"/>
    <col min="3295" max="3295" width="17.125" style="775" customWidth="1"/>
    <col min="3296" max="3298" width="0" style="775" hidden="1" customWidth="1"/>
    <col min="3299" max="3546" width="9" style="775"/>
    <col min="3547" max="3547" width="4.875" style="775" bestFit="1" customWidth="1"/>
    <col min="3548" max="3548" width="65.75" style="775" customWidth="1"/>
    <col min="3549" max="3550" width="13.25" style="775" customWidth="1"/>
    <col min="3551" max="3551" width="17.125" style="775" customWidth="1"/>
    <col min="3552" max="3554" width="0" style="775" hidden="1" customWidth="1"/>
    <col min="3555" max="3802" width="9" style="775"/>
    <col min="3803" max="3803" width="4.875" style="775" bestFit="1" customWidth="1"/>
    <col min="3804" max="3804" width="65.75" style="775" customWidth="1"/>
    <col min="3805" max="3806" width="13.25" style="775" customWidth="1"/>
    <col min="3807" max="3807" width="17.125" style="775" customWidth="1"/>
    <col min="3808" max="3810" width="0" style="775" hidden="1" customWidth="1"/>
    <col min="3811" max="4058" width="9" style="775"/>
    <col min="4059" max="4059" width="4.875" style="775" bestFit="1" customWidth="1"/>
    <col min="4060" max="4060" width="65.75" style="775" customWidth="1"/>
    <col min="4061" max="4062" width="13.25" style="775" customWidth="1"/>
    <col min="4063" max="4063" width="17.125" style="775" customWidth="1"/>
    <col min="4064" max="4066" width="0" style="775" hidden="1" customWidth="1"/>
    <col min="4067" max="4314" width="9" style="775"/>
    <col min="4315" max="4315" width="4.875" style="775" bestFit="1" customWidth="1"/>
    <col min="4316" max="4316" width="65.75" style="775" customWidth="1"/>
    <col min="4317" max="4318" width="13.25" style="775" customWidth="1"/>
    <col min="4319" max="4319" width="17.125" style="775" customWidth="1"/>
    <col min="4320" max="4322" width="0" style="775" hidden="1" customWidth="1"/>
    <col min="4323" max="4570" width="9" style="775"/>
    <col min="4571" max="4571" width="4.875" style="775" bestFit="1" customWidth="1"/>
    <col min="4572" max="4572" width="65.75" style="775" customWidth="1"/>
    <col min="4573" max="4574" width="13.25" style="775" customWidth="1"/>
    <col min="4575" max="4575" width="17.125" style="775" customWidth="1"/>
    <col min="4576" max="4578" width="0" style="775" hidden="1" customWidth="1"/>
    <col min="4579" max="4826" width="9" style="775"/>
    <col min="4827" max="4827" width="4.875" style="775" bestFit="1" customWidth="1"/>
    <col min="4828" max="4828" width="65.75" style="775" customWidth="1"/>
    <col min="4829" max="4830" width="13.25" style="775" customWidth="1"/>
    <col min="4831" max="4831" width="17.125" style="775" customWidth="1"/>
    <col min="4832" max="4834" width="0" style="775" hidden="1" customWidth="1"/>
    <col min="4835" max="5082" width="9" style="775"/>
    <col min="5083" max="5083" width="4.875" style="775" bestFit="1" customWidth="1"/>
    <col min="5084" max="5084" width="65.75" style="775" customWidth="1"/>
    <col min="5085" max="5086" width="13.25" style="775" customWidth="1"/>
    <col min="5087" max="5087" width="17.125" style="775" customWidth="1"/>
    <col min="5088" max="5090" width="0" style="775" hidden="1" customWidth="1"/>
    <col min="5091" max="5338" width="9" style="775"/>
    <col min="5339" max="5339" width="4.875" style="775" bestFit="1" customWidth="1"/>
    <col min="5340" max="5340" width="65.75" style="775" customWidth="1"/>
    <col min="5341" max="5342" width="13.25" style="775" customWidth="1"/>
    <col min="5343" max="5343" width="17.125" style="775" customWidth="1"/>
    <col min="5344" max="5346" width="0" style="775" hidden="1" customWidth="1"/>
    <col min="5347" max="5594" width="9" style="775"/>
    <col min="5595" max="5595" width="4.875" style="775" bestFit="1" customWidth="1"/>
    <col min="5596" max="5596" width="65.75" style="775" customWidth="1"/>
    <col min="5597" max="5598" width="13.25" style="775" customWidth="1"/>
    <col min="5599" max="5599" width="17.125" style="775" customWidth="1"/>
    <col min="5600" max="5602" width="0" style="775" hidden="1" customWidth="1"/>
    <col min="5603" max="5850" width="9" style="775"/>
    <col min="5851" max="5851" width="4.875" style="775" bestFit="1" customWidth="1"/>
    <col min="5852" max="5852" width="65.75" style="775" customWidth="1"/>
    <col min="5853" max="5854" width="13.25" style="775" customWidth="1"/>
    <col min="5855" max="5855" width="17.125" style="775" customWidth="1"/>
    <col min="5856" max="5858" width="0" style="775" hidden="1" customWidth="1"/>
    <col min="5859" max="6106" width="9" style="775"/>
    <col min="6107" max="6107" width="4.875" style="775" bestFit="1" customWidth="1"/>
    <col min="6108" max="6108" width="65.75" style="775" customWidth="1"/>
    <col min="6109" max="6110" width="13.25" style="775" customWidth="1"/>
    <col min="6111" max="6111" width="17.125" style="775" customWidth="1"/>
    <col min="6112" max="6114" width="0" style="775" hidden="1" customWidth="1"/>
    <col min="6115" max="6362" width="9" style="775"/>
    <col min="6363" max="6363" width="4.875" style="775" bestFit="1" customWidth="1"/>
    <col min="6364" max="6364" width="65.75" style="775" customWidth="1"/>
    <col min="6365" max="6366" width="13.25" style="775" customWidth="1"/>
    <col min="6367" max="6367" width="17.125" style="775" customWidth="1"/>
    <col min="6368" max="6370" width="0" style="775" hidden="1" customWidth="1"/>
    <col min="6371" max="6618" width="9" style="775"/>
    <col min="6619" max="6619" width="4.875" style="775" bestFit="1" customWidth="1"/>
    <col min="6620" max="6620" width="65.75" style="775" customWidth="1"/>
    <col min="6621" max="6622" width="13.25" style="775" customWidth="1"/>
    <col min="6623" max="6623" width="17.125" style="775" customWidth="1"/>
    <col min="6624" max="6626" width="0" style="775" hidden="1" customWidth="1"/>
    <col min="6627" max="6874" width="9" style="775"/>
    <col min="6875" max="6875" width="4.875" style="775" bestFit="1" customWidth="1"/>
    <col min="6876" max="6876" width="65.75" style="775" customWidth="1"/>
    <col min="6877" max="6878" width="13.25" style="775" customWidth="1"/>
    <col min="6879" max="6879" width="17.125" style="775" customWidth="1"/>
    <col min="6880" max="6882" width="0" style="775" hidden="1" customWidth="1"/>
    <col min="6883" max="7130" width="9" style="775"/>
    <col min="7131" max="7131" width="4.875" style="775" bestFit="1" customWidth="1"/>
    <col min="7132" max="7132" width="65.75" style="775" customWidth="1"/>
    <col min="7133" max="7134" width="13.25" style="775" customWidth="1"/>
    <col min="7135" max="7135" width="17.125" style="775" customWidth="1"/>
    <col min="7136" max="7138" width="0" style="775" hidden="1" customWidth="1"/>
    <col min="7139" max="7386" width="9" style="775"/>
    <col min="7387" max="7387" width="4.875" style="775" bestFit="1" customWidth="1"/>
    <col min="7388" max="7388" width="65.75" style="775" customWidth="1"/>
    <col min="7389" max="7390" width="13.25" style="775" customWidth="1"/>
    <col min="7391" max="7391" width="17.125" style="775" customWidth="1"/>
    <col min="7392" max="7394" width="0" style="775" hidden="1" customWidth="1"/>
    <col min="7395" max="7642" width="9" style="775"/>
    <col min="7643" max="7643" width="4.875" style="775" bestFit="1" customWidth="1"/>
    <col min="7644" max="7644" width="65.75" style="775" customWidth="1"/>
    <col min="7645" max="7646" width="13.25" style="775" customWidth="1"/>
    <col min="7647" max="7647" width="17.125" style="775" customWidth="1"/>
    <col min="7648" max="7650" width="0" style="775" hidden="1" customWidth="1"/>
    <col min="7651" max="7898" width="9" style="775"/>
    <col min="7899" max="7899" width="4.875" style="775" bestFit="1" customWidth="1"/>
    <col min="7900" max="7900" width="65.75" style="775" customWidth="1"/>
    <col min="7901" max="7902" width="13.25" style="775" customWidth="1"/>
    <col min="7903" max="7903" width="17.125" style="775" customWidth="1"/>
    <col min="7904" max="7906" width="0" style="775" hidden="1" customWidth="1"/>
    <col min="7907" max="8154" width="9" style="775"/>
    <col min="8155" max="8155" width="4.875" style="775" bestFit="1" customWidth="1"/>
    <col min="8156" max="8156" width="65.75" style="775" customWidth="1"/>
    <col min="8157" max="8158" width="13.25" style="775" customWidth="1"/>
    <col min="8159" max="8159" width="17.125" style="775" customWidth="1"/>
    <col min="8160" max="8162" width="0" style="775" hidden="1" customWidth="1"/>
    <col min="8163" max="8410" width="9" style="775"/>
    <col min="8411" max="8411" width="4.875" style="775" bestFit="1" customWidth="1"/>
    <col min="8412" max="8412" width="65.75" style="775" customWidth="1"/>
    <col min="8413" max="8414" width="13.25" style="775" customWidth="1"/>
    <col min="8415" max="8415" width="17.125" style="775" customWidth="1"/>
    <col min="8416" max="8418" width="0" style="775" hidden="1" customWidth="1"/>
    <col min="8419" max="8666" width="9" style="775"/>
    <col min="8667" max="8667" width="4.875" style="775" bestFit="1" customWidth="1"/>
    <col min="8668" max="8668" width="65.75" style="775" customWidth="1"/>
    <col min="8669" max="8670" width="13.25" style="775" customWidth="1"/>
    <col min="8671" max="8671" width="17.125" style="775" customWidth="1"/>
    <col min="8672" max="8674" width="0" style="775" hidden="1" customWidth="1"/>
    <col min="8675" max="8922" width="9" style="775"/>
    <col min="8923" max="8923" width="4.875" style="775" bestFit="1" customWidth="1"/>
    <col min="8924" max="8924" width="65.75" style="775" customWidth="1"/>
    <col min="8925" max="8926" width="13.25" style="775" customWidth="1"/>
    <col min="8927" max="8927" width="17.125" style="775" customWidth="1"/>
    <col min="8928" max="8930" width="0" style="775" hidden="1" customWidth="1"/>
    <col min="8931" max="9178" width="9" style="775"/>
    <col min="9179" max="9179" width="4.875" style="775" bestFit="1" customWidth="1"/>
    <col min="9180" max="9180" width="65.75" style="775" customWidth="1"/>
    <col min="9181" max="9182" width="13.25" style="775" customWidth="1"/>
    <col min="9183" max="9183" width="17.125" style="775" customWidth="1"/>
    <col min="9184" max="9186" width="0" style="775" hidden="1" customWidth="1"/>
    <col min="9187" max="9434" width="9" style="775"/>
    <col min="9435" max="9435" width="4.875" style="775" bestFit="1" customWidth="1"/>
    <col min="9436" max="9436" width="65.75" style="775" customWidth="1"/>
    <col min="9437" max="9438" width="13.25" style="775" customWidth="1"/>
    <col min="9439" max="9439" width="17.125" style="775" customWidth="1"/>
    <col min="9440" max="9442" width="0" style="775" hidden="1" customWidth="1"/>
    <col min="9443" max="9690" width="9" style="775"/>
    <col min="9691" max="9691" width="4.875" style="775" bestFit="1" customWidth="1"/>
    <col min="9692" max="9692" width="65.75" style="775" customWidth="1"/>
    <col min="9693" max="9694" width="13.25" style="775" customWidth="1"/>
    <col min="9695" max="9695" width="17.125" style="775" customWidth="1"/>
    <col min="9696" max="9698" width="0" style="775" hidden="1" customWidth="1"/>
    <col min="9699" max="9946" width="9" style="775"/>
    <col min="9947" max="9947" width="4.875" style="775" bestFit="1" customWidth="1"/>
    <col min="9948" max="9948" width="65.75" style="775" customWidth="1"/>
    <col min="9949" max="9950" width="13.25" style="775" customWidth="1"/>
    <col min="9951" max="9951" width="17.125" style="775" customWidth="1"/>
    <col min="9952" max="9954" width="0" style="775" hidden="1" customWidth="1"/>
    <col min="9955" max="10202" width="9" style="775"/>
    <col min="10203" max="10203" width="4.875" style="775" bestFit="1" customWidth="1"/>
    <col min="10204" max="10204" width="65.75" style="775" customWidth="1"/>
    <col min="10205" max="10206" width="13.25" style="775" customWidth="1"/>
    <col min="10207" max="10207" width="17.125" style="775" customWidth="1"/>
    <col min="10208" max="10210" width="0" style="775" hidden="1" customWidth="1"/>
    <col min="10211" max="10458" width="9" style="775"/>
    <col min="10459" max="10459" width="4.875" style="775" bestFit="1" customWidth="1"/>
    <col min="10460" max="10460" width="65.75" style="775" customWidth="1"/>
    <col min="10461" max="10462" width="13.25" style="775" customWidth="1"/>
    <col min="10463" max="10463" width="17.125" style="775" customWidth="1"/>
    <col min="10464" max="10466" width="0" style="775" hidden="1" customWidth="1"/>
    <col min="10467" max="10714" width="9" style="775"/>
    <col min="10715" max="10715" width="4.875" style="775" bestFit="1" customWidth="1"/>
    <col min="10716" max="10716" width="65.75" style="775" customWidth="1"/>
    <col min="10717" max="10718" width="13.25" style="775" customWidth="1"/>
    <col min="10719" max="10719" width="17.125" style="775" customWidth="1"/>
    <col min="10720" max="10722" width="0" style="775" hidden="1" customWidth="1"/>
    <col min="10723" max="10970" width="9" style="775"/>
    <col min="10971" max="10971" width="4.875" style="775" bestFit="1" customWidth="1"/>
    <col min="10972" max="10972" width="65.75" style="775" customWidth="1"/>
    <col min="10973" max="10974" width="13.25" style="775" customWidth="1"/>
    <col min="10975" max="10975" width="17.125" style="775" customWidth="1"/>
    <col min="10976" max="10978" width="0" style="775" hidden="1" customWidth="1"/>
    <col min="10979" max="11226" width="9" style="775"/>
    <col min="11227" max="11227" width="4.875" style="775" bestFit="1" customWidth="1"/>
    <col min="11228" max="11228" width="65.75" style="775" customWidth="1"/>
    <col min="11229" max="11230" width="13.25" style="775" customWidth="1"/>
    <col min="11231" max="11231" width="17.125" style="775" customWidth="1"/>
    <col min="11232" max="11234" width="0" style="775" hidden="1" customWidth="1"/>
    <col min="11235" max="11482" width="9" style="775"/>
    <col min="11483" max="11483" width="4.875" style="775" bestFit="1" customWidth="1"/>
    <col min="11484" max="11484" width="65.75" style="775" customWidth="1"/>
    <col min="11485" max="11486" width="13.25" style="775" customWidth="1"/>
    <col min="11487" max="11487" width="17.125" style="775" customWidth="1"/>
    <col min="11488" max="11490" width="0" style="775" hidden="1" customWidth="1"/>
    <col min="11491" max="11738" width="9" style="775"/>
    <col min="11739" max="11739" width="4.875" style="775" bestFit="1" customWidth="1"/>
    <col min="11740" max="11740" width="65.75" style="775" customWidth="1"/>
    <col min="11741" max="11742" width="13.25" style="775" customWidth="1"/>
    <col min="11743" max="11743" width="17.125" style="775" customWidth="1"/>
    <col min="11744" max="11746" width="0" style="775" hidden="1" customWidth="1"/>
    <col min="11747" max="11994" width="9" style="775"/>
    <col min="11995" max="11995" width="4.875" style="775" bestFit="1" customWidth="1"/>
    <col min="11996" max="11996" width="65.75" style="775" customWidth="1"/>
    <col min="11997" max="11998" width="13.25" style="775" customWidth="1"/>
    <col min="11999" max="11999" width="17.125" style="775" customWidth="1"/>
    <col min="12000" max="12002" width="0" style="775" hidden="1" customWidth="1"/>
    <col min="12003" max="12250" width="9" style="775"/>
    <col min="12251" max="12251" width="4.875" style="775" bestFit="1" customWidth="1"/>
    <col min="12252" max="12252" width="65.75" style="775" customWidth="1"/>
    <col min="12253" max="12254" width="13.25" style="775" customWidth="1"/>
    <col min="12255" max="12255" width="17.125" style="775" customWidth="1"/>
    <col min="12256" max="12258" width="0" style="775" hidden="1" customWidth="1"/>
    <col min="12259" max="12506" width="9" style="775"/>
    <col min="12507" max="12507" width="4.875" style="775" bestFit="1" customWidth="1"/>
    <col min="12508" max="12508" width="65.75" style="775" customWidth="1"/>
    <col min="12509" max="12510" width="13.25" style="775" customWidth="1"/>
    <col min="12511" max="12511" width="17.125" style="775" customWidth="1"/>
    <col min="12512" max="12514" width="0" style="775" hidden="1" customWidth="1"/>
    <col min="12515" max="12762" width="9" style="775"/>
    <col min="12763" max="12763" width="4.875" style="775" bestFit="1" customWidth="1"/>
    <col min="12764" max="12764" width="65.75" style="775" customWidth="1"/>
    <col min="12765" max="12766" width="13.25" style="775" customWidth="1"/>
    <col min="12767" max="12767" width="17.125" style="775" customWidth="1"/>
    <col min="12768" max="12770" width="0" style="775" hidden="1" customWidth="1"/>
    <col min="12771" max="13018" width="9" style="775"/>
    <col min="13019" max="13019" width="4.875" style="775" bestFit="1" customWidth="1"/>
    <col min="13020" max="13020" width="65.75" style="775" customWidth="1"/>
    <col min="13021" max="13022" width="13.25" style="775" customWidth="1"/>
    <col min="13023" max="13023" width="17.125" style="775" customWidth="1"/>
    <col min="13024" max="13026" width="0" style="775" hidden="1" customWidth="1"/>
    <col min="13027" max="13274" width="9" style="775"/>
    <col min="13275" max="13275" width="4.875" style="775" bestFit="1" customWidth="1"/>
    <col min="13276" max="13276" width="65.75" style="775" customWidth="1"/>
    <col min="13277" max="13278" width="13.25" style="775" customWidth="1"/>
    <col min="13279" max="13279" width="17.125" style="775" customWidth="1"/>
    <col min="13280" max="13282" width="0" style="775" hidden="1" customWidth="1"/>
    <col min="13283" max="13530" width="9" style="775"/>
    <col min="13531" max="13531" width="4.875" style="775" bestFit="1" customWidth="1"/>
    <col min="13532" max="13532" width="65.75" style="775" customWidth="1"/>
    <col min="13533" max="13534" width="13.25" style="775" customWidth="1"/>
    <col min="13535" max="13535" width="17.125" style="775" customWidth="1"/>
    <col min="13536" max="13538" width="0" style="775" hidden="1" customWidth="1"/>
    <col min="13539" max="13786" width="9" style="775"/>
    <col min="13787" max="13787" width="4.875" style="775" bestFit="1" customWidth="1"/>
    <col min="13788" max="13788" width="65.75" style="775" customWidth="1"/>
    <col min="13789" max="13790" width="13.25" style="775" customWidth="1"/>
    <col min="13791" max="13791" width="17.125" style="775" customWidth="1"/>
    <col min="13792" max="13794" width="0" style="775" hidden="1" customWidth="1"/>
    <col min="13795" max="14042" width="9" style="775"/>
    <col min="14043" max="14043" width="4.875" style="775" bestFit="1" customWidth="1"/>
    <col min="14044" max="14044" width="65.75" style="775" customWidth="1"/>
    <col min="14045" max="14046" width="13.25" style="775" customWidth="1"/>
    <col min="14047" max="14047" width="17.125" style="775" customWidth="1"/>
    <col min="14048" max="14050" width="0" style="775" hidden="1" customWidth="1"/>
    <col min="14051" max="14298" width="9" style="775"/>
    <col min="14299" max="14299" width="4.875" style="775" bestFit="1" customWidth="1"/>
    <col min="14300" max="14300" width="65.75" style="775" customWidth="1"/>
    <col min="14301" max="14302" width="13.25" style="775" customWidth="1"/>
    <col min="14303" max="14303" width="17.125" style="775" customWidth="1"/>
    <col min="14304" max="14306" width="0" style="775" hidden="1" customWidth="1"/>
    <col min="14307" max="14554" width="9" style="775"/>
    <col min="14555" max="14555" width="4.875" style="775" bestFit="1" customWidth="1"/>
    <col min="14556" max="14556" width="65.75" style="775" customWidth="1"/>
    <col min="14557" max="14558" width="13.25" style="775" customWidth="1"/>
    <col min="14559" max="14559" width="17.125" style="775" customWidth="1"/>
    <col min="14560" max="14562" width="0" style="775" hidden="1" customWidth="1"/>
    <col min="14563" max="14810" width="9" style="775"/>
    <col min="14811" max="14811" width="4.875" style="775" bestFit="1" customWidth="1"/>
    <col min="14812" max="14812" width="65.75" style="775" customWidth="1"/>
    <col min="14813" max="14814" width="13.25" style="775" customWidth="1"/>
    <col min="14815" max="14815" width="17.125" style="775" customWidth="1"/>
    <col min="14816" max="14818" width="0" style="775" hidden="1" customWidth="1"/>
    <col min="14819" max="15066" width="9" style="775"/>
    <col min="15067" max="15067" width="4.875" style="775" bestFit="1" customWidth="1"/>
    <col min="15068" max="15068" width="65.75" style="775" customWidth="1"/>
    <col min="15069" max="15070" width="13.25" style="775" customWidth="1"/>
    <col min="15071" max="15071" width="17.125" style="775" customWidth="1"/>
    <col min="15072" max="15074" width="0" style="775" hidden="1" customWidth="1"/>
    <col min="15075" max="15322" width="9" style="775"/>
    <col min="15323" max="15323" width="4.875" style="775" bestFit="1" customWidth="1"/>
    <col min="15324" max="15324" width="65.75" style="775" customWidth="1"/>
    <col min="15325" max="15326" width="13.25" style="775" customWidth="1"/>
    <col min="15327" max="15327" width="17.125" style="775" customWidth="1"/>
    <col min="15328" max="15330" width="0" style="775" hidden="1" customWidth="1"/>
    <col min="15331" max="15578" width="9" style="775"/>
    <col min="15579" max="15579" width="4.875" style="775" bestFit="1" customWidth="1"/>
    <col min="15580" max="15580" width="65.75" style="775" customWidth="1"/>
    <col min="15581" max="15582" width="13.25" style="775" customWidth="1"/>
    <col min="15583" max="15583" width="17.125" style="775" customWidth="1"/>
    <col min="15584" max="15586" width="0" style="775" hidden="1" customWidth="1"/>
    <col min="15587" max="15834" width="9" style="775"/>
    <col min="15835" max="15835" width="4.875" style="775" bestFit="1" customWidth="1"/>
    <col min="15836" max="15836" width="65.75" style="775" customWidth="1"/>
    <col min="15837" max="15838" width="13.25" style="775" customWidth="1"/>
    <col min="15839" max="15839" width="17.125" style="775" customWidth="1"/>
    <col min="15840" max="15842" width="0" style="775" hidden="1" customWidth="1"/>
    <col min="15843" max="16090" width="9" style="775"/>
    <col min="16091" max="16091" width="4.875" style="775" bestFit="1" customWidth="1"/>
    <col min="16092" max="16092" width="65.75" style="775" customWidth="1"/>
    <col min="16093" max="16094" width="13.25" style="775" customWidth="1"/>
    <col min="16095" max="16095" width="17.125" style="775" customWidth="1"/>
    <col min="16096" max="16098" width="0" style="775" hidden="1" customWidth="1"/>
    <col min="16099" max="16384" width="9" style="775"/>
  </cols>
  <sheetData>
    <row r="1" spans="1:11" ht="39.75" customHeight="1" x14ac:dyDescent="0.3">
      <c r="A1" s="1062" t="s">
        <v>722</v>
      </c>
      <c r="B1" s="1062"/>
      <c r="C1" s="1062"/>
      <c r="D1" s="1062"/>
      <c r="E1" s="1062"/>
      <c r="F1" s="1062"/>
      <c r="G1" s="1062"/>
      <c r="H1" s="1062"/>
      <c r="I1" s="1062"/>
      <c r="J1" s="1062"/>
      <c r="K1" s="1062"/>
    </row>
    <row r="2" spans="1:11" ht="16.5" thickBot="1" x14ac:dyDescent="0.3"/>
    <row r="3" spans="1:11" ht="63.75" thickBot="1" x14ac:dyDescent="0.3">
      <c r="A3" s="778"/>
      <c r="B3" s="779" t="s">
        <v>165</v>
      </c>
      <c r="C3" s="780" t="s">
        <v>1193</v>
      </c>
      <c r="D3" s="781" t="s">
        <v>1097</v>
      </c>
      <c r="E3" s="781" t="s">
        <v>1194</v>
      </c>
      <c r="F3" s="780" t="s">
        <v>1098</v>
      </c>
      <c r="G3" s="781" t="s">
        <v>1099</v>
      </c>
      <c r="H3" s="781" t="s">
        <v>1100</v>
      </c>
      <c r="I3" s="781" t="s">
        <v>160</v>
      </c>
      <c r="J3" s="781" t="s">
        <v>161</v>
      </c>
      <c r="K3" s="781" t="s">
        <v>564</v>
      </c>
    </row>
    <row r="4" spans="1:11" x14ac:dyDescent="0.25">
      <c r="A4" s="782" t="s">
        <v>104</v>
      </c>
      <c r="B4" s="783" t="s">
        <v>137</v>
      </c>
      <c r="C4" s="784">
        <f>SUM(C5,C9,C79,C80,C83)</f>
        <v>5578444</v>
      </c>
      <c r="D4" s="784">
        <f>SUM(D5,D9,D79,D80,D83)</f>
        <v>27600</v>
      </c>
      <c r="E4" s="784">
        <f>SUM(C4:D4)</f>
        <v>5606044</v>
      </c>
      <c r="F4" s="784">
        <f>SUM(F5,F9,F79,F80,F83)</f>
        <v>24232</v>
      </c>
      <c r="G4" s="784">
        <f>SUM(G5,G9,G79,G80,G83)</f>
        <v>5584454</v>
      </c>
      <c r="H4" s="784">
        <f>SUM(H5,H9,H79,H80,H83)</f>
        <v>-2642</v>
      </c>
      <c r="I4" s="785" t="s">
        <v>767</v>
      </c>
      <c r="J4" s="785" t="s">
        <v>767</v>
      </c>
      <c r="K4" s="785"/>
    </row>
    <row r="5" spans="1:11" x14ac:dyDescent="0.25">
      <c r="A5" s="786"/>
      <c r="B5" s="787" t="s">
        <v>105</v>
      </c>
      <c r="C5" s="788">
        <f>SUM(C6:C8)</f>
        <v>4383504</v>
      </c>
      <c r="D5" s="788">
        <f>SUM(D6:D8)</f>
        <v>0</v>
      </c>
      <c r="E5" s="788">
        <f t="shared" ref="E5:E107" si="0">SUM(C5:D5)</f>
        <v>4383504</v>
      </c>
      <c r="F5" s="788">
        <f>SUM(F6:F8)</f>
        <v>967</v>
      </c>
      <c r="G5" s="788">
        <f>SUM(G6:G8)</f>
        <v>4382537</v>
      </c>
      <c r="H5" s="788">
        <f>SUM(H6:H8)</f>
        <v>0</v>
      </c>
      <c r="I5" s="789" t="s">
        <v>767</v>
      </c>
      <c r="J5" s="789" t="s">
        <v>767</v>
      </c>
      <c r="K5" s="789"/>
    </row>
    <row r="6" spans="1:11" x14ac:dyDescent="0.25">
      <c r="A6" s="786"/>
      <c r="B6" s="790" t="s">
        <v>106</v>
      </c>
      <c r="C6" s="791">
        <v>1198015</v>
      </c>
      <c r="D6" s="791">
        <v>0</v>
      </c>
      <c r="E6" s="791">
        <f>SUM(C6:D6)</f>
        <v>1198015</v>
      </c>
      <c r="F6" s="791">
        <f>336+631</f>
        <v>967</v>
      </c>
      <c r="G6" s="791">
        <f>363294+507376+166349+1257-12192-1257+172221</f>
        <v>1197048</v>
      </c>
      <c r="H6" s="791"/>
      <c r="I6" s="792" t="s">
        <v>767</v>
      </c>
      <c r="J6" s="792" t="s">
        <v>767</v>
      </c>
      <c r="K6" s="793"/>
    </row>
    <row r="7" spans="1:11" x14ac:dyDescent="0.25">
      <c r="A7" s="786"/>
      <c r="B7" s="790" t="s">
        <v>567</v>
      </c>
      <c r="C7" s="791">
        <v>12367</v>
      </c>
      <c r="D7" s="791"/>
      <c r="E7" s="791">
        <f t="shared" si="0"/>
        <v>12367</v>
      </c>
      <c r="F7" s="791"/>
      <c r="G7" s="791">
        <v>12367</v>
      </c>
      <c r="H7" s="791"/>
      <c r="I7" s="792"/>
      <c r="J7" s="792" t="s">
        <v>767</v>
      </c>
      <c r="K7" s="793"/>
    </row>
    <row r="8" spans="1:11" x14ac:dyDescent="0.25">
      <c r="A8" s="786"/>
      <c r="B8" s="790" t="s">
        <v>612</v>
      </c>
      <c r="C8" s="791">
        <v>3173122</v>
      </c>
      <c r="D8" s="791"/>
      <c r="E8" s="791">
        <f t="shared" si="0"/>
        <v>3173122</v>
      </c>
      <c r="F8" s="791"/>
      <c r="G8" s="791">
        <v>3173122</v>
      </c>
      <c r="H8" s="791"/>
      <c r="I8" s="792" t="s">
        <v>767</v>
      </c>
      <c r="J8" s="792"/>
      <c r="K8" s="793"/>
    </row>
    <row r="9" spans="1:11" x14ac:dyDescent="0.25">
      <c r="A9" s="786"/>
      <c r="B9" s="743" t="s">
        <v>107</v>
      </c>
      <c r="C9" s="788">
        <f>SUM(C10,C74,C78)</f>
        <v>420167</v>
      </c>
      <c r="D9" s="788">
        <f>SUM(D10,D74,D78)</f>
        <v>8600</v>
      </c>
      <c r="E9" s="788">
        <f t="shared" si="0"/>
        <v>428767</v>
      </c>
      <c r="F9" s="788">
        <f>SUM(F10,F74,F78)</f>
        <v>5262</v>
      </c>
      <c r="G9" s="788">
        <f>SUM(G10,G74,G78)</f>
        <v>426147</v>
      </c>
      <c r="H9" s="788">
        <f>SUM(H10,H74,H78)</f>
        <v>-2642</v>
      </c>
      <c r="I9" s="789" t="s">
        <v>767</v>
      </c>
      <c r="J9" s="789" t="s">
        <v>767</v>
      </c>
      <c r="K9" s="789"/>
    </row>
    <row r="10" spans="1:11" x14ac:dyDescent="0.25">
      <c r="A10" s="786"/>
      <c r="B10" s="790" t="s">
        <v>108</v>
      </c>
      <c r="C10" s="791">
        <v>393089</v>
      </c>
      <c r="D10" s="794">
        <f>1000+1100+1500+5000</f>
        <v>8600</v>
      </c>
      <c r="E10" s="791">
        <f t="shared" si="0"/>
        <v>401689</v>
      </c>
      <c r="F10" s="791">
        <f>5113-19</f>
        <v>5094</v>
      </c>
      <c r="G10" s="791">
        <f>344454+2400+1755+16510+5000-2200+1000+360+400+8000+5000+12700+1270-4411+448+4368-2184+2184+1000+400+1000+750+300+508+402-1755-16510+3273+2000+500+1257+1000+1100+1500+5000</f>
        <v>398779</v>
      </c>
      <c r="H10" s="791">
        <v>-2184</v>
      </c>
      <c r="I10" s="792" t="s">
        <v>767</v>
      </c>
      <c r="J10" s="792" t="s">
        <v>767</v>
      </c>
      <c r="K10" s="793"/>
    </row>
    <row r="11" spans="1:11" s="801" customFormat="1" x14ac:dyDescent="0.25">
      <c r="A11" s="795"/>
      <c r="B11" s="796" t="s">
        <v>367</v>
      </c>
      <c r="C11" s="797">
        <v>2000</v>
      </c>
      <c r="D11" s="798"/>
      <c r="E11" s="799">
        <f t="shared" si="0"/>
        <v>2000</v>
      </c>
      <c r="F11" s="797">
        <v>0</v>
      </c>
      <c r="G11" s="798">
        <v>2000</v>
      </c>
      <c r="H11" s="798"/>
      <c r="I11" s="800"/>
      <c r="J11" s="800" t="s">
        <v>767</v>
      </c>
      <c r="K11" s="800"/>
    </row>
    <row r="12" spans="1:11" s="801" customFormat="1" x14ac:dyDescent="0.25">
      <c r="A12" s="795"/>
      <c r="B12" s="796" t="s">
        <v>129</v>
      </c>
      <c r="C12" s="797">
        <v>2000</v>
      </c>
      <c r="D12" s="798"/>
      <c r="E12" s="799">
        <f t="shared" si="0"/>
        <v>2000</v>
      </c>
      <c r="F12" s="797">
        <v>0</v>
      </c>
      <c r="G12" s="798">
        <f>2000</f>
        <v>2000</v>
      </c>
      <c r="H12" s="798"/>
      <c r="I12" s="800"/>
      <c r="J12" s="800" t="s">
        <v>767</v>
      </c>
      <c r="K12" s="800"/>
    </row>
    <row r="13" spans="1:11" s="801" customFormat="1" x14ac:dyDescent="0.25">
      <c r="A13" s="795"/>
      <c r="B13" s="796" t="s">
        <v>130</v>
      </c>
      <c r="C13" s="797">
        <v>4164</v>
      </c>
      <c r="D13" s="798"/>
      <c r="E13" s="799">
        <f t="shared" si="0"/>
        <v>4164</v>
      </c>
      <c r="F13" s="797">
        <v>164</v>
      </c>
      <c r="G13" s="798">
        <v>4000</v>
      </c>
      <c r="H13" s="798"/>
      <c r="I13" s="800"/>
      <c r="J13" s="800" t="s">
        <v>767</v>
      </c>
      <c r="K13" s="800"/>
    </row>
    <row r="14" spans="1:11" s="801" customFormat="1" x14ac:dyDescent="0.25">
      <c r="A14" s="795"/>
      <c r="B14" s="796" t="s">
        <v>368</v>
      </c>
      <c r="C14" s="797">
        <v>10074</v>
      </c>
      <c r="D14" s="798"/>
      <c r="E14" s="799">
        <f t="shared" si="0"/>
        <v>10074</v>
      </c>
      <c r="F14" s="797">
        <f>356-19</f>
        <v>337</v>
      </c>
      <c r="G14" s="798">
        <v>9737</v>
      </c>
      <c r="H14" s="798"/>
      <c r="I14" s="800"/>
      <c r="J14" s="800" t="s">
        <v>767</v>
      </c>
      <c r="K14" s="800"/>
    </row>
    <row r="15" spans="1:11" s="801" customFormat="1" x14ac:dyDescent="0.25">
      <c r="A15" s="795"/>
      <c r="B15" s="796" t="s">
        <v>936</v>
      </c>
      <c r="C15" s="797">
        <v>350</v>
      </c>
      <c r="D15" s="798"/>
      <c r="E15" s="799">
        <f t="shared" si="0"/>
        <v>350</v>
      </c>
      <c r="F15" s="797">
        <v>0</v>
      </c>
      <c r="G15" s="798">
        <v>350</v>
      </c>
      <c r="H15" s="798"/>
      <c r="I15" s="800"/>
      <c r="J15" s="800" t="s">
        <v>767</v>
      </c>
      <c r="K15" s="800"/>
    </row>
    <row r="16" spans="1:11" s="801" customFormat="1" x14ac:dyDescent="0.25">
      <c r="A16" s="795"/>
      <c r="B16" s="796" t="s">
        <v>369</v>
      </c>
      <c r="C16" s="797">
        <v>400</v>
      </c>
      <c r="D16" s="798"/>
      <c r="E16" s="799">
        <f t="shared" si="0"/>
        <v>400</v>
      </c>
      <c r="F16" s="797">
        <v>0</v>
      </c>
      <c r="G16" s="798">
        <v>400</v>
      </c>
      <c r="H16" s="798"/>
      <c r="I16" s="800"/>
      <c r="J16" s="800" t="s">
        <v>767</v>
      </c>
      <c r="K16" s="800"/>
    </row>
    <row r="17" spans="1:11" s="801" customFormat="1" x14ac:dyDescent="0.25">
      <c r="A17" s="795"/>
      <c r="B17" s="796" t="s">
        <v>370</v>
      </c>
      <c r="C17" s="797">
        <v>15000</v>
      </c>
      <c r="D17" s="798"/>
      <c r="E17" s="799">
        <f t="shared" si="0"/>
        <v>15000</v>
      </c>
      <c r="F17" s="797">
        <v>0</v>
      </c>
      <c r="G17" s="798">
        <v>15000</v>
      </c>
      <c r="H17" s="798"/>
      <c r="I17" s="800"/>
      <c r="J17" s="800" t="s">
        <v>767</v>
      </c>
      <c r="K17" s="800"/>
    </row>
    <row r="18" spans="1:11" s="801" customFormat="1" x14ac:dyDescent="0.25">
      <c r="A18" s="795"/>
      <c r="B18" s="796" t="s">
        <v>371</v>
      </c>
      <c r="C18" s="797">
        <v>3000</v>
      </c>
      <c r="D18" s="798"/>
      <c r="E18" s="799">
        <f t="shared" si="0"/>
        <v>3000</v>
      </c>
      <c r="F18" s="797">
        <v>0</v>
      </c>
      <c r="G18" s="798">
        <f>2000+1000</f>
        <v>3000</v>
      </c>
      <c r="H18" s="798"/>
      <c r="I18" s="800"/>
      <c r="J18" s="800" t="s">
        <v>767</v>
      </c>
      <c r="K18" s="800"/>
    </row>
    <row r="19" spans="1:11" s="801" customFormat="1" x14ac:dyDescent="0.25">
      <c r="A19" s="795"/>
      <c r="B19" s="718" t="s">
        <v>1123</v>
      </c>
      <c r="C19" s="797">
        <v>500</v>
      </c>
      <c r="D19" s="798"/>
      <c r="E19" s="799">
        <f t="shared" ref="E19" si="1">SUM(C19:D19)</f>
        <v>500</v>
      </c>
      <c r="F19" s="797">
        <v>0</v>
      </c>
      <c r="G19" s="798">
        <v>500</v>
      </c>
      <c r="H19" s="798"/>
      <c r="I19" s="800"/>
      <c r="J19" s="800" t="s">
        <v>767</v>
      </c>
      <c r="K19" s="800"/>
    </row>
    <row r="20" spans="1:11" s="801" customFormat="1" x14ac:dyDescent="0.25">
      <c r="A20" s="795"/>
      <c r="B20" s="796" t="s">
        <v>372</v>
      </c>
      <c r="C20" s="797">
        <v>2000</v>
      </c>
      <c r="D20" s="798"/>
      <c r="E20" s="799">
        <f t="shared" si="0"/>
        <v>2000</v>
      </c>
      <c r="F20" s="797">
        <v>0</v>
      </c>
      <c r="G20" s="798">
        <v>2000</v>
      </c>
      <c r="H20" s="798"/>
      <c r="I20" s="800"/>
      <c r="J20" s="800" t="s">
        <v>767</v>
      </c>
      <c r="K20" s="800"/>
    </row>
    <row r="21" spans="1:11" s="801" customFormat="1" x14ac:dyDescent="0.25">
      <c r="A21" s="795"/>
      <c r="B21" s="796" t="s">
        <v>373</v>
      </c>
      <c r="C21" s="797">
        <v>3270</v>
      </c>
      <c r="D21" s="798"/>
      <c r="E21" s="799">
        <f t="shared" si="0"/>
        <v>3270</v>
      </c>
      <c r="F21" s="797">
        <v>0</v>
      </c>
      <c r="G21" s="798">
        <f>2000+1270</f>
        <v>3270</v>
      </c>
      <c r="H21" s="798"/>
      <c r="I21" s="800"/>
      <c r="J21" s="800" t="s">
        <v>767</v>
      </c>
      <c r="K21" s="800"/>
    </row>
    <row r="22" spans="1:11" s="801" customFormat="1" ht="31.5" x14ac:dyDescent="0.25">
      <c r="A22" s="795"/>
      <c r="B22" s="796" t="s">
        <v>374</v>
      </c>
      <c r="C22" s="797">
        <v>4000</v>
      </c>
      <c r="D22" s="798"/>
      <c r="E22" s="799">
        <f t="shared" si="0"/>
        <v>4000</v>
      </c>
      <c r="F22" s="797">
        <v>0</v>
      </c>
      <c r="G22" s="798">
        <v>4000</v>
      </c>
      <c r="H22" s="798"/>
      <c r="I22" s="802"/>
      <c r="J22" s="802" t="s">
        <v>767</v>
      </c>
      <c r="K22" s="802"/>
    </row>
    <row r="23" spans="1:11" s="801" customFormat="1" ht="31.5" x14ac:dyDescent="0.25">
      <c r="A23" s="795"/>
      <c r="B23" s="796" t="s">
        <v>723</v>
      </c>
      <c r="C23" s="797">
        <v>1000</v>
      </c>
      <c r="D23" s="798"/>
      <c r="E23" s="799">
        <f t="shared" si="0"/>
        <v>1000</v>
      </c>
      <c r="F23" s="797"/>
      <c r="G23" s="798">
        <v>1000</v>
      </c>
      <c r="H23" s="798"/>
      <c r="I23" s="802"/>
      <c r="J23" s="802" t="s">
        <v>767</v>
      </c>
      <c r="K23" s="802"/>
    </row>
    <row r="24" spans="1:11" s="801" customFormat="1" x14ac:dyDescent="0.25">
      <c r="A24" s="795"/>
      <c r="B24" s="796" t="s">
        <v>375</v>
      </c>
      <c r="C24" s="797">
        <v>500</v>
      </c>
      <c r="D24" s="798"/>
      <c r="E24" s="799">
        <f t="shared" si="0"/>
        <v>500</v>
      </c>
      <c r="F24" s="797">
        <v>0</v>
      </c>
      <c r="G24" s="798">
        <v>500</v>
      </c>
      <c r="H24" s="798"/>
      <c r="I24" s="802"/>
      <c r="J24" s="802" t="s">
        <v>767</v>
      </c>
      <c r="K24" s="802"/>
    </row>
    <row r="25" spans="1:11" s="801" customFormat="1" x14ac:dyDescent="0.25">
      <c r="A25" s="795"/>
      <c r="B25" s="796" t="s">
        <v>155</v>
      </c>
      <c r="C25" s="797">
        <v>1000</v>
      </c>
      <c r="D25" s="798"/>
      <c r="E25" s="799">
        <f t="shared" si="0"/>
        <v>1000</v>
      </c>
      <c r="F25" s="797">
        <v>0</v>
      </c>
      <c r="G25" s="798">
        <v>1000</v>
      </c>
      <c r="H25" s="798"/>
      <c r="I25" s="802"/>
      <c r="J25" s="802" t="s">
        <v>767</v>
      </c>
      <c r="K25" s="802"/>
    </row>
    <row r="26" spans="1:11" s="801" customFormat="1" x14ac:dyDescent="0.25">
      <c r="A26" s="795"/>
      <c r="B26" s="796" t="s">
        <v>376</v>
      </c>
      <c r="C26" s="797">
        <v>500</v>
      </c>
      <c r="D26" s="798"/>
      <c r="E26" s="799">
        <f t="shared" si="0"/>
        <v>500</v>
      </c>
      <c r="F26" s="797">
        <v>0</v>
      </c>
      <c r="G26" s="798">
        <v>500</v>
      </c>
      <c r="H26" s="798"/>
      <c r="I26" s="802"/>
      <c r="J26" s="802" t="s">
        <v>767</v>
      </c>
      <c r="K26" s="802"/>
    </row>
    <row r="27" spans="1:11" s="801" customFormat="1" x14ac:dyDescent="0.25">
      <c r="A27" s="795"/>
      <c r="B27" s="796" t="s">
        <v>377</v>
      </c>
      <c r="C27" s="797">
        <v>200</v>
      </c>
      <c r="D27" s="798"/>
      <c r="E27" s="799">
        <f t="shared" si="0"/>
        <v>200</v>
      </c>
      <c r="F27" s="797">
        <v>0</v>
      </c>
      <c r="G27" s="798">
        <v>200</v>
      </c>
      <c r="H27" s="798"/>
      <c r="I27" s="802"/>
      <c r="J27" s="802" t="s">
        <v>767</v>
      </c>
      <c r="K27" s="802"/>
    </row>
    <row r="28" spans="1:11" s="801" customFormat="1" ht="31.5" x14ac:dyDescent="0.25">
      <c r="A28" s="795"/>
      <c r="B28" s="796" t="s">
        <v>937</v>
      </c>
      <c r="C28" s="797">
        <v>2500</v>
      </c>
      <c r="D28" s="803">
        <v>1000</v>
      </c>
      <c r="E28" s="799">
        <f t="shared" si="0"/>
        <v>3500</v>
      </c>
      <c r="F28" s="797">
        <v>0</v>
      </c>
      <c r="G28" s="803">
        <f>2500+1000</f>
        <v>3500</v>
      </c>
      <c r="H28" s="803"/>
      <c r="I28" s="802"/>
      <c r="J28" s="802" t="s">
        <v>767</v>
      </c>
      <c r="K28" s="802"/>
    </row>
    <row r="29" spans="1:11" s="801" customFormat="1" x14ac:dyDescent="0.25">
      <c r="A29" s="795"/>
      <c r="B29" s="796" t="s">
        <v>938</v>
      </c>
      <c r="C29" s="797">
        <v>1000</v>
      </c>
      <c r="D29" s="803"/>
      <c r="E29" s="799">
        <f t="shared" si="0"/>
        <v>1000</v>
      </c>
      <c r="F29" s="797"/>
      <c r="G29" s="803">
        <v>1000</v>
      </c>
      <c r="H29" s="803"/>
      <c r="I29" s="802"/>
      <c r="J29" s="802" t="s">
        <v>767</v>
      </c>
      <c r="K29" s="802"/>
    </row>
    <row r="30" spans="1:11" s="801" customFormat="1" ht="31.5" x14ac:dyDescent="0.25">
      <c r="A30" s="795"/>
      <c r="B30" s="796" t="s">
        <v>939</v>
      </c>
      <c r="C30" s="797">
        <v>1000</v>
      </c>
      <c r="D30" s="803"/>
      <c r="E30" s="799">
        <f t="shared" si="0"/>
        <v>1000</v>
      </c>
      <c r="F30" s="797"/>
      <c r="G30" s="803">
        <v>1000</v>
      </c>
      <c r="H30" s="803"/>
      <c r="I30" s="802"/>
      <c r="J30" s="802" t="s">
        <v>767</v>
      </c>
      <c r="K30" s="802"/>
    </row>
    <row r="31" spans="1:11" s="801" customFormat="1" ht="31.5" x14ac:dyDescent="0.25">
      <c r="A31" s="795"/>
      <c r="B31" s="796" t="s">
        <v>940</v>
      </c>
      <c r="C31" s="797">
        <v>4250</v>
      </c>
      <c r="D31" s="803"/>
      <c r="E31" s="799">
        <f t="shared" si="0"/>
        <v>4250</v>
      </c>
      <c r="F31" s="797"/>
      <c r="G31" s="803">
        <v>4250</v>
      </c>
      <c r="H31" s="803"/>
      <c r="I31" s="802"/>
      <c r="J31" s="802" t="s">
        <v>767</v>
      </c>
      <c r="K31" s="802"/>
    </row>
    <row r="32" spans="1:11" s="801" customFormat="1" ht="43.5" customHeight="1" x14ac:dyDescent="0.25">
      <c r="A32" s="795"/>
      <c r="B32" s="796" t="s">
        <v>941</v>
      </c>
      <c r="C32" s="797">
        <v>5000</v>
      </c>
      <c r="D32" s="803"/>
      <c r="E32" s="799">
        <f t="shared" si="0"/>
        <v>5000</v>
      </c>
      <c r="F32" s="797"/>
      <c r="G32" s="803">
        <v>5000</v>
      </c>
      <c r="H32" s="803"/>
      <c r="I32" s="802"/>
      <c r="J32" s="802" t="s">
        <v>767</v>
      </c>
      <c r="K32" s="802"/>
    </row>
    <row r="33" spans="1:11" s="801" customFormat="1" x14ac:dyDescent="0.25">
      <c r="A33" s="795"/>
      <c r="B33" s="796" t="s">
        <v>942</v>
      </c>
      <c r="C33" s="797">
        <v>9599</v>
      </c>
      <c r="D33" s="803"/>
      <c r="E33" s="799">
        <f t="shared" si="0"/>
        <v>9599</v>
      </c>
      <c r="F33" s="797">
        <v>47</v>
      </c>
      <c r="G33" s="803">
        <f>7150+402+2000</f>
        <v>9552</v>
      </c>
      <c r="H33" s="803"/>
      <c r="I33" s="802"/>
      <c r="J33" s="802" t="s">
        <v>767</v>
      </c>
      <c r="K33" s="802"/>
    </row>
    <row r="34" spans="1:11" s="801" customFormat="1" x14ac:dyDescent="0.25">
      <c r="A34" s="795"/>
      <c r="B34" s="796" t="s">
        <v>943</v>
      </c>
      <c r="C34" s="797">
        <v>11987</v>
      </c>
      <c r="D34" s="803"/>
      <c r="E34" s="799">
        <f t="shared" si="0"/>
        <v>11987</v>
      </c>
      <c r="F34" s="797"/>
      <c r="G34" s="803">
        <v>11987</v>
      </c>
      <c r="H34" s="803"/>
      <c r="I34" s="802"/>
      <c r="J34" s="802" t="s">
        <v>767</v>
      </c>
      <c r="K34" s="802"/>
    </row>
    <row r="35" spans="1:11" s="801" customFormat="1" ht="31.5" x14ac:dyDescent="0.25">
      <c r="A35" s="795"/>
      <c r="B35" s="796" t="s">
        <v>944</v>
      </c>
      <c r="C35" s="797">
        <v>1200</v>
      </c>
      <c r="D35" s="803"/>
      <c r="E35" s="799">
        <f t="shared" si="0"/>
        <v>1200</v>
      </c>
      <c r="F35" s="797"/>
      <c r="G35" s="803">
        <v>1200</v>
      </c>
      <c r="H35" s="803"/>
      <c r="I35" s="802"/>
      <c r="J35" s="802" t="s">
        <v>767</v>
      </c>
      <c r="K35" s="802"/>
    </row>
    <row r="36" spans="1:11" s="801" customFormat="1" ht="31.5" x14ac:dyDescent="0.25">
      <c r="A36" s="795"/>
      <c r="B36" s="796" t="s">
        <v>945</v>
      </c>
      <c r="C36" s="797">
        <v>0</v>
      </c>
      <c r="D36" s="803"/>
      <c r="E36" s="799">
        <f t="shared" si="0"/>
        <v>0</v>
      </c>
      <c r="F36" s="797"/>
      <c r="G36" s="803">
        <f>2200-2200</f>
        <v>0</v>
      </c>
      <c r="H36" s="803"/>
      <c r="I36" s="802"/>
      <c r="J36" s="802" t="s">
        <v>767</v>
      </c>
      <c r="K36" s="802"/>
    </row>
    <row r="37" spans="1:11" s="801" customFormat="1" x14ac:dyDescent="0.25">
      <c r="A37" s="795"/>
      <c r="B37" s="796" t="s">
        <v>1101</v>
      </c>
      <c r="C37" s="797">
        <v>5000</v>
      </c>
      <c r="D37" s="803"/>
      <c r="E37" s="799">
        <f t="shared" ref="E37:E42" si="2">SUM(C37:D37)</f>
        <v>5000</v>
      </c>
      <c r="F37" s="797"/>
      <c r="G37" s="803">
        <v>5000</v>
      </c>
      <c r="H37" s="803"/>
      <c r="I37" s="802"/>
      <c r="J37" s="802" t="s">
        <v>767</v>
      </c>
      <c r="K37" s="802"/>
    </row>
    <row r="38" spans="1:11" s="801" customFormat="1" ht="31.5" x14ac:dyDescent="0.25">
      <c r="A38" s="795"/>
      <c r="B38" s="796" t="s">
        <v>1102</v>
      </c>
      <c r="C38" s="797">
        <v>1000</v>
      </c>
      <c r="D38" s="803"/>
      <c r="E38" s="799">
        <f t="shared" si="2"/>
        <v>1000</v>
      </c>
      <c r="F38" s="797"/>
      <c r="G38" s="803">
        <v>1000</v>
      </c>
      <c r="H38" s="803"/>
      <c r="I38" s="802"/>
      <c r="J38" s="802" t="s">
        <v>767</v>
      </c>
      <c r="K38" s="802"/>
    </row>
    <row r="39" spans="1:11" s="801" customFormat="1" x14ac:dyDescent="0.25">
      <c r="A39" s="795"/>
      <c r="B39" s="796" t="s">
        <v>1103</v>
      </c>
      <c r="C39" s="797">
        <v>360</v>
      </c>
      <c r="D39" s="803"/>
      <c r="E39" s="799">
        <f t="shared" si="2"/>
        <v>360</v>
      </c>
      <c r="F39" s="797"/>
      <c r="G39" s="803">
        <v>360</v>
      </c>
      <c r="H39" s="803"/>
      <c r="I39" s="802"/>
      <c r="J39" s="802" t="s">
        <v>767</v>
      </c>
      <c r="K39" s="802"/>
    </row>
    <row r="40" spans="1:11" s="801" customFormat="1" ht="31.5" x14ac:dyDescent="0.25">
      <c r="A40" s="795"/>
      <c r="B40" s="796" t="s">
        <v>1104</v>
      </c>
      <c r="C40" s="797">
        <v>400</v>
      </c>
      <c r="D40" s="803"/>
      <c r="E40" s="799">
        <f t="shared" si="2"/>
        <v>400</v>
      </c>
      <c r="F40" s="797"/>
      <c r="G40" s="803">
        <v>400</v>
      </c>
      <c r="H40" s="803"/>
      <c r="I40" s="802"/>
      <c r="J40" s="802" t="s">
        <v>767</v>
      </c>
      <c r="K40" s="802"/>
    </row>
    <row r="41" spans="1:11" s="801" customFormat="1" x14ac:dyDescent="0.25">
      <c r="A41" s="795"/>
      <c r="B41" s="796" t="s">
        <v>1105</v>
      </c>
      <c r="C41" s="797">
        <v>8000</v>
      </c>
      <c r="D41" s="803"/>
      <c r="E41" s="799">
        <f t="shared" si="2"/>
        <v>8000</v>
      </c>
      <c r="F41" s="797"/>
      <c r="G41" s="803">
        <v>8000</v>
      </c>
      <c r="H41" s="803"/>
      <c r="I41" s="802"/>
      <c r="J41" s="802" t="s">
        <v>767</v>
      </c>
      <c r="K41" s="802"/>
    </row>
    <row r="42" spans="1:11" s="801" customFormat="1" x14ac:dyDescent="0.25">
      <c r="A42" s="795"/>
      <c r="B42" s="796" t="s">
        <v>1106</v>
      </c>
      <c r="C42" s="797">
        <v>5000</v>
      </c>
      <c r="D42" s="803"/>
      <c r="E42" s="799">
        <f t="shared" si="2"/>
        <v>5000</v>
      </c>
      <c r="F42" s="797"/>
      <c r="G42" s="803">
        <v>5000</v>
      </c>
      <c r="H42" s="803"/>
      <c r="I42" s="802"/>
      <c r="J42" s="802" t="s">
        <v>767</v>
      </c>
      <c r="K42" s="802"/>
    </row>
    <row r="43" spans="1:11" s="801" customFormat="1" x14ac:dyDescent="0.25">
      <c r="A43" s="795"/>
      <c r="B43" s="796" t="s">
        <v>987</v>
      </c>
      <c r="C43" s="797">
        <v>35094</v>
      </c>
      <c r="D43" s="803"/>
      <c r="E43" s="799">
        <f t="shared" si="0"/>
        <v>35094</v>
      </c>
      <c r="F43" s="797">
        <v>1826</v>
      </c>
      <c r="G43" s="803">
        <v>33268</v>
      </c>
      <c r="H43" s="803"/>
      <c r="I43" s="802"/>
      <c r="J43" s="802" t="s">
        <v>767</v>
      </c>
      <c r="K43" s="802"/>
    </row>
    <row r="44" spans="1:11" s="801" customFormat="1" x14ac:dyDescent="0.25">
      <c r="A44" s="795"/>
      <c r="B44" s="796" t="s">
        <v>946</v>
      </c>
      <c r="C44" s="797">
        <v>5000</v>
      </c>
      <c r="D44" s="803"/>
      <c r="E44" s="799">
        <f t="shared" si="0"/>
        <v>5000</v>
      </c>
      <c r="F44" s="797"/>
      <c r="G44" s="803">
        <v>5000</v>
      </c>
      <c r="H44" s="803"/>
      <c r="I44" s="802"/>
      <c r="J44" s="802" t="s">
        <v>767</v>
      </c>
      <c r="K44" s="802"/>
    </row>
    <row r="45" spans="1:11" s="801" customFormat="1" x14ac:dyDescent="0.25">
      <c r="A45" s="795"/>
      <c r="B45" s="796" t="s">
        <v>947</v>
      </c>
      <c r="C45" s="797">
        <v>2714</v>
      </c>
      <c r="D45" s="803"/>
      <c r="E45" s="799">
        <f t="shared" si="0"/>
        <v>2714</v>
      </c>
      <c r="F45" s="797">
        <v>310</v>
      </c>
      <c r="G45" s="803">
        <v>2404</v>
      </c>
      <c r="H45" s="803"/>
      <c r="I45" s="802"/>
      <c r="J45" s="802" t="s">
        <v>767</v>
      </c>
      <c r="K45" s="802"/>
    </row>
    <row r="46" spans="1:11" s="801" customFormat="1" x14ac:dyDescent="0.25">
      <c r="A46" s="795"/>
      <c r="B46" s="796" t="s">
        <v>948</v>
      </c>
      <c r="C46" s="797">
        <v>1500</v>
      </c>
      <c r="D46" s="803"/>
      <c r="E46" s="799">
        <f t="shared" si="0"/>
        <v>1500</v>
      </c>
      <c r="F46" s="797"/>
      <c r="G46" s="803">
        <v>1500</v>
      </c>
      <c r="H46" s="803"/>
      <c r="I46" s="802"/>
      <c r="J46" s="802" t="s">
        <v>767</v>
      </c>
      <c r="K46" s="802"/>
    </row>
    <row r="47" spans="1:11" s="801" customFormat="1" ht="31.5" x14ac:dyDescent="0.25">
      <c r="A47" s="795"/>
      <c r="B47" s="796" t="s">
        <v>949</v>
      </c>
      <c r="C47" s="797">
        <v>1880</v>
      </c>
      <c r="D47" s="803"/>
      <c r="E47" s="799">
        <f t="shared" si="0"/>
        <v>1880</v>
      </c>
      <c r="F47" s="797"/>
      <c r="G47" s="803">
        <v>1880</v>
      </c>
      <c r="H47" s="803"/>
      <c r="I47" s="802"/>
      <c r="J47" s="802" t="s">
        <v>767</v>
      </c>
      <c r="K47" s="802"/>
    </row>
    <row r="48" spans="1:11" s="801" customFormat="1" ht="31.5" x14ac:dyDescent="0.25">
      <c r="A48" s="795"/>
      <c r="B48" s="796" t="s">
        <v>950</v>
      </c>
      <c r="C48" s="797">
        <v>1500</v>
      </c>
      <c r="D48" s="803"/>
      <c r="E48" s="799">
        <f t="shared" si="0"/>
        <v>1500</v>
      </c>
      <c r="F48" s="797"/>
      <c r="G48" s="803">
        <v>1500</v>
      </c>
      <c r="H48" s="803"/>
      <c r="I48" s="802"/>
      <c r="J48" s="802" t="s">
        <v>767</v>
      </c>
      <c r="K48" s="802"/>
    </row>
    <row r="49" spans="1:11" s="801" customFormat="1" x14ac:dyDescent="0.25">
      <c r="A49" s="795"/>
      <c r="B49" s="796" t="s">
        <v>951</v>
      </c>
      <c r="C49" s="797">
        <v>250</v>
      </c>
      <c r="D49" s="803"/>
      <c r="E49" s="799">
        <f t="shared" si="0"/>
        <v>250</v>
      </c>
      <c r="F49" s="797"/>
      <c r="G49" s="803">
        <v>250</v>
      </c>
      <c r="H49" s="803"/>
      <c r="I49" s="802"/>
      <c r="J49" s="802" t="s">
        <v>767</v>
      </c>
      <c r="K49" s="802"/>
    </row>
    <row r="50" spans="1:11" s="801" customFormat="1" x14ac:dyDescent="0.25">
      <c r="A50" s="795"/>
      <c r="B50" s="796" t="s">
        <v>952</v>
      </c>
      <c r="C50" s="797">
        <v>3000</v>
      </c>
      <c r="D50" s="803"/>
      <c r="E50" s="799">
        <f t="shared" si="0"/>
        <v>3000</v>
      </c>
      <c r="F50" s="797"/>
      <c r="G50" s="803">
        <v>3000</v>
      </c>
      <c r="H50" s="803"/>
      <c r="I50" s="802"/>
      <c r="J50" s="802" t="s">
        <v>767</v>
      </c>
      <c r="K50" s="802"/>
    </row>
    <row r="51" spans="1:11" s="801" customFormat="1" ht="31.5" x14ac:dyDescent="0.25">
      <c r="A51" s="795"/>
      <c r="B51" s="796" t="s">
        <v>953</v>
      </c>
      <c r="C51" s="797">
        <v>3000</v>
      </c>
      <c r="D51" s="803"/>
      <c r="E51" s="799">
        <f t="shared" si="0"/>
        <v>3000</v>
      </c>
      <c r="F51" s="797"/>
      <c r="G51" s="803">
        <v>3000</v>
      </c>
      <c r="H51" s="803"/>
      <c r="I51" s="802"/>
      <c r="J51" s="802" t="s">
        <v>767</v>
      </c>
      <c r="K51" s="802"/>
    </row>
    <row r="52" spans="1:11" s="801" customFormat="1" x14ac:dyDescent="0.25">
      <c r="A52" s="795"/>
      <c r="B52" s="796" t="s">
        <v>954</v>
      </c>
      <c r="C52" s="797">
        <v>24790</v>
      </c>
      <c r="D52" s="803"/>
      <c r="E52" s="799">
        <f t="shared" si="0"/>
        <v>24790</v>
      </c>
      <c r="F52" s="797"/>
      <c r="G52" s="803">
        <v>24790</v>
      </c>
      <c r="H52" s="803"/>
      <c r="I52" s="802"/>
      <c r="J52" s="802" t="s">
        <v>767</v>
      </c>
      <c r="K52" s="802"/>
    </row>
    <row r="53" spans="1:11" s="801" customFormat="1" x14ac:dyDescent="0.25">
      <c r="A53" s="795"/>
      <c r="B53" s="796" t="s">
        <v>955</v>
      </c>
      <c r="C53" s="797">
        <v>2300</v>
      </c>
      <c r="D53" s="803"/>
      <c r="E53" s="799">
        <f t="shared" si="0"/>
        <v>2300</v>
      </c>
      <c r="F53" s="797"/>
      <c r="G53" s="803">
        <v>2300</v>
      </c>
      <c r="H53" s="803"/>
      <c r="I53" s="802"/>
      <c r="J53" s="802" t="s">
        <v>767</v>
      </c>
      <c r="K53" s="802"/>
    </row>
    <row r="54" spans="1:11" s="801" customFormat="1" x14ac:dyDescent="0.25">
      <c r="A54" s="795"/>
      <c r="B54" s="796" t="s">
        <v>956</v>
      </c>
      <c r="C54" s="797">
        <v>2000</v>
      </c>
      <c r="D54" s="803"/>
      <c r="E54" s="799">
        <f t="shared" si="0"/>
        <v>2000</v>
      </c>
      <c r="F54" s="797"/>
      <c r="G54" s="803">
        <v>2000</v>
      </c>
      <c r="H54" s="803"/>
      <c r="I54" s="802"/>
      <c r="J54" s="802" t="s">
        <v>767</v>
      </c>
      <c r="K54" s="802"/>
    </row>
    <row r="55" spans="1:11" s="801" customFormat="1" x14ac:dyDescent="0.25">
      <c r="A55" s="795"/>
      <c r="B55" s="796" t="s">
        <v>957</v>
      </c>
      <c r="C55" s="797">
        <v>500</v>
      </c>
      <c r="D55" s="803"/>
      <c r="E55" s="799">
        <f t="shared" si="0"/>
        <v>500</v>
      </c>
      <c r="F55" s="797"/>
      <c r="G55" s="803">
        <v>500</v>
      </c>
      <c r="H55" s="803"/>
      <c r="I55" s="802"/>
      <c r="J55" s="802" t="s">
        <v>767</v>
      </c>
      <c r="K55" s="802"/>
    </row>
    <row r="56" spans="1:11" s="801" customFormat="1" ht="31.5" x14ac:dyDescent="0.25">
      <c r="A56" s="795"/>
      <c r="B56" s="796" t="s">
        <v>958</v>
      </c>
      <c r="C56" s="797">
        <v>2484</v>
      </c>
      <c r="D56" s="803"/>
      <c r="E56" s="799">
        <f t="shared" si="0"/>
        <v>2484</v>
      </c>
      <c r="F56" s="797"/>
      <c r="G56" s="803">
        <f>300+2184</f>
        <v>2484</v>
      </c>
      <c r="H56" s="803"/>
      <c r="I56" s="802"/>
      <c r="J56" s="802" t="s">
        <v>767</v>
      </c>
      <c r="K56" s="802"/>
    </row>
    <row r="57" spans="1:11" s="801" customFormat="1" x14ac:dyDescent="0.25">
      <c r="A57" s="795"/>
      <c r="B57" s="796" t="s">
        <v>959</v>
      </c>
      <c r="C57" s="797">
        <v>2483</v>
      </c>
      <c r="D57" s="803"/>
      <c r="E57" s="799">
        <f t="shared" si="0"/>
        <v>2483</v>
      </c>
      <c r="F57" s="797"/>
      <c r="G57" s="803">
        <v>2483</v>
      </c>
      <c r="H57" s="803"/>
      <c r="I57" s="802"/>
      <c r="J57" s="802" t="s">
        <v>767</v>
      </c>
      <c r="K57" s="802"/>
    </row>
    <row r="58" spans="1:11" s="801" customFormat="1" x14ac:dyDescent="0.25">
      <c r="A58" s="795"/>
      <c r="B58" s="796" t="s">
        <v>960</v>
      </c>
      <c r="C58" s="797">
        <v>80000</v>
      </c>
      <c r="D58" s="803"/>
      <c r="E58" s="799">
        <f t="shared" si="0"/>
        <v>80000</v>
      </c>
      <c r="F58" s="797"/>
      <c r="G58" s="803">
        <v>80000</v>
      </c>
      <c r="H58" s="803"/>
      <c r="I58" s="802"/>
      <c r="J58" s="802" t="s">
        <v>767</v>
      </c>
      <c r="K58" s="802"/>
    </row>
    <row r="59" spans="1:11" s="801" customFormat="1" x14ac:dyDescent="0.25">
      <c r="A59" s="795"/>
      <c r="B59" s="796" t="s">
        <v>961</v>
      </c>
      <c r="C59" s="797">
        <v>1000</v>
      </c>
      <c r="D59" s="803"/>
      <c r="E59" s="799">
        <f t="shared" si="0"/>
        <v>1000</v>
      </c>
      <c r="F59" s="797"/>
      <c r="G59" s="803">
        <v>1000</v>
      </c>
      <c r="H59" s="803"/>
      <c r="I59" s="802"/>
      <c r="J59" s="802" t="s">
        <v>767</v>
      </c>
      <c r="K59" s="802"/>
    </row>
    <row r="60" spans="1:11" s="801" customFormat="1" x14ac:dyDescent="0.25">
      <c r="A60" s="795"/>
      <c r="B60" s="796" t="s">
        <v>962</v>
      </c>
      <c r="C60" s="797">
        <v>2000</v>
      </c>
      <c r="D60" s="803"/>
      <c r="E60" s="799">
        <f t="shared" si="0"/>
        <v>2000</v>
      </c>
      <c r="F60" s="797"/>
      <c r="G60" s="803">
        <v>2000</v>
      </c>
      <c r="H60" s="803"/>
      <c r="I60" s="802"/>
      <c r="J60" s="802" t="s">
        <v>767</v>
      </c>
      <c r="K60" s="802"/>
    </row>
    <row r="61" spans="1:11" s="801" customFormat="1" ht="31.5" x14ac:dyDescent="0.25">
      <c r="A61" s="795"/>
      <c r="B61" s="796" t="s">
        <v>963</v>
      </c>
      <c r="C61" s="797">
        <v>1000</v>
      </c>
      <c r="D61" s="803"/>
      <c r="E61" s="799">
        <f t="shared" si="0"/>
        <v>1000</v>
      </c>
      <c r="F61" s="797"/>
      <c r="G61" s="803">
        <v>1000</v>
      </c>
      <c r="H61" s="803"/>
      <c r="I61" s="802"/>
      <c r="J61" s="802" t="s">
        <v>767</v>
      </c>
      <c r="K61" s="802"/>
    </row>
    <row r="62" spans="1:11" s="801" customFormat="1" ht="31.5" x14ac:dyDescent="0.25">
      <c r="A62" s="795"/>
      <c r="B62" s="796" t="s">
        <v>964</v>
      </c>
      <c r="C62" s="797">
        <v>1000</v>
      </c>
      <c r="D62" s="803"/>
      <c r="E62" s="799">
        <f t="shared" si="0"/>
        <v>1000</v>
      </c>
      <c r="F62" s="797"/>
      <c r="G62" s="803">
        <v>1000</v>
      </c>
      <c r="H62" s="803"/>
      <c r="I62" s="802"/>
      <c r="J62" s="802" t="s">
        <v>767</v>
      </c>
      <c r="K62" s="802"/>
    </row>
    <row r="63" spans="1:11" s="801" customFormat="1" x14ac:dyDescent="0.25">
      <c r="A63" s="795"/>
      <c r="B63" s="796" t="s">
        <v>965</v>
      </c>
      <c r="C63" s="797">
        <v>2000</v>
      </c>
      <c r="D63" s="803"/>
      <c r="E63" s="799">
        <f t="shared" si="0"/>
        <v>2000</v>
      </c>
      <c r="F63" s="797"/>
      <c r="G63" s="803">
        <v>2000</v>
      </c>
      <c r="H63" s="803"/>
      <c r="I63" s="802"/>
      <c r="J63" s="802" t="s">
        <v>767</v>
      </c>
      <c r="K63" s="802"/>
    </row>
    <row r="64" spans="1:11" s="801" customFormat="1" ht="31.5" x14ac:dyDescent="0.25">
      <c r="A64" s="795"/>
      <c r="B64" s="796" t="s">
        <v>966</v>
      </c>
      <c r="C64" s="797">
        <v>1705</v>
      </c>
      <c r="D64" s="803"/>
      <c r="E64" s="799">
        <f t="shared" ref="E64:E70" si="3">SUM(C64:D64)</f>
        <v>1705</v>
      </c>
      <c r="F64" s="797"/>
      <c r="G64" s="803">
        <f>4411-4411+448+4368-2184+1257</f>
        <v>3889</v>
      </c>
      <c r="H64" s="803">
        <v>-2184</v>
      </c>
      <c r="I64" s="802"/>
      <c r="J64" s="802" t="s">
        <v>767</v>
      </c>
      <c r="K64" s="802"/>
    </row>
    <row r="65" spans="1:11" s="801" customFormat="1" ht="31.5" x14ac:dyDescent="0.25">
      <c r="A65" s="795"/>
      <c r="B65" s="796" t="s">
        <v>1403</v>
      </c>
      <c r="C65" s="797"/>
      <c r="D65" s="803">
        <v>5000</v>
      </c>
      <c r="E65" s="799">
        <f t="shared" ref="E65" si="4">SUM(C65:D65)</f>
        <v>5000</v>
      </c>
      <c r="F65" s="797"/>
      <c r="G65" s="803">
        <v>5000</v>
      </c>
      <c r="H65" s="803"/>
      <c r="I65" s="802"/>
      <c r="J65" s="802" t="s">
        <v>767</v>
      </c>
      <c r="K65" s="802"/>
    </row>
    <row r="66" spans="1:11" s="801" customFormat="1" x14ac:dyDescent="0.25">
      <c r="A66" s="795"/>
      <c r="B66" s="796" t="s">
        <v>1195</v>
      </c>
      <c r="C66" s="797">
        <v>1000</v>
      </c>
      <c r="D66" s="803"/>
      <c r="E66" s="799">
        <f t="shared" si="3"/>
        <v>1000</v>
      </c>
      <c r="F66" s="797"/>
      <c r="G66" s="803">
        <v>1000</v>
      </c>
      <c r="H66" s="803"/>
      <c r="I66" s="802"/>
      <c r="J66" s="802" t="s">
        <v>767</v>
      </c>
      <c r="K66" s="802"/>
    </row>
    <row r="67" spans="1:11" s="801" customFormat="1" x14ac:dyDescent="0.25">
      <c r="A67" s="795"/>
      <c r="B67" s="796" t="s">
        <v>1196</v>
      </c>
      <c r="C67" s="797">
        <v>400</v>
      </c>
      <c r="D67" s="803"/>
      <c r="E67" s="799">
        <f t="shared" si="3"/>
        <v>400</v>
      </c>
      <c r="F67" s="797"/>
      <c r="G67" s="803">
        <v>400</v>
      </c>
      <c r="H67" s="803"/>
      <c r="I67" s="802"/>
      <c r="J67" s="802" t="s">
        <v>767</v>
      </c>
      <c r="K67" s="802"/>
    </row>
    <row r="68" spans="1:11" s="801" customFormat="1" x14ac:dyDescent="0.25">
      <c r="A68" s="795"/>
      <c r="B68" s="796" t="s">
        <v>1197</v>
      </c>
      <c r="C68" s="797">
        <v>750</v>
      </c>
      <c r="D68" s="803"/>
      <c r="E68" s="799">
        <f t="shared" ref="E68" si="5">SUM(C68:D68)</f>
        <v>750</v>
      </c>
      <c r="F68" s="797"/>
      <c r="G68" s="803">
        <v>750</v>
      </c>
      <c r="H68" s="803"/>
      <c r="I68" s="802"/>
      <c r="J68" s="802" t="s">
        <v>767</v>
      </c>
      <c r="K68" s="802"/>
    </row>
    <row r="69" spans="1:11" s="801" customFormat="1" x14ac:dyDescent="0.25">
      <c r="A69" s="795"/>
      <c r="B69" s="796" t="s">
        <v>1198</v>
      </c>
      <c r="C69" s="797">
        <v>300</v>
      </c>
      <c r="D69" s="803"/>
      <c r="E69" s="799">
        <f t="shared" si="3"/>
        <v>300</v>
      </c>
      <c r="F69" s="797"/>
      <c r="G69" s="803">
        <v>300</v>
      </c>
      <c r="H69" s="803"/>
      <c r="I69" s="802"/>
      <c r="J69" s="802" t="s">
        <v>767</v>
      </c>
      <c r="K69" s="802"/>
    </row>
    <row r="70" spans="1:11" s="801" customFormat="1" x14ac:dyDescent="0.25">
      <c r="A70" s="795"/>
      <c r="B70" s="796" t="s">
        <v>1199</v>
      </c>
      <c r="C70" s="797">
        <v>508</v>
      </c>
      <c r="D70" s="803"/>
      <c r="E70" s="799">
        <f t="shared" si="3"/>
        <v>508</v>
      </c>
      <c r="F70" s="797"/>
      <c r="G70" s="803">
        <v>508</v>
      </c>
      <c r="H70" s="803"/>
      <c r="I70" s="802"/>
      <c r="J70" s="802" t="s">
        <v>767</v>
      </c>
      <c r="K70" s="802"/>
    </row>
    <row r="71" spans="1:11" s="801" customFormat="1" x14ac:dyDescent="0.25">
      <c r="A71" s="795"/>
      <c r="B71" s="796" t="s">
        <v>1200</v>
      </c>
      <c r="C71" s="797">
        <v>3273</v>
      </c>
      <c r="D71" s="803"/>
      <c r="E71" s="799">
        <f t="shared" ref="E71:E72" si="6">SUM(C71:D71)</f>
        <v>3273</v>
      </c>
      <c r="F71" s="797"/>
      <c r="G71" s="803">
        <v>3273</v>
      </c>
      <c r="H71" s="803"/>
      <c r="I71" s="802"/>
      <c r="J71" s="802" t="s">
        <v>767</v>
      </c>
      <c r="K71" s="802"/>
    </row>
    <row r="72" spans="1:11" s="801" customFormat="1" x14ac:dyDescent="0.25">
      <c r="A72" s="795"/>
      <c r="B72" s="796" t="s">
        <v>1404</v>
      </c>
      <c r="C72" s="797"/>
      <c r="D72" s="803">
        <v>1100</v>
      </c>
      <c r="E72" s="799">
        <f t="shared" si="6"/>
        <v>1100</v>
      </c>
      <c r="F72" s="797"/>
      <c r="G72" s="803">
        <v>1100</v>
      </c>
      <c r="H72" s="803"/>
      <c r="I72" s="802"/>
      <c r="J72" s="802" t="s">
        <v>767</v>
      </c>
      <c r="K72" s="802"/>
    </row>
    <row r="73" spans="1:11" s="801" customFormat="1" x14ac:dyDescent="0.25">
      <c r="A73" s="795"/>
      <c r="B73" s="796" t="s">
        <v>1405</v>
      </c>
      <c r="C73" s="797"/>
      <c r="D73" s="803">
        <v>1500</v>
      </c>
      <c r="E73" s="799">
        <f t="shared" si="0"/>
        <v>1500</v>
      </c>
      <c r="F73" s="797"/>
      <c r="G73" s="803">
        <v>1500</v>
      </c>
      <c r="H73" s="803"/>
      <c r="I73" s="802"/>
      <c r="J73" s="802" t="s">
        <v>767</v>
      </c>
      <c r="K73" s="802"/>
    </row>
    <row r="74" spans="1:11" x14ac:dyDescent="0.25">
      <c r="A74" s="786"/>
      <c r="B74" s="804" t="s">
        <v>131</v>
      </c>
      <c r="C74" s="791">
        <v>19910</v>
      </c>
      <c r="D74" s="791">
        <f t="shared" ref="D74" si="7">SUM(D75:D77)</f>
        <v>0</v>
      </c>
      <c r="E74" s="791">
        <f t="shared" si="0"/>
        <v>19910</v>
      </c>
      <c r="F74" s="791">
        <f>SUM(F75:F77)</f>
        <v>168</v>
      </c>
      <c r="G74" s="791">
        <f t="shared" ref="G74:H74" si="8">SUM(G75:G77)</f>
        <v>20200</v>
      </c>
      <c r="H74" s="791">
        <f t="shared" si="8"/>
        <v>-458</v>
      </c>
      <c r="I74" s="793"/>
      <c r="J74" s="792" t="s">
        <v>767</v>
      </c>
      <c r="K74" s="793"/>
    </row>
    <row r="75" spans="1:11" x14ac:dyDescent="0.25">
      <c r="A75" s="786"/>
      <c r="B75" s="805" t="s">
        <v>142</v>
      </c>
      <c r="C75" s="806">
        <v>16355</v>
      </c>
      <c r="D75" s="806">
        <v>0</v>
      </c>
      <c r="E75" s="806">
        <f t="shared" si="0"/>
        <v>16355</v>
      </c>
      <c r="F75" s="806">
        <f>192-79</f>
        <v>113</v>
      </c>
      <c r="G75" s="806">
        <v>16700</v>
      </c>
      <c r="H75" s="806">
        <v>-458</v>
      </c>
      <c r="I75" s="807"/>
      <c r="J75" s="807" t="s">
        <v>767</v>
      </c>
      <c r="K75" s="807"/>
    </row>
    <row r="76" spans="1:11" x14ac:dyDescent="0.25">
      <c r="A76" s="786"/>
      <c r="B76" s="805" t="s">
        <v>143</v>
      </c>
      <c r="C76" s="806">
        <v>1055</v>
      </c>
      <c r="D76" s="806"/>
      <c r="E76" s="806">
        <f t="shared" si="0"/>
        <v>1055</v>
      </c>
      <c r="F76" s="806">
        <v>55</v>
      </c>
      <c r="G76" s="806">
        <v>1000</v>
      </c>
      <c r="H76" s="806"/>
      <c r="I76" s="807"/>
      <c r="J76" s="807" t="s">
        <v>767</v>
      </c>
      <c r="K76" s="807"/>
    </row>
    <row r="77" spans="1:11" x14ac:dyDescent="0.25">
      <c r="A77" s="786"/>
      <c r="B77" s="805" t="s">
        <v>144</v>
      </c>
      <c r="C77" s="806">
        <v>2500</v>
      </c>
      <c r="D77" s="806"/>
      <c r="E77" s="806">
        <f t="shared" si="0"/>
        <v>2500</v>
      </c>
      <c r="F77" s="806"/>
      <c r="G77" s="806">
        <v>2500</v>
      </c>
      <c r="H77" s="806"/>
      <c r="I77" s="807"/>
      <c r="J77" s="807" t="s">
        <v>767</v>
      </c>
      <c r="K77" s="807"/>
    </row>
    <row r="78" spans="1:11" x14ac:dyDescent="0.25">
      <c r="A78" s="786"/>
      <c r="B78" s="804" t="s">
        <v>154</v>
      </c>
      <c r="C78" s="791">
        <v>7168</v>
      </c>
      <c r="D78" s="791"/>
      <c r="E78" s="791">
        <f t="shared" si="0"/>
        <v>7168</v>
      </c>
      <c r="F78" s="791">
        <v>0</v>
      </c>
      <c r="G78" s="791">
        <v>7168</v>
      </c>
      <c r="H78" s="791"/>
      <c r="I78" s="792" t="s">
        <v>767</v>
      </c>
      <c r="J78" s="792" t="s">
        <v>767</v>
      </c>
      <c r="K78" s="793"/>
    </row>
    <row r="79" spans="1:11" x14ac:dyDescent="0.25">
      <c r="A79" s="786"/>
      <c r="B79" s="743" t="s">
        <v>109</v>
      </c>
      <c r="C79" s="788">
        <v>334479</v>
      </c>
      <c r="D79" s="788">
        <v>19000</v>
      </c>
      <c r="E79" s="788">
        <f t="shared" si="0"/>
        <v>353479</v>
      </c>
      <c r="F79" s="788">
        <f>19558-1555</f>
        <v>18003</v>
      </c>
      <c r="G79" s="788">
        <f>299384+12192+4900+19000</f>
        <v>335476</v>
      </c>
      <c r="H79" s="788"/>
      <c r="I79" s="789" t="s">
        <v>767</v>
      </c>
      <c r="J79" s="789" t="s">
        <v>767</v>
      </c>
      <c r="K79" s="789"/>
    </row>
    <row r="80" spans="1:11" x14ac:dyDescent="0.25">
      <c r="A80" s="786"/>
      <c r="B80" s="743" t="s">
        <v>110</v>
      </c>
      <c r="C80" s="788">
        <v>349525</v>
      </c>
      <c r="D80" s="788">
        <v>0</v>
      </c>
      <c r="E80" s="788">
        <f t="shared" si="0"/>
        <v>349525</v>
      </c>
      <c r="F80" s="788">
        <v>0</v>
      </c>
      <c r="G80" s="788">
        <f>282770+65000+1755</f>
        <v>349525</v>
      </c>
      <c r="H80" s="788"/>
      <c r="I80" s="789" t="s">
        <v>767</v>
      </c>
      <c r="J80" s="789"/>
      <c r="K80" s="789"/>
    </row>
    <row r="81" spans="1:11" x14ac:dyDescent="0.25">
      <c r="A81" s="786"/>
      <c r="B81" s="808" t="s">
        <v>132</v>
      </c>
      <c r="C81" s="806">
        <v>254400</v>
      </c>
      <c r="D81" s="806">
        <v>0</v>
      </c>
      <c r="E81" s="806">
        <f t="shared" si="0"/>
        <v>254400</v>
      </c>
      <c r="F81" s="806"/>
      <c r="G81" s="806">
        <f>252645+1755</f>
        <v>254400</v>
      </c>
      <c r="H81" s="806"/>
      <c r="I81" s="807" t="s">
        <v>767</v>
      </c>
      <c r="J81" s="807"/>
      <c r="K81" s="807"/>
    </row>
    <row r="82" spans="1:11" x14ac:dyDescent="0.25">
      <c r="A82" s="786"/>
      <c r="B82" s="808" t="s">
        <v>988</v>
      </c>
      <c r="C82" s="806">
        <v>95000</v>
      </c>
      <c r="D82" s="806"/>
      <c r="E82" s="806">
        <f t="shared" si="0"/>
        <v>95000</v>
      </c>
      <c r="F82" s="806"/>
      <c r="G82" s="806">
        <f>30000+65000</f>
        <v>95000</v>
      </c>
      <c r="H82" s="806"/>
      <c r="I82" s="807" t="s">
        <v>767</v>
      </c>
      <c r="J82" s="807"/>
      <c r="K82" s="807"/>
    </row>
    <row r="83" spans="1:11" x14ac:dyDescent="0.25">
      <c r="A83" s="786"/>
      <c r="B83" s="743" t="s">
        <v>133</v>
      </c>
      <c r="C83" s="788">
        <v>90769</v>
      </c>
      <c r="D83" s="788"/>
      <c r="E83" s="788">
        <f t="shared" si="0"/>
        <v>90769</v>
      </c>
      <c r="F83" s="788"/>
      <c r="G83" s="788">
        <v>90769</v>
      </c>
      <c r="H83" s="788"/>
      <c r="I83" s="789"/>
      <c r="J83" s="789" t="s">
        <v>767</v>
      </c>
      <c r="K83" s="789"/>
    </row>
    <row r="84" spans="1:11" x14ac:dyDescent="0.25">
      <c r="A84" s="786"/>
      <c r="B84" s="805" t="s">
        <v>613</v>
      </c>
      <c r="C84" s="806">
        <v>11600</v>
      </c>
      <c r="D84" s="806"/>
      <c r="E84" s="806">
        <f t="shared" si="0"/>
        <v>11600</v>
      </c>
      <c r="F84" s="806"/>
      <c r="G84" s="806">
        <v>11600</v>
      </c>
      <c r="H84" s="806"/>
      <c r="I84" s="807"/>
      <c r="J84" s="807" t="s">
        <v>767</v>
      </c>
      <c r="K84" s="807"/>
    </row>
    <row r="85" spans="1:11" ht="31.5" x14ac:dyDescent="0.25">
      <c r="A85" s="786"/>
      <c r="B85" s="805" t="s">
        <v>769</v>
      </c>
      <c r="C85" s="806">
        <v>28000</v>
      </c>
      <c r="D85" s="806"/>
      <c r="E85" s="806">
        <f t="shared" si="0"/>
        <v>28000</v>
      </c>
      <c r="F85" s="806"/>
      <c r="G85" s="806">
        <v>28000</v>
      </c>
      <c r="H85" s="806"/>
      <c r="I85" s="807"/>
      <c r="J85" s="807" t="s">
        <v>767</v>
      </c>
      <c r="K85" s="807"/>
    </row>
    <row r="86" spans="1:11" ht="31.5" x14ac:dyDescent="0.25">
      <c r="A86" s="786"/>
      <c r="B86" s="805" t="s">
        <v>922</v>
      </c>
      <c r="C86" s="806">
        <v>2500</v>
      </c>
      <c r="D86" s="806"/>
      <c r="E86" s="806">
        <f t="shared" si="0"/>
        <v>2500</v>
      </c>
      <c r="F86" s="806"/>
      <c r="G86" s="806">
        <v>2500</v>
      </c>
      <c r="H86" s="806"/>
      <c r="I86" s="807"/>
      <c r="J86" s="807" t="s">
        <v>767</v>
      </c>
      <c r="K86" s="807"/>
    </row>
    <row r="87" spans="1:11" ht="31.5" x14ac:dyDescent="0.25">
      <c r="A87" s="786"/>
      <c r="B87" s="805" t="s">
        <v>614</v>
      </c>
      <c r="C87" s="806">
        <v>33669</v>
      </c>
      <c r="D87" s="806"/>
      <c r="E87" s="806">
        <f t="shared" si="0"/>
        <v>33669</v>
      </c>
      <c r="F87" s="806"/>
      <c r="G87" s="806">
        <v>33669</v>
      </c>
      <c r="H87" s="806"/>
      <c r="I87" s="807"/>
      <c r="J87" s="807" t="s">
        <v>767</v>
      </c>
      <c r="K87" s="807"/>
    </row>
    <row r="88" spans="1:11" x14ac:dyDescent="0.25">
      <c r="A88" s="786"/>
      <c r="B88" s="805" t="s">
        <v>360</v>
      </c>
      <c r="C88" s="806">
        <v>15000</v>
      </c>
      <c r="D88" s="806"/>
      <c r="E88" s="806">
        <f t="shared" si="0"/>
        <v>15000</v>
      </c>
      <c r="F88" s="806"/>
      <c r="G88" s="806">
        <v>15000</v>
      </c>
      <c r="H88" s="806"/>
      <c r="I88" s="807"/>
      <c r="J88" s="807" t="s">
        <v>767</v>
      </c>
      <c r="K88" s="807"/>
    </row>
    <row r="89" spans="1:11" x14ac:dyDescent="0.25">
      <c r="A89" s="786" t="s">
        <v>134</v>
      </c>
      <c r="B89" s="787" t="s">
        <v>135</v>
      </c>
      <c r="C89" s="809">
        <f t="shared" ref="C89:D89" si="9">SUM(C90:C91)</f>
        <v>191833</v>
      </c>
      <c r="D89" s="809">
        <f t="shared" si="9"/>
        <v>0</v>
      </c>
      <c r="E89" s="809">
        <f t="shared" si="0"/>
        <v>191833</v>
      </c>
      <c r="F89" s="809">
        <f>SUM(F90:F91)</f>
        <v>9</v>
      </c>
      <c r="G89" s="809">
        <f t="shared" ref="G89:H89" si="10">SUM(G90:G91)</f>
        <v>191824</v>
      </c>
      <c r="H89" s="809">
        <f t="shared" si="10"/>
        <v>0</v>
      </c>
      <c r="I89" s="810" t="s">
        <v>767</v>
      </c>
      <c r="J89" s="810"/>
      <c r="K89" s="810"/>
    </row>
    <row r="90" spans="1:11" x14ac:dyDescent="0.25">
      <c r="A90" s="786"/>
      <c r="B90" s="804" t="s">
        <v>361</v>
      </c>
      <c r="C90" s="791">
        <v>15000</v>
      </c>
      <c r="D90" s="791"/>
      <c r="E90" s="791">
        <f t="shared" si="0"/>
        <v>15000</v>
      </c>
      <c r="F90" s="791"/>
      <c r="G90" s="791">
        <v>15000</v>
      </c>
      <c r="H90" s="791"/>
      <c r="I90" s="792" t="s">
        <v>767</v>
      </c>
      <c r="J90" s="793"/>
      <c r="K90" s="793"/>
    </row>
    <row r="91" spans="1:11" x14ac:dyDescent="0.25">
      <c r="A91" s="786"/>
      <c r="B91" s="804" t="s">
        <v>111</v>
      </c>
      <c r="C91" s="791">
        <v>176833</v>
      </c>
      <c r="D91" s="791"/>
      <c r="E91" s="791">
        <f t="shared" si="0"/>
        <v>176833</v>
      </c>
      <c r="F91" s="791">
        <v>9</v>
      </c>
      <c r="G91" s="794">
        <f>175000+1824+2000-2000</f>
        <v>176824</v>
      </c>
      <c r="H91" s="791"/>
      <c r="I91" s="792" t="s">
        <v>767</v>
      </c>
      <c r="J91" s="793"/>
      <c r="K91" s="793"/>
    </row>
    <row r="92" spans="1:11" x14ac:dyDescent="0.25">
      <c r="A92" s="786"/>
      <c r="B92" s="805" t="s">
        <v>989</v>
      </c>
      <c r="C92" s="811">
        <v>148000</v>
      </c>
      <c r="D92" s="811"/>
      <c r="E92" s="811">
        <f t="shared" si="0"/>
        <v>148000</v>
      </c>
      <c r="F92" s="811"/>
      <c r="G92" s="811">
        <f>150000-2000</f>
        <v>148000</v>
      </c>
      <c r="H92" s="811"/>
      <c r="I92" s="812" t="s">
        <v>767</v>
      </c>
      <c r="J92" s="812"/>
      <c r="K92" s="812"/>
    </row>
    <row r="93" spans="1:11" x14ac:dyDescent="0.25">
      <c r="A93" s="786" t="s">
        <v>136</v>
      </c>
      <c r="B93" s="743" t="s">
        <v>518</v>
      </c>
      <c r="C93" s="809">
        <f t="shared" ref="C93:D93" si="11">SUM(C94:C97)</f>
        <v>33709137</v>
      </c>
      <c r="D93" s="809">
        <f t="shared" si="11"/>
        <v>-15922</v>
      </c>
      <c r="E93" s="809">
        <f t="shared" si="0"/>
        <v>33693215</v>
      </c>
      <c r="F93" s="809">
        <f>SUM(F94:F97)</f>
        <v>334326</v>
      </c>
      <c r="G93" s="809">
        <f t="shared" ref="G93:H93" si="12">SUM(G94:G97)</f>
        <v>33358889</v>
      </c>
      <c r="H93" s="809">
        <f t="shared" si="12"/>
        <v>0</v>
      </c>
      <c r="I93" s="810" t="s">
        <v>767</v>
      </c>
      <c r="J93" s="810" t="s">
        <v>767</v>
      </c>
      <c r="K93" s="810"/>
    </row>
    <row r="94" spans="1:11" x14ac:dyDescent="0.25">
      <c r="A94" s="786"/>
      <c r="B94" s="790" t="s">
        <v>772</v>
      </c>
      <c r="C94" s="791">
        <v>2004014</v>
      </c>
      <c r="D94" s="794">
        <f>5858+95250</f>
        <v>101108</v>
      </c>
      <c r="E94" s="791">
        <f t="shared" si="0"/>
        <v>2105122</v>
      </c>
      <c r="F94" s="791">
        <v>20520</v>
      </c>
      <c r="G94" s="791">
        <f>1848197+11243+31398+10000+26445+38211+10000-7000+15000+5858+95250</f>
        <v>2084602</v>
      </c>
      <c r="H94" s="791"/>
      <c r="I94" s="792" t="s">
        <v>767</v>
      </c>
      <c r="J94" s="793"/>
      <c r="K94" s="793"/>
    </row>
    <row r="95" spans="1:11" x14ac:dyDescent="0.25">
      <c r="A95" s="786"/>
      <c r="B95" s="790" t="s">
        <v>112</v>
      </c>
      <c r="C95" s="791">
        <v>30626885</v>
      </c>
      <c r="D95" s="791">
        <f>23961-5858-374030-19135+51497-82465+189000</f>
        <v>-217030</v>
      </c>
      <c r="E95" s="791">
        <f t="shared" si="0"/>
        <v>30409855</v>
      </c>
      <c r="F95" s="791">
        <f>271592-94-385</f>
        <v>271113</v>
      </c>
      <c r="G95" s="791">
        <f>30136333+34613-7742+18+40000+5542+15066-10000-105000+56000+101600-2850+16422-6+11455+24905+10040-624+30000+23961-5858-374030-19135+51497-82465+189000</f>
        <v>30138742</v>
      </c>
      <c r="H95" s="791"/>
      <c r="I95" s="792" t="s">
        <v>767</v>
      </c>
      <c r="J95" s="792" t="s">
        <v>767</v>
      </c>
      <c r="K95" s="793"/>
    </row>
    <row r="96" spans="1:11" x14ac:dyDescent="0.25">
      <c r="A96" s="786"/>
      <c r="B96" s="813" t="s">
        <v>768</v>
      </c>
      <c r="C96" s="791">
        <v>1060880</v>
      </c>
      <c r="D96" s="791">
        <v>100000</v>
      </c>
      <c r="E96" s="791">
        <f t="shared" si="0"/>
        <v>1160880</v>
      </c>
      <c r="F96" s="791">
        <v>42693</v>
      </c>
      <c r="G96" s="794">
        <f>992853+25334+100000</f>
        <v>1118187</v>
      </c>
      <c r="H96" s="791"/>
      <c r="I96" s="792" t="s">
        <v>767</v>
      </c>
      <c r="J96" s="793"/>
      <c r="K96" s="793"/>
    </row>
    <row r="97" spans="1:12" x14ac:dyDescent="0.25">
      <c r="A97" s="786"/>
      <c r="B97" s="813" t="s">
        <v>138</v>
      </c>
      <c r="C97" s="791">
        <v>17358</v>
      </c>
      <c r="D97" s="791"/>
      <c r="E97" s="791">
        <f t="shared" si="0"/>
        <v>17358</v>
      </c>
      <c r="F97" s="791">
        <v>0</v>
      </c>
      <c r="G97" s="791">
        <v>17358</v>
      </c>
      <c r="H97" s="791"/>
      <c r="I97" s="792" t="s">
        <v>767</v>
      </c>
      <c r="J97" s="793"/>
      <c r="K97" s="793"/>
    </row>
    <row r="98" spans="1:12" x14ac:dyDescent="0.25">
      <c r="A98" s="786" t="s">
        <v>113</v>
      </c>
      <c r="B98" s="743" t="s">
        <v>91</v>
      </c>
      <c r="C98" s="788">
        <f>SUM(C104,C99)</f>
        <v>1731465</v>
      </c>
      <c r="D98" s="788">
        <f>SUM(D104,D99)</f>
        <v>29326</v>
      </c>
      <c r="E98" s="788">
        <f t="shared" si="0"/>
        <v>1760791</v>
      </c>
      <c r="F98" s="788">
        <f>SUM(F104,F99)</f>
        <v>2480</v>
      </c>
      <c r="G98" s="788">
        <f>SUM(G104,G99)</f>
        <v>1758311</v>
      </c>
      <c r="H98" s="788">
        <f>SUM(H104,H99)</f>
        <v>0</v>
      </c>
      <c r="I98" s="789" t="s">
        <v>767</v>
      </c>
      <c r="J98" s="789" t="s">
        <v>767</v>
      </c>
      <c r="K98" s="789"/>
    </row>
    <row r="99" spans="1:12" x14ac:dyDescent="0.25">
      <c r="A99" s="786"/>
      <c r="B99" s="813" t="s">
        <v>114</v>
      </c>
      <c r="C99" s="791">
        <v>1720369</v>
      </c>
      <c r="D99" s="794">
        <f>297+28450+579</f>
        <v>29326</v>
      </c>
      <c r="E99" s="791">
        <f t="shared" si="0"/>
        <v>1749695</v>
      </c>
      <c r="F99" s="791">
        <v>2384</v>
      </c>
      <c r="G99" s="791">
        <f>1390801+48945+76527+10*7000+11152+100+1905+5965+3600+43000+19416+3000+64400+1590-42000+19584+297+28450+579</f>
        <v>1747311</v>
      </c>
      <c r="H99" s="791"/>
      <c r="I99" s="792" t="s">
        <v>767</v>
      </c>
      <c r="J99" s="792" t="s">
        <v>767</v>
      </c>
      <c r="K99" s="793"/>
    </row>
    <row r="100" spans="1:12" x14ac:dyDescent="0.25">
      <c r="A100" s="786"/>
      <c r="B100" s="808" t="s">
        <v>986</v>
      </c>
      <c r="C100" s="806">
        <v>20000</v>
      </c>
      <c r="D100" s="806"/>
      <c r="E100" s="806">
        <f t="shared" si="0"/>
        <v>20000</v>
      </c>
      <c r="F100" s="806"/>
      <c r="G100" s="806">
        <v>20000</v>
      </c>
      <c r="H100" s="806"/>
      <c r="I100" s="807"/>
      <c r="J100" s="807" t="s">
        <v>767</v>
      </c>
      <c r="K100" s="807"/>
    </row>
    <row r="101" spans="1:12" x14ac:dyDescent="0.25">
      <c r="A101" s="786"/>
      <c r="B101" s="808" t="s">
        <v>1107</v>
      </c>
      <c r="C101" s="806">
        <f>618456+19416+3000+626</f>
        <v>641498</v>
      </c>
      <c r="D101" s="806">
        <v>28450</v>
      </c>
      <c r="E101" s="806">
        <f t="shared" si="0"/>
        <v>669948</v>
      </c>
      <c r="F101" s="806"/>
      <c r="G101" s="806">
        <f>381000+48945+76527+10*7000+64400-42000+19584+19416+3000+626+28450</f>
        <v>669948</v>
      </c>
      <c r="H101" s="806"/>
      <c r="I101" s="807" t="s">
        <v>767</v>
      </c>
      <c r="J101" s="807"/>
      <c r="K101" s="807"/>
      <c r="L101" s="1116"/>
    </row>
    <row r="102" spans="1:12" ht="31.5" x14ac:dyDescent="0.25">
      <c r="A102" s="786"/>
      <c r="B102" s="808" t="s">
        <v>1201</v>
      </c>
      <c r="C102" s="806">
        <v>499527</v>
      </c>
      <c r="D102" s="806">
        <v>28450</v>
      </c>
      <c r="E102" s="806">
        <f>SUM(C102:D102)</f>
        <v>527977</v>
      </c>
      <c r="F102" s="806"/>
      <c r="G102" s="806">
        <f>381000+76527+6*7000+3000+19416-42000+19584+28450</f>
        <v>527977</v>
      </c>
      <c r="H102" s="806"/>
      <c r="I102" s="807" t="s">
        <v>767</v>
      </c>
      <c r="J102" s="807"/>
      <c r="K102" s="807"/>
      <c r="L102" s="1116"/>
    </row>
    <row r="103" spans="1:12" x14ac:dyDescent="0.25">
      <c r="A103" s="786"/>
      <c r="B103" s="813" t="s">
        <v>1108</v>
      </c>
      <c r="C103" s="791">
        <v>11152</v>
      </c>
      <c r="D103" s="791"/>
      <c r="E103" s="791">
        <f t="shared" ref="E103" si="13">SUM(C103:D103)</f>
        <v>11152</v>
      </c>
      <c r="F103" s="791"/>
      <c r="G103" s="791">
        <v>11152</v>
      </c>
      <c r="H103" s="791"/>
      <c r="I103" s="793"/>
      <c r="J103" s="792" t="s">
        <v>767</v>
      </c>
      <c r="K103" s="793"/>
    </row>
    <row r="104" spans="1:12" x14ac:dyDescent="0.25">
      <c r="A104" s="786"/>
      <c r="B104" s="814" t="s">
        <v>378</v>
      </c>
      <c r="C104" s="791">
        <v>11096</v>
      </c>
      <c r="D104" s="791"/>
      <c r="E104" s="791">
        <f t="shared" si="0"/>
        <v>11096</v>
      </c>
      <c r="F104" s="791">
        <f>333-237</f>
        <v>96</v>
      </c>
      <c r="G104" s="791">
        <v>11000</v>
      </c>
      <c r="H104" s="791"/>
      <c r="I104" s="793"/>
      <c r="J104" s="792" t="s">
        <v>767</v>
      </c>
      <c r="K104" s="793"/>
    </row>
    <row r="105" spans="1:12" x14ac:dyDescent="0.25">
      <c r="A105" s="786" t="s">
        <v>115</v>
      </c>
      <c r="B105" s="743" t="s">
        <v>92</v>
      </c>
      <c r="C105" s="809">
        <f>SUM(C114,C112,C108,C106:C107)</f>
        <v>7885480</v>
      </c>
      <c r="D105" s="809">
        <f>SUM(D114,D112,D108,D106:D107)</f>
        <v>246004</v>
      </c>
      <c r="E105" s="809">
        <f t="shared" si="0"/>
        <v>8131484</v>
      </c>
      <c r="F105" s="809">
        <f>SUM(F114,F112,F108,F106:F107)</f>
        <v>0</v>
      </c>
      <c r="G105" s="809">
        <f>SUM(G114,G112,G108,G106:G107)</f>
        <v>8131484</v>
      </c>
      <c r="H105" s="809">
        <f>SUM(H114,H112,H108,H106:H107)</f>
        <v>0</v>
      </c>
      <c r="I105" s="810" t="s">
        <v>767</v>
      </c>
      <c r="J105" s="810" t="s">
        <v>767</v>
      </c>
      <c r="K105" s="810"/>
    </row>
    <row r="106" spans="1:12" x14ac:dyDescent="0.25">
      <c r="A106" s="786"/>
      <c r="B106" s="790" t="s">
        <v>116</v>
      </c>
      <c r="C106" s="791">
        <v>6907274</v>
      </c>
      <c r="D106" s="791">
        <v>201586</v>
      </c>
      <c r="E106" s="791">
        <f t="shared" si="0"/>
        <v>7108860</v>
      </c>
      <c r="F106" s="791"/>
      <c r="G106" s="791">
        <f>6577274+330000+201586</f>
        <v>7108860</v>
      </c>
      <c r="H106" s="791"/>
      <c r="I106" s="792" t="s">
        <v>767</v>
      </c>
      <c r="J106" s="793"/>
      <c r="K106" s="793"/>
    </row>
    <row r="107" spans="1:12" x14ac:dyDescent="0.25">
      <c r="A107" s="786"/>
      <c r="B107" s="804" t="s">
        <v>117</v>
      </c>
      <c r="C107" s="791">
        <v>71513</v>
      </c>
      <c r="D107" s="791"/>
      <c r="E107" s="791">
        <f t="shared" si="0"/>
        <v>71513</v>
      </c>
      <c r="F107" s="791"/>
      <c r="G107" s="791">
        <v>71513</v>
      </c>
      <c r="H107" s="791"/>
      <c r="I107" s="792" t="s">
        <v>767</v>
      </c>
      <c r="J107" s="792" t="s">
        <v>767</v>
      </c>
      <c r="K107" s="793"/>
    </row>
    <row r="108" spans="1:12" x14ac:dyDescent="0.25">
      <c r="A108" s="786"/>
      <c r="B108" s="813" t="s">
        <v>447</v>
      </c>
      <c r="C108" s="791">
        <v>850856</v>
      </c>
      <c r="D108" s="791">
        <v>55594</v>
      </c>
      <c r="E108" s="791">
        <f t="shared" ref="E108:E144" si="14">SUM(C108:D108)</f>
        <v>906450</v>
      </c>
      <c r="F108" s="791"/>
      <c r="G108" s="791">
        <f>793000+57856+55594</f>
        <v>906450</v>
      </c>
      <c r="H108" s="791"/>
      <c r="I108" s="793"/>
      <c r="J108" s="792" t="s">
        <v>767</v>
      </c>
      <c r="K108" s="793"/>
    </row>
    <row r="109" spans="1:12" x14ac:dyDescent="0.25">
      <c r="A109" s="786"/>
      <c r="B109" s="808" t="s">
        <v>615</v>
      </c>
      <c r="C109" s="806">
        <v>757856</v>
      </c>
      <c r="D109" s="806">
        <v>55594</v>
      </c>
      <c r="E109" s="806">
        <f t="shared" si="14"/>
        <v>813450</v>
      </c>
      <c r="F109" s="806"/>
      <c r="G109" s="806">
        <f>700000+57856+55594</f>
        <v>813450</v>
      </c>
      <c r="H109" s="806"/>
      <c r="I109" s="807"/>
      <c r="J109" s="807" t="s">
        <v>767</v>
      </c>
      <c r="K109" s="807"/>
    </row>
    <row r="110" spans="1:12" ht="31.5" x14ac:dyDescent="0.25">
      <c r="A110" s="786"/>
      <c r="B110" s="808" t="s">
        <v>362</v>
      </c>
      <c r="C110" s="806">
        <v>63000</v>
      </c>
      <c r="D110" s="806"/>
      <c r="E110" s="806">
        <f t="shared" si="14"/>
        <v>63000</v>
      </c>
      <c r="F110" s="806"/>
      <c r="G110" s="806">
        <v>63000</v>
      </c>
      <c r="H110" s="806"/>
      <c r="I110" s="807"/>
      <c r="J110" s="807" t="s">
        <v>767</v>
      </c>
      <c r="K110" s="807"/>
    </row>
    <row r="111" spans="1:12" ht="31.5" x14ac:dyDescent="0.25">
      <c r="A111" s="786"/>
      <c r="B111" s="808" t="s">
        <v>923</v>
      </c>
      <c r="C111" s="806">
        <v>30000</v>
      </c>
      <c r="D111" s="806"/>
      <c r="E111" s="806">
        <f t="shared" si="14"/>
        <v>30000</v>
      </c>
      <c r="F111" s="806"/>
      <c r="G111" s="806">
        <v>30000</v>
      </c>
      <c r="H111" s="806"/>
      <c r="I111" s="807"/>
      <c r="J111" s="807" t="s">
        <v>767</v>
      </c>
      <c r="K111" s="807"/>
    </row>
    <row r="112" spans="1:12" x14ac:dyDescent="0.25">
      <c r="A112" s="786"/>
      <c r="B112" s="813" t="s">
        <v>724</v>
      </c>
      <c r="C112" s="791">
        <v>50680</v>
      </c>
      <c r="D112" s="791">
        <v>-11176</v>
      </c>
      <c r="E112" s="791">
        <f t="shared" si="14"/>
        <v>39504</v>
      </c>
      <c r="F112" s="791"/>
      <c r="G112" s="791">
        <f>50674+6-11176</f>
        <v>39504</v>
      </c>
      <c r="H112" s="791"/>
      <c r="I112" s="792" t="s">
        <v>767</v>
      </c>
      <c r="J112" s="792" t="s">
        <v>767</v>
      </c>
      <c r="K112" s="793"/>
    </row>
    <row r="113" spans="1:11" x14ac:dyDescent="0.25">
      <c r="A113" s="786"/>
      <c r="B113" s="808" t="s">
        <v>448</v>
      </c>
      <c r="C113" s="806">
        <v>7000</v>
      </c>
      <c r="D113" s="806"/>
      <c r="E113" s="806">
        <f t="shared" si="14"/>
        <v>7000</v>
      </c>
      <c r="F113" s="806"/>
      <c r="G113" s="806">
        <v>7000</v>
      </c>
      <c r="H113" s="806"/>
      <c r="I113" s="807"/>
      <c r="J113" s="807" t="s">
        <v>767</v>
      </c>
      <c r="K113" s="807"/>
    </row>
    <row r="114" spans="1:11" ht="16.5" customHeight="1" x14ac:dyDescent="0.25">
      <c r="A114" s="786"/>
      <c r="B114" s="804" t="s">
        <v>118</v>
      </c>
      <c r="C114" s="791">
        <v>5157</v>
      </c>
      <c r="D114" s="791"/>
      <c r="E114" s="791">
        <f t="shared" si="14"/>
        <v>5157</v>
      </c>
      <c r="F114" s="791"/>
      <c r="G114" s="791">
        <v>5157</v>
      </c>
      <c r="H114" s="791"/>
      <c r="I114" s="793"/>
      <c r="J114" s="792" t="s">
        <v>767</v>
      </c>
      <c r="K114" s="793"/>
    </row>
    <row r="115" spans="1:11" x14ac:dyDescent="0.25">
      <c r="A115" s="786" t="s">
        <v>119</v>
      </c>
      <c r="B115" s="743" t="s">
        <v>93</v>
      </c>
      <c r="C115" s="809">
        <f>SUM(C223,C219,C207,C204,C144,C131,C116)</f>
        <v>2656055</v>
      </c>
      <c r="D115" s="809">
        <f>SUM(D223,D219,D207,D204,D144,D131,D116)</f>
        <v>55688</v>
      </c>
      <c r="E115" s="809">
        <f t="shared" si="14"/>
        <v>2711743</v>
      </c>
      <c r="F115" s="809">
        <f>SUM(F223,F219,F207,F204,F144,F131,F116)</f>
        <v>1468</v>
      </c>
      <c r="G115" s="809">
        <f>SUM(G223,G219,G207,G204,G144,G131,G116)</f>
        <v>2776495</v>
      </c>
      <c r="H115" s="809">
        <f>SUM(H223,H219,H207,H204,H144,H131,H116)</f>
        <v>-66220</v>
      </c>
      <c r="I115" s="810" t="s">
        <v>767</v>
      </c>
      <c r="J115" s="810" t="s">
        <v>767</v>
      </c>
      <c r="K115" s="810"/>
    </row>
    <row r="116" spans="1:11" x14ac:dyDescent="0.25">
      <c r="A116" s="786"/>
      <c r="B116" s="804" t="s">
        <v>120</v>
      </c>
      <c r="C116" s="791">
        <v>274677</v>
      </c>
      <c r="D116" s="791">
        <f>7987-150</f>
        <v>7837</v>
      </c>
      <c r="E116" s="791">
        <f t="shared" si="14"/>
        <v>282514</v>
      </c>
      <c r="F116" s="791">
        <f>1591-1485</f>
        <v>106</v>
      </c>
      <c r="G116" s="791">
        <f>310931-11455-24905+7987</f>
        <v>282558</v>
      </c>
      <c r="H116" s="791">
        <v>-150</v>
      </c>
      <c r="I116" s="792" t="s">
        <v>767</v>
      </c>
      <c r="J116" s="792" t="s">
        <v>767</v>
      </c>
      <c r="K116" s="793"/>
    </row>
    <row r="117" spans="1:11" s="817" customFormat="1" ht="31.5" x14ac:dyDescent="0.25">
      <c r="A117" s="815"/>
      <c r="B117" s="718" t="s">
        <v>725</v>
      </c>
      <c r="C117" s="816">
        <v>7022</v>
      </c>
      <c r="D117" s="803"/>
      <c r="E117" s="799">
        <f t="shared" si="14"/>
        <v>7022</v>
      </c>
      <c r="F117" s="816"/>
      <c r="G117" s="803">
        <v>7022</v>
      </c>
      <c r="H117" s="803"/>
      <c r="I117" s="802" t="s">
        <v>767</v>
      </c>
      <c r="J117" s="802"/>
      <c r="K117" s="802"/>
    </row>
    <row r="118" spans="1:11" s="817" customFormat="1" ht="31.5" x14ac:dyDescent="0.25">
      <c r="A118" s="815"/>
      <c r="B118" s="718" t="s">
        <v>153</v>
      </c>
      <c r="C118" s="816">
        <v>2174</v>
      </c>
      <c r="D118" s="803"/>
      <c r="E118" s="799">
        <f t="shared" si="14"/>
        <v>2174</v>
      </c>
      <c r="F118" s="816"/>
      <c r="G118" s="803">
        <v>2174</v>
      </c>
      <c r="H118" s="803"/>
      <c r="I118" s="802" t="s">
        <v>767</v>
      </c>
      <c r="J118" s="802"/>
      <c r="K118" s="802"/>
    </row>
    <row r="119" spans="1:11" s="817" customFormat="1" ht="31.5" x14ac:dyDescent="0.25">
      <c r="A119" s="815"/>
      <c r="B119" s="718" t="s">
        <v>726</v>
      </c>
      <c r="C119" s="816">
        <v>6000</v>
      </c>
      <c r="D119" s="803"/>
      <c r="E119" s="799">
        <f t="shared" si="14"/>
        <v>6000</v>
      </c>
      <c r="F119" s="816"/>
      <c r="G119" s="803">
        <v>6000</v>
      </c>
      <c r="H119" s="803"/>
      <c r="I119" s="802"/>
      <c r="J119" s="802" t="s">
        <v>767</v>
      </c>
      <c r="K119" s="802"/>
    </row>
    <row r="120" spans="1:11" s="817" customFormat="1" x14ac:dyDescent="0.25">
      <c r="A120" s="815"/>
      <c r="B120" s="718" t="s">
        <v>727</v>
      </c>
      <c r="C120" s="816">
        <v>13500</v>
      </c>
      <c r="D120" s="803"/>
      <c r="E120" s="799">
        <f t="shared" si="14"/>
        <v>13500</v>
      </c>
      <c r="F120" s="816"/>
      <c r="G120" s="803">
        <v>13500</v>
      </c>
      <c r="H120" s="803"/>
      <c r="I120" s="802"/>
      <c r="J120" s="802" t="s">
        <v>767</v>
      </c>
      <c r="K120" s="802"/>
    </row>
    <row r="121" spans="1:11" s="817" customFormat="1" ht="31.5" x14ac:dyDescent="0.25">
      <c r="A121" s="815"/>
      <c r="B121" s="718" t="s">
        <v>770</v>
      </c>
      <c r="C121" s="816">
        <v>500</v>
      </c>
      <c r="D121" s="803"/>
      <c r="E121" s="799">
        <f t="shared" si="14"/>
        <v>500</v>
      </c>
      <c r="F121" s="816"/>
      <c r="G121" s="803">
        <v>500</v>
      </c>
      <c r="H121" s="803"/>
      <c r="I121" s="802"/>
      <c r="J121" s="802" t="s">
        <v>767</v>
      </c>
      <c r="K121" s="802"/>
    </row>
    <row r="122" spans="1:11" s="817" customFormat="1" x14ac:dyDescent="0.25">
      <c r="A122" s="815"/>
      <c r="B122" s="718" t="s">
        <v>932</v>
      </c>
      <c r="C122" s="816">
        <v>129555</v>
      </c>
      <c r="D122" s="803"/>
      <c r="E122" s="799">
        <f t="shared" si="14"/>
        <v>129555</v>
      </c>
      <c r="F122" s="816">
        <v>10</v>
      </c>
      <c r="G122" s="803">
        <f>141000-11455</f>
        <v>129545</v>
      </c>
      <c r="H122" s="803"/>
      <c r="I122" s="802"/>
      <c r="J122" s="802" t="s">
        <v>767</v>
      </c>
      <c r="K122" s="802"/>
    </row>
    <row r="123" spans="1:11" s="817" customFormat="1" x14ac:dyDescent="0.25">
      <c r="A123" s="815"/>
      <c r="B123" s="718" t="s">
        <v>728</v>
      </c>
      <c r="C123" s="816">
        <v>22081</v>
      </c>
      <c r="D123" s="803"/>
      <c r="E123" s="799">
        <f t="shared" si="14"/>
        <v>22081</v>
      </c>
      <c r="F123" s="816">
        <f>1581-1485</f>
        <v>96</v>
      </c>
      <c r="G123" s="803">
        <v>21985</v>
      </c>
      <c r="H123" s="803"/>
      <c r="I123" s="802"/>
      <c r="J123" s="802" t="s">
        <v>767</v>
      </c>
      <c r="K123" s="802"/>
    </row>
    <row r="124" spans="1:11" s="817" customFormat="1" x14ac:dyDescent="0.25">
      <c r="A124" s="815"/>
      <c r="B124" s="718" t="s">
        <v>616</v>
      </c>
      <c r="C124" s="816">
        <v>100</v>
      </c>
      <c r="D124" s="803"/>
      <c r="E124" s="799">
        <f t="shared" si="14"/>
        <v>100</v>
      </c>
      <c r="F124" s="816"/>
      <c r="G124" s="803">
        <v>100</v>
      </c>
      <c r="H124" s="803"/>
      <c r="I124" s="802"/>
      <c r="J124" s="802" t="s">
        <v>767</v>
      </c>
      <c r="K124" s="802"/>
    </row>
    <row r="125" spans="1:11" s="817" customFormat="1" ht="31.5" x14ac:dyDescent="0.25">
      <c r="A125" s="815"/>
      <c r="B125" s="718" t="s">
        <v>656</v>
      </c>
      <c r="C125" s="816">
        <v>15100</v>
      </c>
      <c r="D125" s="803">
        <v>7987</v>
      </c>
      <c r="E125" s="799">
        <f t="shared" si="14"/>
        <v>23087</v>
      </c>
      <c r="F125" s="816"/>
      <c r="G125" s="803">
        <f>15100+7987</f>
        <v>23087</v>
      </c>
      <c r="H125" s="803"/>
      <c r="I125" s="802"/>
      <c r="J125" s="802" t="s">
        <v>767</v>
      </c>
      <c r="K125" s="802"/>
    </row>
    <row r="126" spans="1:11" s="817" customFormat="1" ht="31.5" x14ac:dyDescent="0.25">
      <c r="A126" s="815"/>
      <c r="B126" s="718" t="s">
        <v>657</v>
      </c>
      <c r="C126" s="816">
        <v>3400</v>
      </c>
      <c r="D126" s="803"/>
      <c r="E126" s="799">
        <f t="shared" si="14"/>
        <v>3400</v>
      </c>
      <c r="F126" s="816"/>
      <c r="G126" s="803">
        <v>3400</v>
      </c>
      <c r="H126" s="803"/>
      <c r="I126" s="802"/>
      <c r="J126" s="802" t="s">
        <v>767</v>
      </c>
      <c r="K126" s="802"/>
    </row>
    <row r="127" spans="1:11" s="817" customFormat="1" x14ac:dyDescent="0.25">
      <c r="A127" s="815"/>
      <c r="B127" s="718" t="s">
        <v>967</v>
      </c>
      <c r="C127" s="816">
        <v>4000</v>
      </c>
      <c r="D127" s="803"/>
      <c r="E127" s="799">
        <f t="shared" si="14"/>
        <v>4000</v>
      </c>
      <c r="F127" s="816"/>
      <c r="G127" s="803">
        <f>5000-1000</f>
        <v>4000</v>
      </c>
      <c r="H127" s="803"/>
      <c r="I127" s="802"/>
      <c r="J127" s="802" t="s">
        <v>767</v>
      </c>
      <c r="K127" s="802"/>
    </row>
    <row r="128" spans="1:11" s="817" customFormat="1" ht="31.5" x14ac:dyDescent="0.25">
      <c r="A128" s="815"/>
      <c r="B128" s="718" t="s">
        <v>968</v>
      </c>
      <c r="C128" s="816">
        <v>15095</v>
      </c>
      <c r="D128" s="803"/>
      <c r="E128" s="799">
        <f t="shared" si="14"/>
        <v>15095</v>
      </c>
      <c r="F128" s="816"/>
      <c r="G128" s="803">
        <v>40000</v>
      </c>
      <c r="H128" s="803"/>
      <c r="I128" s="802"/>
      <c r="J128" s="802" t="s">
        <v>767</v>
      </c>
      <c r="K128" s="802"/>
    </row>
    <row r="129" spans="1:11" s="817" customFormat="1" ht="31.5" x14ac:dyDescent="0.25">
      <c r="A129" s="815"/>
      <c r="B129" s="718" t="s">
        <v>969</v>
      </c>
      <c r="C129" s="816">
        <v>16000</v>
      </c>
      <c r="D129" s="803"/>
      <c r="E129" s="799">
        <f t="shared" si="14"/>
        <v>16000</v>
      </c>
      <c r="F129" s="816"/>
      <c r="G129" s="803">
        <f>15000+1000</f>
        <v>16000</v>
      </c>
      <c r="H129" s="803"/>
      <c r="I129" s="802"/>
      <c r="J129" s="802" t="s">
        <v>767</v>
      </c>
      <c r="K129" s="802"/>
    </row>
    <row r="130" spans="1:11" s="817" customFormat="1" ht="31.5" x14ac:dyDescent="0.25">
      <c r="A130" s="815"/>
      <c r="B130" s="718" t="s">
        <v>970</v>
      </c>
      <c r="C130" s="816">
        <v>40000</v>
      </c>
      <c r="D130" s="803"/>
      <c r="E130" s="799">
        <f t="shared" si="14"/>
        <v>40000</v>
      </c>
      <c r="F130" s="816"/>
      <c r="G130" s="803">
        <v>40000</v>
      </c>
      <c r="H130" s="803"/>
      <c r="I130" s="802"/>
      <c r="J130" s="802" t="s">
        <v>767</v>
      </c>
      <c r="K130" s="802"/>
    </row>
    <row r="131" spans="1:11" x14ac:dyDescent="0.25">
      <c r="A131" s="786"/>
      <c r="B131" s="804" t="s">
        <v>121</v>
      </c>
      <c r="C131" s="791">
        <v>425621</v>
      </c>
      <c r="D131" s="794">
        <v>0</v>
      </c>
      <c r="E131" s="791">
        <f t="shared" si="14"/>
        <v>425621</v>
      </c>
      <c r="F131" s="791">
        <v>0</v>
      </c>
      <c r="G131" s="791">
        <f>449149+500+1000+1000</f>
        <v>451649</v>
      </c>
      <c r="H131" s="791">
        <f>-25428-200-400</f>
        <v>-26028</v>
      </c>
      <c r="I131" s="792" t="s">
        <v>767</v>
      </c>
      <c r="J131" s="792" t="s">
        <v>767</v>
      </c>
      <c r="K131" s="793"/>
    </row>
    <row r="132" spans="1:11" s="817" customFormat="1" ht="31.5" x14ac:dyDescent="0.25">
      <c r="A132" s="815"/>
      <c r="B132" s="718" t="s">
        <v>531</v>
      </c>
      <c r="C132" s="816">
        <v>74000</v>
      </c>
      <c r="D132" s="803"/>
      <c r="E132" s="799">
        <f t="shared" si="14"/>
        <v>74000</v>
      </c>
      <c r="F132" s="816"/>
      <c r="G132" s="803">
        <v>74000</v>
      </c>
      <c r="H132" s="803"/>
      <c r="I132" s="802" t="s">
        <v>767</v>
      </c>
      <c r="J132" s="802"/>
      <c r="K132" s="802"/>
    </row>
    <row r="133" spans="1:11" s="817" customFormat="1" x14ac:dyDescent="0.25">
      <c r="A133" s="815"/>
      <c r="B133" s="718" t="s">
        <v>145</v>
      </c>
      <c r="C133" s="816">
        <v>29400</v>
      </c>
      <c r="D133" s="803"/>
      <c r="E133" s="799">
        <f t="shared" si="14"/>
        <v>29400</v>
      </c>
      <c r="F133" s="816"/>
      <c r="G133" s="803">
        <v>29400</v>
      </c>
      <c r="H133" s="803"/>
      <c r="I133" s="802" t="s">
        <v>767</v>
      </c>
      <c r="J133" s="802"/>
      <c r="K133" s="802"/>
    </row>
    <row r="134" spans="1:11" s="817" customFormat="1" ht="31.5" x14ac:dyDescent="0.25">
      <c r="A134" s="815"/>
      <c r="B134" s="718" t="s">
        <v>617</v>
      </c>
      <c r="C134" s="816">
        <v>13000</v>
      </c>
      <c r="D134" s="803"/>
      <c r="E134" s="799">
        <f t="shared" si="14"/>
        <v>13000</v>
      </c>
      <c r="F134" s="816"/>
      <c r="G134" s="803">
        <f>12000+1000</f>
        <v>13000</v>
      </c>
      <c r="H134" s="803"/>
      <c r="I134" s="802"/>
      <c r="J134" s="802" t="s">
        <v>767</v>
      </c>
      <c r="K134" s="802"/>
    </row>
    <row r="135" spans="1:11" s="817" customFormat="1" x14ac:dyDescent="0.25">
      <c r="A135" s="815"/>
      <c r="B135" s="718" t="s">
        <v>659</v>
      </c>
      <c r="C135" s="816">
        <v>14000</v>
      </c>
      <c r="D135" s="803"/>
      <c r="E135" s="799">
        <f t="shared" si="14"/>
        <v>14000</v>
      </c>
      <c r="F135" s="816"/>
      <c r="G135" s="803">
        <f>13000+1000</f>
        <v>14000</v>
      </c>
      <c r="H135" s="803"/>
      <c r="I135" s="802"/>
      <c r="J135" s="802" t="s">
        <v>767</v>
      </c>
      <c r="K135" s="802"/>
    </row>
    <row r="136" spans="1:11" s="817" customFormat="1" x14ac:dyDescent="0.25">
      <c r="A136" s="815"/>
      <c r="B136" s="718" t="s">
        <v>618</v>
      </c>
      <c r="C136" s="816">
        <v>65544</v>
      </c>
      <c r="D136" s="803"/>
      <c r="E136" s="799">
        <f t="shared" si="14"/>
        <v>65544</v>
      </c>
      <c r="F136" s="816"/>
      <c r="G136" s="803">
        <v>65544</v>
      </c>
      <c r="H136" s="803"/>
      <c r="I136" s="802"/>
      <c r="J136" s="802" t="s">
        <v>767</v>
      </c>
      <c r="K136" s="802"/>
    </row>
    <row r="137" spans="1:11" s="817" customFormat="1" ht="31.5" x14ac:dyDescent="0.25">
      <c r="A137" s="815"/>
      <c r="B137" s="718" t="s">
        <v>654</v>
      </c>
      <c r="C137" s="816">
        <v>202000</v>
      </c>
      <c r="D137" s="803"/>
      <c r="E137" s="799">
        <f t="shared" si="14"/>
        <v>202000</v>
      </c>
      <c r="F137" s="816"/>
      <c r="G137" s="803">
        <v>202000</v>
      </c>
      <c r="H137" s="803"/>
      <c r="I137" s="802"/>
      <c r="J137" s="802" t="s">
        <v>767</v>
      </c>
      <c r="K137" s="818"/>
    </row>
    <row r="138" spans="1:11" s="817" customFormat="1" x14ac:dyDescent="0.25">
      <c r="A138" s="815"/>
      <c r="B138" s="718" t="s">
        <v>653</v>
      </c>
      <c r="C138" s="816">
        <v>13600</v>
      </c>
      <c r="D138" s="803"/>
      <c r="E138" s="799">
        <f t="shared" si="14"/>
        <v>13600</v>
      </c>
      <c r="F138" s="816"/>
      <c r="G138" s="803">
        <v>14200</v>
      </c>
      <c r="H138" s="803">
        <f>-200-400</f>
        <v>-600</v>
      </c>
      <c r="I138" s="802"/>
      <c r="J138" s="802" t="s">
        <v>767</v>
      </c>
      <c r="K138" s="818"/>
    </row>
    <row r="139" spans="1:11" s="817" customFormat="1" ht="47.25" x14ac:dyDescent="0.25">
      <c r="A139" s="815"/>
      <c r="B139" s="718" t="s">
        <v>729</v>
      </c>
      <c r="C139" s="816">
        <v>8447</v>
      </c>
      <c r="D139" s="803"/>
      <c r="E139" s="799">
        <f t="shared" si="14"/>
        <v>8447</v>
      </c>
      <c r="F139" s="816"/>
      <c r="G139" s="803">
        <v>8447</v>
      </c>
      <c r="H139" s="803"/>
      <c r="I139" s="802"/>
      <c r="J139" s="802" t="s">
        <v>767</v>
      </c>
      <c r="K139" s="818"/>
    </row>
    <row r="140" spans="1:11" s="817" customFormat="1" ht="47.25" x14ac:dyDescent="0.25">
      <c r="A140" s="815"/>
      <c r="B140" s="718" t="s">
        <v>933</v>
      </c>
      <c r="C140" s="816">
        <v>0</v>
      </c>
      <c r="D140" s="803"/>
      <c r="E140" s="799">
        <f t="shared" si="14"/>
        <v>0</v>
      </c>
      <c r="F140" s="816"/>
      <c r="G140" s="803">
        <v>25428</v>
      </c>
      <c r="H140" s="803">
        <v>-25428</v>
      </c>
      <c r="I140" s="802"/>
      <c r="J140" s="802" t="s">
        <v>767</v>
      </c>
      <c r="K140" s="818"/>
    </row>
    <row r="141" spans="1:11" s="817" customFormat="1" x14ac:dyDescent="0.25">
      <c r="A141" s="815"/>
      <c r="B141" s="718" t="s">
        <v>730</v>
      </c>
      <c r="C141" s="816">
        <v>500</v>
      </c>
      <c r="D141" s="803"/>
      <c r="E141" s="799">
        <f t="shared" si="14"/>
        <v>500</v>
      </c>
      <c r="F141" s="816"/>
      <c r="G141" s="803">
        <v>500</v>
      </c>
      <c r="H141" s="803"/>
      <c r="I141" s="802"/>
      <c r="J141" s="802" t="s">
        <v>767</v>
      </c>
      <c r="K141" s="818"/>
    </row>
    <row r="142" spans="1:11" s="817" customFormat="1" x14ac:dyDescent="0.25">
      <c r="A142" s="815"/>
      <c r="B142" s="718" t="s">
        <v>731</v>
      </c>
      <c r="C142" s="816">
        <v>860</v>
      </c>
      <c r="D142" s="803"/>
      <c r="E142" s="799">
        <f t="shared" si="14"/>
        <v>860</v>
      </c>
      <c r="F142" s="816"/>
      <c r="G142" s="803">
        <v>860</v>
      </c>
      <c r="H142" s="803"/>
      <c r="I142" s="802"/>
      <c r="J142" s="802" t="s">
        <v>767</v>
      </c>
      <c r="K142" s="818"/>
    </row>
    <row r="143" spans="1:11" s="817" customFormat="1" x14ac:dyDescent="0.25">
      <c r="A143" s="815"/>
      <c r="B143" s="718" t="s">
        <v>1109</v>
      </c>
      <c r="C143" s="816">
        <v>500</v>
      </c>
      <c r="D143" s="803"/>
      <c r="E143" s="799">
        <f t="shared" ref="E143" si="15">SUM(C143:D143)</f>
        <v>500</v>
      </c>
      <c r="F143" s="816"/>
      <c r="G143" s="803">
        <v>500</v>
      </c>
      <c r="H143" s="803"/>
      <c r="I143" s="802"/>
      <c r="J143" s="802" t="s">
        <v>767</v>
      </c>
      <c r="K143" s="818"/>
    </row>
    <row r="144" spans="1:11" x14ac:dyDescent="0.25">
      <c r="A144" s="786"/>
      <c r="B144" s="790" t="s">
        <v>122</v>
      </c>
      <c r="C144" s="791">
        <v>912229</v>
      </c>
      <c r="D144" s="791">
        <f>800+50000+750-1600-700</f>
        <v>49250</v>
      </c>
      <c r="E144" s="791">
        <f t="shared" si="14"/>
        <v>961479</v>
      </c>
      <c r="F144" s="791">
        <f>3406-2044</f>
        <v>1362</v>
      </c>
      <c r="G144" s="791">
        <f>856600+3540+10000+1800+800+4000+3000+2000+1000+500+2000+700+1494+1646+1000+16510+7665+800+50000+750</f>
        <v>965805</v>
      </c>
      <c r="H144" s="791">
        <f>-800-1421-1167-1600-700</f>
        <v>-5688</v>
      </c>
      <c r="I144" s="792" t="s">
        <v>767</v>
      </c>
      <c r="J144" s="792" t="s">
        <v>767</v>
      </c>
      <c r="K144" s="793"/>
    </row>
    <row r="145" spans="1:11" x14ac:dyDescent="0.25">
      <c r="A145" s="786"/>
      <c r="B145" s="743" t="s">
        <v>147</v>
      </c>
      <c r="C145" s="806"/>
      <c r="D145" s="806"/>
      <c r="E145" s="806"/>
      <c r="F145" s="806"/>
      <c r="G145" s="806"/>
      <c r="H145" s="806"/>
      <c r="I145" s="807"/>
      <c r="J145" s="807"/>
      <c r="K145" s="807"/>
    </row>
    <row r="146" spans="1:11" s="817" customFormat="1" x14ac:dyDescent="0.25">
      <c r="A146" s="815"/>
      <c r="B146" s="718" t="s">
        <v>732</v>
      </c>
      <c r="C146" s="816">
        <v>8114</v>
      </c>
      <c r="D146" s="803"/>
      <c r="E146" s="799">
        <f t="shared" ref="E146:E148" si="16">SUM(C146:D146)</f>
        <v>8114</v>
      </c>
      <c r="F146" s="816">
        <v>314</v>
      </c>
      <c r="G146" s="803">
        <f>6800+1000</f>
        <v>7800</v>
      </c>
      <c r="H146" s="803"/>
      <c r="I146" s="802" t="s">
        <v>767</v>
      </c>
      <c r="J146" s="802"/>
      <c r="K146" s="818"/>
    </row>
    <row r="147" spans="1:11" s="817" customFormat="1" x14ac:dyDescent="0.25">
      <c r="A147" s="815"/>
      <c r="B147" s="718" t="s">
        <v>984</v>
      </c>
      <c r="C147" s="816">
        <v>6829</v>
      </c>
      <c r="D147" s="803"/>
      <c r="E147" s="799">
        <f t="shared" si="16"/>
        <v>6829</v>
      </c>
      <c r="F147" s="816">
        <f>2873-2044</f>
        <v>829</v>
      </c>
      <c r="G147" s="803">
        <v>6000</v>
      </c>
      <c r="H147" s="803"/>
      <c r="I147" s="802"/>
      <c r="J147" s="802" t="s">
        <v>767</v>
      </c>
      <c r="K147" s="818"/>
    </row>
    <row r="148" spans="1:11" s="817" customFormat="1" x14ac:dyDescent="0.25">
      <c r="A148" s="815"/>
      <c r="B148" s="718" t="s">
        <v>985</v>
      </c>
      <c r="C148" s="816">
        <v>323</v>
      </c>
      <c r="D148" s="803"/>
      <c r="E148" s="799">
        <f t="shared" si="16"/>
        <v>323</v>
      </c>
      <c r="F148" s="816"/>
      <c r="G148" s="803">
        <v>323</v>
      </c>
      <c r="H148" s="803"/>
      <c r="I148" s="802"/>
      <c r="J148" s="802" t="s">
        <v>767</v>
      </c>
      <c r="K148" s="818"/>
    </row>
    <row r="149" spans="1:11" x14ac:dyDescent="0.25">
      <c r="A149" s="786"/>
      <c r="B149" s="743" t="s">
        <v>148</v>
      </c>
      <c r="C149" s="806"/>
      <c r="D149" s="806"/>
      <c r="E149" s="806"/>
      <c r="F149" s="806"/>
      <c r="G149" s="806"/>
      <c r="H149" s="806"/>
      <c r="I149" s="807"/>
      <c r="J149" s="807"/>
      <c r="K149" s="807"/>
    </row>
    <row r="150" spans="1:11" s="817" customFormat="1" x14ac:dyDescent="0.25">
      <c r="A150" s="815"/>
      <c r="B150" s="796" t="s">
        <v>363</v>
      </c>
      <c r="C150" s="797">
        <v>1000</v>
      </c>
      <c r="D150" s="803"/>
      <c r="E150" s="799">
        <f t="shared" ref="E150:E183" si="17">SUM(C150:D150)</f>
        <v>1000</v>
      </c>
      <c r="F150" s="797"/>
      <c r="G150" s="803">
        <v>1000</v>
      </c>
      <c r="H150" s="803"/>
      <c r="I150" s="802"/>
      <c r="J150" s="802" t="s">
        <v>767</v>
      </c>
      <c r="K150" s="818"/>
    </row>
    <row r="151" spans="1:11" s="817" customFormat="1" x14ac:dyDescent="0.25">
      <c r="A151" s="815"/>
      <c r="B151" s="796" t="s">
        <v>146</v>
      </c>
      <c r="C151" s="797">
        <v>3000</v>
      </c>
      <c r="D151" s="803"/>
      <c r="E151" s="799">
        <f t="shared" si="17"/>
        <v>3000</v>
      </c>
      <c r="F151" s="797"/>
      <c r="G151" s="803">
        <v>3000</v>
      </c>
      <c r="H151" s="803"/>
      <c r="I151" s="802" t="s">
        <v>767</v>
      </c>
      <c r="J151" s="802"/>
      <c r="K151" s="818"/>
    </row>
    <row r="152" spans="1:11" s="817" customFormat="1" x14ac:dyDescent="0.25">
      <c r="A152" s="815"/>
      <c r="B152" s="796" t="s">
        <v>519</v>
      </c>
      <c r="C152" s="797">
        <v>18000</v>
      </c>
      <c r="D152" s="803"/>
      <c r="E152" s="799">
        <f t="shared" si="17"/>
        <v>18000</v>
      </c>
      <c r="F152" s="797"/>
      <c r="G152" s="803">
        <v>18000</v>
      </c>
      <c r="H152" s="803"/>
      <c r="I152" s="802" t="s">
        <v>767</v>
      </c>
      <c r="J152" s="802"/>
      <c r="K152" s="818"/>
    </row>
    <row r="153" spans="1:11" s="817" customFormat="1" x14ac:dyDescent="0.25">
      <c r="A153" s="815"/>
      <c r="B153" s="796" t="s">
        <v>520</v>
      </c>
      <c r="C153" s="797">
        <v>22500</v>
      </c>
      <c r="D153" s="803"/>
      <c r="E153" s="799">
        <f t="shared" si="17"/>
        <v>22500</v>
      </c>
      <c r="F153" s="797"/>
      <c r="G153" s="803">
        <f>12500+10000</f>
        <v>22500</v>
      </c>
      <c r="H153" s="803"/>
      <c r="I153" s="802"/>
      <c r="J153" s="802" t="s">
        <v>767</v>
      </c>
      <c r="K153" s="818"/>
    </row>
    <row r="154" spans="1:11" s="817" customFormat="1" x14ac:dyDescent="0.25">
      <c r="A154" s="815"/>
      <c r="B154" s="796" t="s">
        <v>156</v>
      </c>
      <c r="C154" s="797">
        <v>1600</v>
      </c>
      <c r="D154" s="803"/>
      <c r="E154" s="799">
        <f t="shared" si="17"/>
        <v>1600</v>
      </c>
      <c r="F154" s="797"/>
      <c r="G154" s="803">
        <v>1600</v>
      </c>
      <c r="H154" s="803"/>
      <c r="I154" s="802" t="s">
        <v>767</v>
      </c>
      <c r="J154" s="802"/>
      <c r="K154" s="818"/>
    </row>
    <row r="155" spans="1:11" s="817" customFormat="1" x14ac:dyDescent="0.25">
      <c r="A155" s="815"/>
      <c r="B155" s="796" t="s">
        <v>157</v>
      </c>
      <c r="C155" s="797">
        <v>1000</v>
      </c>
      <c r="D155" s="803"/>
      <c r="E155" s="799">
        <f t="shared" si="17"/>
        <v>1000</v>
      </c>
      <c r="F155" s="797"/>
      <c r="G155" s="803">
        <v>1000</v>
      </c>
      <c r="H155" s="803"/>
      <c r="I155" s="802" t="s">
        <v>767</v>
      </c>
      <c r="J155" s="802"/>
      <c r="K155" s="818"/>
    </row>
    <row r="156" spans="1:11" s="817" customFormat="1" x14ac:dyDescent="0.25">
      <c r="A156" s="815"/>
      <c r="B156" s="796" t="s">
        <v>99</v>
      </c>
      <c r="C156" s="797">
        <v>2650</v>
      </c>
      <c r="D156" s="803"/>
      <c r="E156" s="799">
        <f t="shared" si="17"/>
        <v>2650</v>
      </c>
      <c r="F156" s="797"/>
      <c r="G156" s="803">
        <v>2650</v>
      </c>
      <c r="H156" s="803"/>
      <c r="I156" s="802" t="s">
        <v>767</v>
      </c>
      <c r="J156" s="802"/>
      <c r="K156" s="818"/>
    </row>
    <row r="157" spans="1:11" s="817" customFormat="1" x14ac:dyDescent="0.25">
      <c r="A157" s="815"/>
      <c r="B157" s="796" t="s">
        <v>101</v>
      </c>
      <c r="C157" s="797">
        <v>1200</v>
      </c>
      <c r="D157" s="803"/>
      <c r="E157" s="799">
        <f t="shared" si="17"/>
        <v>1200</v>
      </c>
      <c r="F157" s="797"/>
      <c r="G157" s="803">
        <v>1200</v>
      </c>
      <c r="H157" s="803"/>
      <c r="I157" s="802" t="s">
        <v>767</v>
      </c>
      <c r="J157" s="802"/>
      <c r="K157" s="818"/>
    </row>
    <row r="158" spans="1:11" s="817" customFormat="1" x14ac:dyDescent="0.25">
      <c r="A158" s="815"/>
      <c r="B158" s="796" t="s">
        <v>158</v>
      </c>
      <c r="C158" s="797">
        <v>3500</v>
      </c>
      <c r="D158" s="803"/>
      <c r="E158" s="799">
        <f t="shared" si="17"/>
        <v>3500</v>
      </c>
      <c r="F158" s="797"/>
      <c r="G158" s="803">
        <v>3500</v>
      </c>
      <c r="H158" s="803"/>
      <c r="I158" s="802" t="s">
        <v>767</v>
      </c>
      <c r="J158" s="802"/>
      <c r="K158" s="818"/>
    </row>
    <row r="159" spans="1:11" s="817" customFormat="1" x14ac:dyDescent="0.25">
      <c r="A159" s="815"/>
      <c r="B159" s="796" t="s">
        <v>100</v>
      </c>
      <c r="C159" s="797">
        <v>2000</v>
      </c>
      <c r="D159" s="803"/>
      <c r="E159" s="799">
        <f t="shared" si="17"/>
        <v>2000</v>
      </c>
      <c r="F159" s="797"/>
      <c r="G159" s="803">
        <v>2000</v>
      </c>
      <c r="H159" s="803"/>
      <c r="I159" s="802" t="s">
        <v>767</v>
      </c>
      <c r="J159" s="802"/>
      <c r="K159" s="818"/>
    </row>
    <row r="160" spans="1:11" s="817" customFormat="1" x14ac:dyDescent="0.25">
      <c r="A160" s="815"/>
      <c r="B160" s="796" t="s">
        <v>140</v>
      </c>
      <c r="C160" s="797">
        <v>8000</v>
      </c>
      <c r="D160" s="803"/>
      <c r="E160" s="799">
        <f t="shared" si="17"/>
        <v>8000</v>
      </c>
      <c r="F160" s="797"/>
      <c r="G160" s="803">
        <v>8000</v>
      </c>
      <c r="H160" s="803"/>
      <c r="I160" s="802" t="s">
        <v>767</v>
      </c>
      <c r="J160" s="802"/>
      <c r="K160" s="818"/>
    </row>
    <row r="161" spans="1:11" s="817" customFormat="1" ht="31.5" x14ac:dyDescent="0.25">
      <c r="A161" s="815"/>
      <c r="B161" s="796" t="s">
        <v>934</v>
      </c>
      <c r="C161" s="797">
        <v>2000</v>
      </c>
      <c r="D161" s="803"/>
      <c r="E161" s="799">
        <f t="shared" si="17"/>
        <v>2000</v>
      </c>
      <c r="F161" s="797"/>
      <c r="G161" s="803">
        <v>2000</v>
      </c>
      <c r="H161" s="803"/>
      <c r="I161" s="802" t="s">
        <v>767</v>
      </c>
      <c r="J161" s="802"/>
      <c r="K161" s="818"/>
    </row>
    <row r="162" spans="1:11" s="817" customFormat="1" x14ac:dyDescent="0.25">
      <c r="A162" s="815"/>
      <c r="B162" s="796" t="s">
        <v>149</v>
      </c>
      <c r="C162" s="797">
        <v>8600</v>
      </c>
      <c r="D162" s="803"/>
      <c r="E162" s="799">
        <f t="shared" si="17"/>
        <v>8600</v>
      </c>
      <c r="F162" s="797"/>
      <c r="G162" s="803">
        <v>8600</v>
      </c>
      <c r="H162" s="803"/>
      <c r="I162" s="802" t="s">
        <v>767</v>
      </c>
      <c r="J162" s="802"/>
      <c r="K162" s="818"/>
    </row>
    <row r="163" spans="1:11" s="817" customFormat="1" x14ac:dyDescent="0.25">
      <c r="A163" s="815"/>
      <c r="B163" s="796" t="s">
        <v>159</v>
      </c>
      <c r="C163" s="797">
        <v>5700</v>
      </c>
      <c r="D163" s="803"/>
      <c r="E163" s="799">
        <f t="shared" si="17"/>
        <v>5700</v>
      </c>
      <c r="F163" s="797"/>
      <c r="G163" s="803">
        <v>5700</v>
      </c>
      <c r="H163" s="803"/>
      <c r="I163" s="802" t="s">
        <v>767</v>
      </c>
      <c r="J163" s="802"/>
      <c r="K163" s="818"/>
    </row>
    <row r="164" spans="1:11" s="817" customFormat="1" x14ac:dyDescent="0.25">
      <c r="A164" s="815"/>
      <c r="B164" s="796" t="s">
        <v>521</v>
      </c>
      <c r="C164" s="797">
        <v>23000</v>
      </c>
      <c r="D164" s="803"/>
      <c r="E164" s="799">
        <f t="shared" si="17"/>
        <v>23000</v>
      </c>
      <c r="F164" s="797"/>
      <c r="G164" s="803">
        <v>23000</v>
      </c>
      <c r="H164" s="803"/>
      <c r="I164" s="802" t="s">
        <v>767</v>
      </c>
      <c r="J164" s="802"/>
      <c r="K164" s="818"/>
    </row>
    <row r="165" spans="1:11" s="817" customFormat="1" ht="31.5" x14ac:dyDescent="0.25">
      <c r="A165" s="815"/>
      <c r="B165" s="796" t="s">
        <v>1110</v>
      </c>
      <c r="C165" s="797">
        <v>3800</v>
      </c>
      <c r="D165" s="803"/>
      <c r="E165" s="799">
        <f t="shared" si="17"/>
        <v>3800</v>
      </c>
      <c r="F165" s="797"/>
      <c r="G165" s="803">
        <f>1800+2000</f>
        <v>3800</v>
      </c>
      <c r="H165" s="803"/>
      <c r="I165" s="802"/>
      <c r="J165" s="802" t="s">
        <v>767</v>
      </c>
      <c r="K165" s="818"/>
    </row>
    <row r="166" spans="1:11" s="817" customFormat="1" ht="31.5" x14ac:dyDescent="0.25">
      <c r="A166" s="815"/>
      <c r="B166" s="796" t="s">
        <v>380</v>
      </c>
      <c r="C166" s="797">
        <v>100</v>
      </c>
      <c r="D166" s="803"/>
      <c r="E166" s="799">
        <f t="shared" si="17"/>
        <v>100</v>
      </c>
      <c r="F166" s="797"/>
      <c r="G166" s="803">
        <v>100</v>
      </c>
      <c r="H166" s="803"/>
      <c r="I166" s="802"/>
      <c r="J166" s="802" t="s">
        <v>767</v>
      </c>
      <c r="K166" s="818"/>
    </row>
    <row r="167" spans="1:11" s="817" customFormat="1" x14ac:dyDescent="0.25">
      <c r="A167" s="815"/>
      <c r="B167" s="796" t="s">
        <v>771</v>
      </c>
      <c r="C167" s="797">
        <v>106570</v>
      </c>
      <c r="D167" s="803"/>
      <c r="E167" s="799">
        <f t="shared" si="17"/>
        <v>106570</v>
      </c>
      <c r="F167" s="797"/>
      <c r="G167" s="803">
        <f>90060+16510</f>
        <v>106570</v>
      </c>
      <c r="H167" s="803"/>
      <c r="I167" s="802" t="s">
        <v>767</v>
      </c>
      <c r="J167" s="802"/>
      <c r="K167" s="818"/>
    </row>
    <row r="168" spans="1:11" s="817" customFormat="1" x14ac:dyDescent="0.25">
      <c r="A168" s="815"/>
      <c r="B168" s="796" t="s">
        <v>526</v>
      </c>
      <c r="C168" s="797">
        <v>512925</v>
      </c>
      <c r="D168" s="803"/>
      <c r="E168" s="799">
        <f t="shared" si="17"/>
        <v>512925</v>
      </c>
      <c r="F168" s="797"/>
      <c r="G168" s="803">
        <f>505260+7665</f>
        <v>512925</v>
      </c>
      <c r="H168" s="803"/>
      <c r="I168" s="802" t="s">
        <v>767</v>
      </c>
      <c r="J168" s="802"/>
      <c r="K168" s="818"/>
    </row>
    <row r="169" spans="1:11" s="817" customFormat="1" x14ac:dyDescent="0.25">
      <c r="A169" s="815"/>
      <c r="B169" s="796" t="s">
        <v>619</v>
      </c>
      <c r="C169" s="797">
        <v>10000</v>
      </c>
      <c r="D169" s="803"/>
      <c r="E169" s="799">
        <f t="shared" si="17"/>
        <v>10000</v>
      </c>
      <c r="F169" s="797"/>
      <c r="G169" s="803">
        <v>10000</v>
      </c>
      <c r="H169" s="803"/>
      <c r="I169" s="802"/>
      <c r="J169" s="802" t="s">
        <v>767</v>
      </c>
      <c r="K169" s="818"/>
    </row>
    <row r="170" spans="1:11" s="817" customFormat="1" x14ac:dyDescent="0.25">
      <c r="A170" s="815"/>
      <c r="B170" s="796" t="s">
        <v>435</v>
      </c>
      <c r="C170" s="797">
        <v>1000</v>
      </c>
      <c r="D170" s="803"/>
      <c r="E170" s="799">
        <f t="shared" si="17"/>
        <v>1000</v>
      </c>
      <c r="F170" s="797"/>
      <c r="G170" s="803">
        <v>1000</v>
      </c>
      <c r="H170" s="803"/>
      <c r="I170" s="802" t="s">
        <v>767</v>
      </c>
      <c r="J170" s="802"/>
      <c r="K170" s="818"/>
    </row>
    <row r="171" spans="1:11" s="817" customFormat="1" x14ac:dyDescent="0.25">
      <c r="A171" s="815"/>
      <c r="B171" s="796" t="s">
        <v>379</v>
      </c>
      <c r="C171" s="797">
        <v>1200</v>
      </c>
      <c r="D171" s="803"/>
      <c r="E171" s="799">
        <f t="shared" si="17"/>
        <v>1200</v>
      </c>
      <c r="F171" s="797"/>
      <c r="G171" s="803">
        <v>1200</v>
      </c>
      <c r="H171" s="803"/>
      <c r="I171" s="802" t="s">
        <v>767</v>
      </c>
      <c r="J171" s="802"/>
      <c r="K171" s="818"/>
    </row>
    <row r="172" spans="1:11" s="817" customFormat="1" x14ac:dyDescent="0.25">
      <c r="A172" s="815"/>
      <c r="B172" s="796" t="s">
        <v>381</v>
      </c>
      <c r="C172" s="797">
        <v>800</v>
      </c>
      <c r="D172" s="803"/>
      <c r="E172" s="799">
        <f t="shared" si="17"/>
        <v>800</v>
      </c>
      <c r="F172" s="797"/>
      <c r="G172" s="803">
        <v>800</v>
      </c>
      <c r="H172" s="803"/>
      <c r="I172" s="802" t="s">
        <v>767</v>
      </c>
      <c r="J172" s="802"/>
      <c r="K172" s="818"/>
    </row>
    <row r="173" spans="1:11" s="817" customFormat="1" x14ac:dyDescent="0.25">
      <c r="A173" s="815"/>
      <c r="B173" s="819" t="s">
        <v>658</v>
      </c>
      <c r="C173" s="820">
        <v>1500</v>
      </c>
      <c r="D173" s="803"/>
      <c r="E173" s="799">
        <f t="shared" si="17"/>
        <v>1500</v>
      </c>
      <c r="F173" s="820"/>
      <c r="G173" s="803">
        <v>1500</v>
      </c>
      <c r="H173" s="803"/>
      <c r="I173" s="802" t="s">
        <v>767</v>
      </c>
      <c r="J173" s="802"/>
      <c r="K173" s="818"/>
    </row>
    <row r="174" spans="1:11" s="817" customFormat="1" x14ac:dyDescent="0.25">
      <c r="A174" s="815"/>
      <c r="B174" s="819" t="s">
        <v>733</v>
      </c>
      <c r="C174" s="820">
        <v>1330</v>
      </c>
      <c r="D174" s="803"/>
      <c r="E174" s="799">
        <f t="shared" si="17"/>
        <v>1330</v>
      </c>
      <c r="F174" s="820"/>
      <c r="G174" s="803">
        <v>1330</v>
      </c>
      <c r="H174" s="803"/>
      <c r="I174" s="802" t="s">
        <v>767</v>
      </c>
      <c r="J174" s="802"/>
      <c r="K174" s="818"/>
    </row>
    <row r="175" spans="1:11" s="817" customFormat="1" x14ac:dyDescent="0.25">
      <c r="A175" s="815"/>
      <c r="B175" s="819" t="s">
        <v>935</v>
      </c>
      <c r="C175" s="820">
        <v>500</v>
      </c>
      <c r="D175" s="803"/>
      <c r="E175" s="799">
        <f t="shared" si="17"/>
        <v>500</v>
      </c>
      <c r="F175" s="820"/>
      <c r="G175" s="803">
        <v>500</v>
      </c>
      <c r="H175" s="803"/>
      <c r="I175" s="802"/>
      <c r="J175" s="802" t="s">
        <v>767</v>
      </c>
      <c r="K175" s="818"/>
    </row>
    <row r="176" spans="1:11" s="817" customFormat="1" x14ac:dyDescent="0.25">
      <c r="A176" s="815"/>
      <c r="B176" s="718" t="s">
        <v>924</v>
      </c>
      <c r="C176" s="820">
        <v>50000</v>
      </c>
      <c r="D176" s="803">
        <v>50000</v>
      </c>
      <c r="E176" s="799">
        <f t="shared" si="17"/>
        <v>100000</v>
      </c>
      <c r="F176" s="820"/>
      <c r="G176" s="803">
        <f>50000+50000</f>
        <v>100000</v>
      </c>
      <c r="H176" s="803"/>
      <c r="I176" s="802"/>
      <c r="J176" s="802" t="s">
        <v>767</v>
      </c>
      <c r="K176" s="818"/>
    </row>
    <row r="177" spans="1:11" s="817" customFormat="1" ht="31.5" x14ac:dyDescent="0.25">
      <c r="A177" s="815"/>
      <c r="B177" s="718" t="s">
        <v>925</v>
      </c>
      <c r="C177" s="820">
        <v>12300</v>
      </c>
      <c r="D177" s="803"/>
      <c r="E177" s="799">
        <f t="shared" si="17"/>
        <v>12300</v>
      </c>
      <c r="F177" s="820"/>
      <c r="G177" s="803">
        <v>12300</v>
      </c>
      <c r="H177" s="803"/>
      <c r="I177" s="802"/>
      <c r="J177" s="802" t="s">
        <v>767</v>
      </c>
      <c r="K177" s="818"/>
    </row>
    <row r="178" spans="1:11" s="817" customFormat="1" x14ac:dyDescent="0.25">
      <c r="A178" s="815"/>
      <c r="B178" s="819" t="s">
        <v>927</v>
      </c>
      <c r="C178" s="820">
        <v>1000</v>
      </c>
      <c r="D178" s="803"/>
      <c r="E178" s="799">
        <f t="shared" si="17"/>
        <v>1000</v>
      </c>
      <c r="F178" s="820"/>
      <c r="G178" s="803">
        <v>1000</v>
      </c>
      <c r="H178" s="803"/>
      <c r="I178" s="802"/>
      <c r="J178" s="802" t="s">
        <v>767</v>
      </c>
      <c r="K178" s="818"/>
    </row>
    <row r="179" spans="1:11" s="817" customFormat="1" x14ac:dyDescent="0.25">
      <c r="A179" s="815"/>
      <c r="B179" s="819" t="s">
        <v>1111</v>
      </c>
      <c r="C179" s="820">
        <v>800</v>
      </c>
      <c r="D179" s="803"/>
      <c r="E179" s="799">
        <f t="shared" si="17"/>
        <v>800</v>
      </c>
      <c r="F179" s="820"/>
      <c r="G179" s="803">
        <v>800</v>
      </c>
      <c r="H179" s="803"/>
      <c r="I179" s="802"/>
      <c r="J179" s="802" t="s">
        <v>767</v>
      </c>
      <c r="K179" s="818"/>
    </row>
    <row r="180" spans="1:11" s="817" customFormat="1" ht="31.5" x14ac:dyDescent="0.25">
      <c r="A180" s="815"/>
      <c r="B180" s="819" t="s">
        <v>1112</v>
      </c>
      <c r="C180" s="820">
        <v>4000</v>
      </c>
      <c r="D180" s="803"/>
      <c r="E180" s="799">
        <f t="shared" si="17"/>
        <v>4000</v>
      </c>
      <c r="F180" s="820"/>
      <c r="G180" s="803">
        <v>4000</v>
      </c>
      <c r="H180" s="803"/>
      <c r="I180" s="802"/>
      <c r="J180" s="802" t="s">
        <v>767</v>
      </c>
      <c r="K180" s="818"/>
    </row>
    <row r="181" spans="1:11" s="817" customFormat="1" x14ac:dyDescent="0.25">
      <c r="A181" s="815" t="s">
        <v>206</v>
      </c>
      <c r="B181" s="819" t="s">
        <v>1113</v>
      </c>
      <c r="C181" s="820">
        <v>3000</v>
      </c>
      <c r="D181" s="803"/>
      <c r="E181" s="799">
        <f t="shared" si="17"/>
        <v>3000</v>
      </c>
      <c r="F181" s="820"/>
      <c r="G181" s="803">
        <v>3000</v>
      </c>
      <c r="H181" s="803"/>
      <c r="I181" s="802"/>
      <c r="J181" s="802" t="s">
        <v>767</v>
      </c>
      <c r="K181" s="818"/>
    </row>
    <row r="182" spans="1:11" s="817" customFormat="1" ht="47.25" x14ac:dyDescent="0.25">
      <c r="A182" s="815" t="s">
        <v>206</v>
      </c>
      <c r="B182" s="819" t="s">
        <v>1406</v>
      </c>
      <c r="C182" s="820"/>
      <c r="D182" s="803">
        <v>750</v>
      </c>
      <c r="E182" s="799">
        <f t="shared" si="17"/>
        <v>750</v>
      </c>
      <c r="F182" s="820"/>
      <c r="G182" s="803">
        <v>750</v>
      </c>
      <c r="H182" s="803"/>
      <c r="I182" s="802"/>
      <c r="J182" s="802" t="s">
        <v>767</v>
      </c>
      <c r="K182" s="818"/>
    </row>
    <row r="183" spans="1:11" s="817" customFormat="1" x14ac:dyDescent="0.25">
      <c r="A183" s="815" t="s">
        <v>206</v>
      </c>
      <c r="B183" s="819" t="s">
        <v>1407</v>
      </c>
      <c r="C183" s="820"/>
      <c r="D183" s="803">
        <v>800</v>
      </c>
      <c r="E183" s="799">
        <f t="shared" si="17"/>
        <v>800</v>
      </c>
      <c r="F183" s="820"/>
      <c r="G183" s="803">
        <v>800</v>
      </c>
      <c r="H183" s="803"/>
      <c r="I183" s="802"/>
      <c r="J183" s="802" t="s">
        <v>767</v>
      </c>
      <c r="K183" s="818"/>
    </row>
    <row r="184" spans="1:11" x14ac:dyDescent="0.25">
      <c r="A184" s="786"/>
      <c r="B184" s="743" t="s">
        <v>364</v>
      </c>
      <c r="C184" s="806"/>
      <c r="D184" s="806"/>
      <c r="E184" s="806"/>
      <c r="F184" s="806"/>
      <c r="G184" s="806"/>
      <c r="H184" s="806"/>
      <c r="I184" s="807"/>
      <c r="J184" s="807"/>
      <c r="K184" s="807"/>
    </row>
    <row r="185" spans="1:11" s="817" customFormat="1" x14ac:dyDescent="0.25">
      <c r="A185" s="815"/>
      <c r="B185" s="819" t="s">
        <v>734</v>
      </c>
      <c r="C185" s="820">
        <v>16553</v>
      </c>
      <c r="D185" s="803">
        <v>-700</v>
      </c>
      <c r="E185" s="799">
        <f t="shared" ref="E185:E265" si="18">SUM(C185:D185)</f>
        <v>15853</v>
      </c>
      <c r="F185" s="820">
        <v>20</v>
      </c>
      <c r="G185" s="803">
        <f>17000+700</f>
        <v>17700</v>
      </c>
      <c r="H185" s="803">
        <f>-1167-700</f>
        <v>-1867</v>
      </c>
      <c r="I185" s="802"/>
      <c r="J185" s="802" t="s">
        <v>767</v>
      </c>
      <c r="K185" s="818"/>
    </row>
    <row r="186" spans="1:11" s="817" customFormat="1" x14ac:dyDescent="0.25">
      <c r="A186" s="815"/>
      <c r="B186" s="819" t="s">
        <v>735</v>
      </c>
      <c r="C186" s="820">
        <v>17640</v>
      </c>
      <c r="D186" s="803"/>
      <c r="E186" s="799">
        <f t="shared" si="18"/>
        <v>17640</v>
      </c>
      <c r="F186" s="820">
        <v>100</v>
      </c>
      <c r="G186" s="803">
        <f>13000+1000+3540</f>
        <v>17540</v>
      </c>
      <c r="H186" s="803"/>
      <c r="I186" s="802"/>
      <c r="J186" s="802" t="s">
        <v>767</v>
      </c>
      <c r="K186" s="818"/>
    </row>
    <row r="187" spans="1:11" s="817" customFormat="1" x14ac:dyDescent="0.25">
      <c r="A187" s="815"/>
      <c r="B187" s="819" t="s">
        <v>736</v>
      </c>
      <c r="C187" s="820">
        <v>12000</v>
      </c>
      <c r="D187" s="803"/>
      <c r="E187" s="799">
        <f t="shared" si="18"/>
        <v>12000</v>
      </c>
      <c r="F187" s="820"/>
      <c r="G187" s="803">
        <v>12000</v>
      </c>
      <c r="H187" s="803"/>
      <c r="I187" s="802"/>
      <c r="J187" s="802" t="s">
        <v>767</v>
      </c>
      <c r="K187" s="818"/>
    </row>
    <row r="188" spans="1:11" s="817" customFormat="1" x14ac:dyDescent="0.25">
      <c r="A188" s="815"/>
      <c r="B188" s="819" t="s">
        <v>737</v>
      </c>
      <c r="C188" s="820">
        <v>1500</v>
      </c>
      <c r="D188" s="803"/>
      <c r="E188" s="799">
        <f t="shared" si="18"/>
        <v>1500</v>
      </c>
      <c r="F188" s="820"/>
      <c r="G188" s="803">
        <v>1500</v>
      </c>
      <c r="H188" s="803"/>
      <c r="I188" s="802"/>
      <c r="J188" s="802" t="s">
        <v>767</v>
      </c>
      <c r="K188" s="818"/>
    </row>
    <row r="189" spans="1:11" s="817" customFormat="1" x14ac:dyDescent="0.25">
      <c r="A189" s="815"/>
      <c r="B189" s="819" t="s">
        <v>738</v>
      </c>
      <c r="C189" s="820">
        <v>500</v>
      </c>
      <c r="D189" s="803"/>
      <c r="E189" s="799">
        <f t="shared" si="18"/>
        <v>500</v>
      </c>
      <c r="F189" s="820"/>
      <c r="G189" s="803">
        <v>500</v>
      </c>
      <c r="H189" s="803"/>
      <c r="I189" s="802"/>
      <c r="J189" s="802" t="s">
        <v>767</v>
      </c>
      <c r="K189" s="818"/>
    </row>
    <row r="190" spans="1:11" s="817" customFormat="1" x14ac:dyDescent="0.25">
      <c r="A190" s="815"/>
      <c r="B190" s="819" t="s">
        <v>739</v>
      </c>
      <c r="C190" s="820">
        <v>500</v>
      </c>
      <c r="D190" s="803"/>
      <c r="E190" s="799">
        <f t="shared" si="18"/>
        <v>500</v>
      </c>
      <c r="F190" s="820"/>
      <c r="G190" s="803">
        <v>500</v>
      </c>
      <c r="H190" s="803"/>
      <c r="I190" s="802"/>
      <c r="J190" s="802" t="s">
        <v>767</v>
      </c>
      <c r="K190" s="818"/>
    </row>
    <row r="191" spans="1:11" s="817" customFormat="1" x14ac:dyDescent="0.25">
      <c r="A191" s="815"/>
      <c r="B191" s="819" t="s">
        <v>971</v>
      </c>
      <c r="C191" s="820">
        <v>2000</v>
      </c>
      <c r="D191" s="803"/>
      <c r="E191" s="799">
        <f t="shared" si="18"/>
        <v>2000</v>
      </c>
      <c r="F191" s="820"/>
      <c r="G191" s="803">
        <v>2000</v>
      </c>
      <c r="H191" s="803"/>
      <c r="I191" s="802"/>
      <c r="J191" s="802" t="s">
        <v>767</v>
      </c>
      <c r="K191" s="818"/>
    </row>
    <row r="192" spans="1:11" s="817" customFormat="1" x14ac:dyDescent="0.25">
      <c r="A192" s="815"/>
      <c r="B192" s="819" t="s">
        <v>973</v>
      </c>
      <c r="C192" s="820">
        <v>5299</v>
      </c>
      <c r="D192" s="803">
        <v>-1600</v>
      </c>
      <c r="E192" s="799">
        <f t="shared" si="18"/>
        <v>3699</v>
      </c>
      <c r="F192" s="820">
        <v>99</v>
      </c>
      <c r="G192" s="803">
        <v>6000</v>
      </c>
      <c r="H192" s="803">
        <f>-800-1600</f>
        <v>-2400</v>
      </c>
      <c r="I192" s="802"/>
      <c r="J192" s="802" t="s">
        <v>767</v>
      </c>
      <c r="K192" s="818"/>
    </row>
    <row r="193" spans="1:11" s="817" customFormat="1" x14ac:dyDescent="0.25">
      <c r="A193" s="815"/>
      <c r="B193" s="819" t="s">
        <v>972</v>
      </c>
      <c r="C193" s="820">
        <v>5000</v>
      </c>
      <c r="D193" s="803"/>
      <c r="E193" s="799">
        <f t="shared" si="18"/>
        <v>5000</v>
      </c>
      <c r="F193" s="820"/>
      <c r="G193" s="803">
        <v>5000</v>
      </c>
      <c r="H193" s="803"/>
      <c r="I193" s="802"/>
      <c r="J193" s="802" t="s">
        <v>767</v>
      </c>
      <c r="K193" s="818"/>
    </row>
    <row r="194" spans="1:11" s="817" customFormat="1" x14ac:dyDescent="0.25">
      <c r="A194" s="815"/>
      <c r="B194" s="819" t="s">
        <v>974</v>
      </c>
      <c r="C194" s="820">
        <v>5000</v>
      </c>
      <c r="D194" s="803"/>
      <c r="E194" s="799">
        <f t="shared" si="18"/>
        <v>5000</v>
      </c>
      <c r="F194" s="820"/>
      <c r="G194" s="803">
        <v>5000</v>
      </c>
      <c r="H194" s="803"/>
      <c r="I194" s="802"/>
      <c r="J194" s="802" t="s">
        <v>767</v>
      </c>
      <c r="K194" s="818"/>
    </row>
    <row r="195" spans="1:11" s="817" customFormat="1" x14ac:dyDescent="0.25">
      <c r="A195" s="815"/>
      <c r="B195" s="819" t="s">
        <v>975</v>
      </c>
      <c r="C195" s="820">
        <v>1977</v>
      </c>
      <c r="D195" s="803"/>
      <c r="E195" s="799">
        <f t="shared" si="18"/>
        <v>1977</v>
      </c>
      <c r="F195" s="820"/>
      <c r="G195" s="803">
        <v>1977</v>
      </c>
      <c r="H195" s="803"/>
      <c r="I195" s="802"/>
      <c r="J195" s="802" t="s">
        <v>767</v>
      </c>
      <c r="K195" s="818"/>
    </row>
    <row r="196" spans="1:11" s="817" customFormat="1" x14ac:dyDescent="0.25">
      <c r="A196" s="815"/>
      <c r="B196" s="718" t="s">
        <v>976</v>
      </c>
      <c r="C196" s="820">
        <v>3579</v>
      </c>
      <c r="D196" s="803"/>
      <c r="E196" s="799">
        <f>SUM(C196:D196)</f>
        <v>3579</v>
      </c>
      <c r="F196" s="820"/>
      <c r="G196" s="803">
        <f>6000-1000</f>
        <v>5000</v>
      </c>
      <c r="H196" s="803">
        <v>-1421</v>
      </c>
      <c r="I196" s="802"/>
      <c r="J196" s="802" t="s">
        <v>767</v>
      </c>
      <c r="K196" s="818"/>
    </row>
    <row r="197" spans="1:11" s="817" customFormat="1" x14ac:dyDescent="0.25">
      <c r="A197" s="815"/>
      <c r="B197" s="718" t="s">
        <v>926</v>
      </c>
      <c r="C197" s="820">
        <v>3000</v>
      </c>
      <c r="D197" s="803"/>
      <c r="E197" s="799">
        <f>SUM(C197:D197)</f>
        <v>3000</v>
      </c>
      <c r="F197" s="820"/>
      <c r="G197" s="803">
        <v>3000</v>
      </c>
      <c r="H197" s="803"/>
      <c r="I197" s="802"/>
      <c r="J197" s="802" t="s">
        <v>767</v>
      </c>
      <c r="K197" s="818"/>
    </row>
    <row r="198" spans="1:11" s="817" customFormat="1" ht="31.5" x14ac:dyDescent="0.25">
      <c r="A198" s="815"/>
      <c r="B198" s="718" t="s">
        <v>977</v>
      </c>
      <c r="C198" s="816">
        <v>700</v>
      </c>
      <c r="D198" s="803"/>
      <c r="E198" s="799">
        <f t="shared" si="18"/>
        <v>700</v>
      </c>
      <c r="F198" s="816"/>
      <c r="G198" s="803">
        <v>700</v>
      </c>
      <c r="H198" s="803"/>
      <c r="I198" s="802"/>
      <c r="J198" s="802" t="s">
        <v>767</v>
      </c>
      <c r="K198" s="818"/>
    </row>
    <row r="199" spans="1:11" s="817" customFormat="1" x14ac:dyDescent="0.25">
      <c r="A199" s="815"/>
      <c r="B199" s="718" t="s">
        <v>1114</v>
      </c>
      <c r="C199" s="816">
        <v>2000</v>
      </c>
      <c r="D199" s="803"/>
      <c r="E199" s="799">
        <f t="shared" si="18"/>
        <v>2000</v>
      </c>
      <c r="F199" s="816"/>
      <c r="G199" s="803">
        <v>2000</v>
      </c>
      <c r="H199" s="803"/>
      <c r="I199" s="802"/>
      <c r="J199" s="802" t="s">
        <v>767</v>
      </c>
      <c r="K199" s="818"/>
    </row>
    <row r="200" spans="1:11" s="817" customFormat="1" x14ac:dyDescent="0.25">
      <c r="A200" s="815"/>
      <c r="B200" s="718" t="s">
        <v>1115</v>
      </c>
      <c r="C200" s="816">
        <v>1000</v>
      </c>
      <c r="D200" s="803"/>
      <c r="E200" s="799">
        <f t="shared" si="18"/>
        <v>1000</v>
      </c>
      <c r="F200" s="816"/>
      <c r="G200" s="803">
        <v>1000</v>
      </c>
      <c r="H200" s="803"/>
      <c r="I200" s="802"/>
      <c r="J200" s="802" t="s">
        <v>767</v>
      </c>
      <c r="K200" s="818"/>
    </row>
    <row r="201" spans="1:11" s="817" customFormat="1" x14ac:dyDescent="0.25">
      <c r="A201" s="815"/>
      <c r="B201" s="718" t="s">
        <v>1116</v>
      </c>
      <c r="C201" s="816">
        <v>500</v>
      </c>
      <c r="D201" s="803"/>
      <c r="E201" s="799">
        <f t="shared" si="18"/>
        <v>500</v>
      </c>
      <c r="F201" s="816"/>
      <c r="G201" s="803">
        <v>500</v>
      </c>
      <c r="H201" s="803"/>
      <c r="I201" s="802"/>
      <c r="J201" s="802" t="s">
        <v>767</v>
      </c>
      <c r="K201" s="818"/>
    </row>
    <row r="202" spans="1:11" s="817" customFormat="1" x14ac:dyDescent="0.25">
      <c r="A202" s="815"/>
      <c r="B202" s="718" t="s">
        <v>1202</v>
      </c>
      <c r="C202" s="816">
        <v>1494</v>
      </c>
      <c r="D202" s="803"/>
      <c r="E202" s="799">
        <f t="shared" si="18"/>
        <v>1494</v>
      </c>
      <c r="F202" s="816"/>
      <c r="G202" s="803">
        <v>1494</v>
      </c>
      <c r="H202" s="803"/>
      <c r="I202" s="802"/>
      <c r="J202" s="802" t="s">
        <v>767</v>
      </c>
      <c r="K202" s="818"/>
    </row>
    <row r="203" spans="1:11" s="817" customFormat="1" x14ac:dyDescent="0.25">
      <c r="A203" s="815"/>
      <c r="B203" s="718" t="s">
        <v>1203</v>
      </c>
      <c r="C203" s="816">
        <v>1646</v>
      </c>
      <c r="D203" s="803"/>
      <c r="E203" s="799">
        <f t="shared" si="18"/>
        <v>1646</v>
      </c>
      <c r="F203" s="816"/>
      <c r="G203" s="803">
        <v>1646</v>
      </c>
      <c r="H203" s="803"/>
      <c r="I203" s="802"/>
      <c r="J203" s="802" t="s">
        <v>767</v>
      </c>
      <c r="K203" s="818"/>
    </row>
    <row r="204" spans="1:11" x14ac:dyDescent="0.25">
      <c r="A204" s="786"/>
      <c r="B204" s="804" t="s">
        <v>123</v>
      </c>
      <c r="C204" s="791">
        <v>16141</v>
      </c>
      <c r="D204" s="791">
        <f>-463-1736</f>
        <v>-2199</v>
      </c>
      <c r="E204" s="791">
        <f t="shared" si="18"/>
        <v>13942</v>
      </c>
      <c r="F204" s="791">
        <f>SUM(F205:F206)</f>
        <v>0</v>
      </c>
      <c r="G204" s="791">
        <f>SUM(G205:G206)</f>
        <v>48296</v>
      </c>
      <c r="H204" s="791">
        <f>SUM(H205:H206)</f>
        <v>-34354</v>
      </c>
      <c r="I204" s="792" t="s">
        <v>767</v>
      </c>
      <c r="J204" s="792"/>
      <c r="K204" s="793"/>
    </row>
    <row r="205" spans="1:11" x14ac:dyDescent="0.25">
      <c r="A205" s="786"/>
      <c r="B205" s="805" t="s">
        <v>150</v>
      </c>
      <c r="C205" s="806">
        <v>2755</v>
      </c>
      <c r="D205" s="806">
        <v>-463</v>
      </c>
      <c r="E205" s="806">
        <f t="shared" si="18"/>
        <v>2292</v>
      </c>
      <c r="F205" s="806">
        <v>0</v>
      </c>
      <c r="G205" s="806">
        <v>8596</v>
      </c>
      <c r="H205" s="806">
        <f>-3526-2315-463</f>
        <v>-6304</v>
      </c>
      <c r="I205" s="807" t="s">
        <v>767</v>
      </c>
      <c r="J205" s="821"/>
      <c r="K205" s="822"/>
    </row>
    <row r="206" spans="1:11" x14ac:dyDescent="0.25">
      <c r="A206" s="786"/>
      <c r="B206" s="805" t="s">
        <v>151</v>
      </c>
      <c r="C206" s="806">
        <v>13386</v>
      </c>
      <c r="D206" s="806">
        <v>-1736</v>
      </c>
      <c r="E206" s="806">
        <f t="shared" si="18"/>
        <v>11650</v>
      </c>
      <c r="F206" s="806">
        <v>0</v>
      </c>
      <c r="G206" s="806">
        <v>39700</v>
      </c>
      <c r="H206" s="806">
        <f>-17633-8681-1736</f>
        <v>-28050</v>
      </c>
      <c r="I206" s="807" t="s">
        <v>767</v>
      </c>
      <c r="J206" s="822"/>
      <c r="K206" s="822"/>
    </row>
    <row r="207" spans="1:11" x14ac:dyDescent="0.25">
      <c r="A207" s="786"/>
      <c r="B207" s="790" t="s">
        <v>365</v>
      </c>
      <c r="C207" s="791">
        <v>603334</v>
      </c>
      <c r="D207" s="791">
        <v>0</v>
      </c>
      <c r="E207" s="791">
        <f t="shared" si="18"/>
        <v>603334</v>
      </c>
      <c r="F207" s="791">
        <f>SUM(F208:F218)</f>
        <v>0</v>
      </c>
      <c r="G207" s="791">
        <f>510286+60000+1464+45000+4000+2000-19416</f>
        <v>603334</v>
      </c>
      <c r="H207" s="791"/>
      <c r="I207" s="793"/>
      <c r="J207" s="792" t="s">
        <v>767</v>
      </c>
      <c r="K207" s="793"/>
    </row>
    <row r="208" spans="1:11" ht="18" customHeight="1" x14ac:dyDescent="0.25">
      <c r="A208" s="786"/>
      <c r="B208" s="808" t="s">
        <v>620</v>
      </c>
      <c r="C208" s="806">
        <v>104334</v>
      </c>
      <c r="D208" s="806"/>
      <c r="E208" s="806">
        <f t="shared" si="18"/>
        <v>104334</v>
      </c>
      <c r="F208" s="806"/>
      <c r="G208" s="806">
        <f>62286+1464+60000-19416</f>
        <v>104334</v>
      </c>
      <c r="H208" s="806"/>
      <c r="I208" s="807"/>
      <c r="J208" s="807" t="s">
        <v>767</v>
      </c>
      <c r="K208" s="807"/>
    </row>
    <row r="209" spans="1:11" x14ac:dyDescent="0.25">
      <c r="A209" s="786"/>
      <c r="B209" s="808" t="s">
        <v>740</v>
      </c>
      <c r="C209" s="806">
        <v>165000</v>
      </c>
      <c r="D209" s="806"/>
      <c r="E209" s="806">
        <f t="shared" si="18"/>
        <v>165000</v>
      </c>
      <c r="F209" s="806"/>
      <c r="G209" s="806">
        <f>165000</f>
        <v>165000</v>
      </c>
      <c r="H209" s="806"/>
      <c r="I209" s="807"/>
      <c r="J209" s="807" t="s">
        <v>767</v>
      </c>
      <c r="K209" s="807"/>
    </row>
    <row r="210" spans="1:11" ht="31.5" x14ac:dyDescent="0.25">
      <c r="A210" s="786"/>
      <c r="B210" s="808" t="s">
        <v>1117</v>
      </c>
      <c r="C210" s="806">
        <v>45000</v>
      </c>
      <c r="D210" s="806"/>
      <c r="E210" s="806">
        <f t="shared" ref="E210" si="19">SUM(C210:D210)</f>
        <v>45000</v>
      </c>
      <c r="F210" s="806"/>
      <c r="G210" s="806">
        <v>45000</v>
      </c>
      <c r="H210" s="806"/>
      <c r="I210" s="807"/>
      <c r="J210" s="807" t="s">
        <v>767</v>
      </c>
      <c r="K210" s="807"/>
    </row>
    <row r="211" spans="1:11" x14ac:dyDescent="0.25">
      <c r="A211" s="786"/>
      <c r="B211" s="808" t="s">
        <v>139</v>
      </c>
      <c r="C211" s="806">
        <v>60000</v>
      </c>
      <c r="D211" s="806"/>
      <c r="E211" s="806">
        <f t="shared" si="18"/>
        <v>60000</v>
      </c>
      <c r="F211" s="806"/>
      <c r="G211" s="806">
        <v>60000</v>
      </c>
      <c r="H211" s="806"/>
      <c r="I211" s="807"/>
      <c r="J211" s="807" t="s">
        <v>767</v>
      </c>
      <c r="K211" s="807"/>
    </row>
    <row r="212" spans="1:11" x14ac:dyDescent="0.25">
      <c r="A212" s="786"/>
      <c r="B212" s="808" t="s">
        <v>621</v>
      </c>
      <c r="C212" s="806">
        <v>32000</v>
      </c>
      <c r="D212" s="806"/>
      <c r="E212" s="806">
        <f t="shared" si="18"/>
        <v>32000</v>
      </c>
      <c r="F212" s="806"/>
      <c r="G212" s="806">
        <v>32000</v>
      </c>
      <c r="H212" s="806"/>
      <c r="I212" s="807"/>
      <c r="J212" s="807" t="s">
        <v>767</v>
      </c>
      <c r="K212" s="807"/>
    </row>
    <row r="213" spans="1:11" ht="31.5" x14ac:dyDescent="0.25">
      <c r="A213" s="786"/>
      <c r="B213" s="808" t="s">
        <v>928</v>
      </c>
      <c r="C213" s="806">
        <v>9000</v>
      </c>
      <c r="D213" s="806"/>
      <c r="E213" s="806">
        <f t="shared" si="18"/>
        <v>9000</v>
      </c>
      <c r="F213" s="806"/>
      <c r="G213" s="806">
        <v>9000</v>
      </c>
      <c r="H213" s="806"/>
      <c r="I213" s="807"/>
      <c r="J213" s="807" t="s">
        <v>767</v>
      </c>
      <c r="K213" s="807"/>
    </row>
    <row r="214" spans="1:11" x14ac:dyDescent="0.25">
      <c r="A214" s="786"/>
      <c r="B214" s="808" t="s">
        <v>94</v>
      </c>
      <c r="C214" s="806">
        <v>35000</v>
      </c>
      <c r="D214" s="806"/>
      <c r="E214" s="806">
        <f t="shared" si="18"/>
        <v>35000</v>
      </c>
      <c r="F214" s="806"/>
      <c r="G214" s="806">
        <v>35000</v>
      </c>
      <c r="H214" s="806"/>
      <c r="I214" s="807"/>
      <c r="J214" s="807" t="s">
        <v>767</v>
      </c>
      <c r="K214" s="807"/>
    </row>
    <row r="215" spans="1:11" x14ac:dyDescent="0.25">
      <c r="A215" s="786"/>
      <c r="B215" s="808" t="s">
        <v>522</v>
      </c>
      <c r="C215" s="806">
        <v>126000</v>
      </c>
      <c r="D215" s="806"/>
      <c r="E215" s="806">
        <f t="shared" si="18"/>
        <v>126000</v>
      </c>
      <c r="F215" s="806"/>
      <c r="G215" s="806">
        <v>126000</v>
      </c>
      <c r="H215" s="806"/>
      <c r="I215" s="807"/>
      <c r="J215" s="807" t="s">
        <v>767</v>
      </c>
      <c r="K215" s="807"/>
    </row>
    <row r="216" spans="1:11" ht="31.5" x14ac:dyDescent="0.25">
      <c r="A216" s="786"/>
      <c r="B216" s="808" t="s">
        <v>929</v>
      </c>
      <c r="C216" s="806">
        <v>16000</v>
      </c>
      <c r="D216" s="806"/>
      <c r="E216" s="806">
        <f t="shared" si="18"/>
        <v>16000</v>
      </c>
      <c r="F216" s="806"/>
      <c r="G216" s="806">
        <v>16000</v>
      </c>
      <c r="H216" s="806"/>
      <c r="I216" s="807"/>
      <c r="J216" s="807" t="s">
        <v>767</v>
      </c>
      <c r="K216" s="807"/>
    </row>
    <row r="217" spans="1:11" ht="31.5" x14ac:dyDescent="0.25">
      <c r="A217" s="786"/>
      <c r="B217" s="808" t="s">
        <v>1204</v>
      </c>
      <c r="C217" s="806">
        <v>4000</v>
      </c>
      <c r="D217" s="806"/>
      <c r="E217" s="806">
        <f t="shared" si="18"/>
        <v>4000</v>
      </c>
      <c r="F217" s="806"/>
      <c r="G217" s="806">
        <v>4000</v>
      </c>
      <c r="H217" s="806"/>
      <c r="I217" s="807"/>
      <c r="J217" s="807" t="s">
        <v>767</v>
      </c>
      <c r="K217" s="807"/>
    </row>
    <row r="218" spans="1:11" x14ac:dyDescent="0.25">
      <c r="A218" s="786"/>
      <c r="B218" s="808" t="s">
        <v>128</v>
      </c>
      <c r="C218" s="806">
        <v>7000</v>
      </c>
      <c r="D218" s="806"/>
      <c r="E218" s="806">
        <f t="shared" si="18"/>
        <v>7000</v>
      </c>
      <c r="F218" s="806"/>
      <c r="G218" s="806">
        <f>5000+2000</f>
        <v>7000</v>
      </c>
      <c r="H218" s="806"/>
      <c r="I218" s="807"/>
      <c r="J218" s="807" t="s">
        <v>767</v>
      </c>
      <c r="K218" s="807"/>
    </row>
    <row r="219" spans="1:11" x14ac:dyDescent="0.25">
      <c r="A219" s="786"/>
      <c r="B219" s="804" t="s">
        <v>163</v>
      </c>
      <c r="C219" s="791">
        <f>SUM(C220:C222)</f>
        <v>205000</v>
      </c>
      <c r="D219" s="791">
        <f>SUM(D220:D222)</f>
        <v>0</v>
      </c>
      <c r="E219" s="791">
        <f t="shared" si="18"/>
        <v>205000</v>
      </c>
      <c r="F219" s="791">
        <f>SUM(F220:F222)</f>
        <v>0</v>
      </c>
      <c r="G219" s="791">
        <f>SUM(G220:G222)</f>
        <v>205000</v>
      </c>
      <c r="H219" s="791">
        <f>SUM(H220:H222)</f>
        <v>0</v>
      </c>
      <c r="I219" s="792" t="s">
        <v>767</v>
      </c>
      <c r="J219" s="793"/>
      <c r="K219" s="793"/>
    </row>
    <row r="220" spans="1:11" ht="31.5" x14ac:dyDescent="0.25">
      <c r="A220" s="786"/>
      <c r="B220" s="808" t="s">
        <v>741</v>
      </c>
      <c r="C220" s="806">
        <v>130000</v>
      </c>
      <c r="D220" s="806"/>
      <c r="E220" s="806">
        <f t="shared" si="18"/>
        <v>130000</v>
      </c>
      <c r="F220" s="806"/>
      <c r="G220" s="806">
        <v>130000</v>
      </c>
      <c r="H220" s="806"/>
      <c r="I220" s="807" t="s">
        <v>767</v>
      </c>
      <c r="J220" s="807"/>
      <c r="K220" s="807"/>
    </row>
    <row r="221" spans="1:11" ht="30" customHeight="1" x14ac:dyDescent="0.25">
      <c r="A221" s="786"/>
      <c r="B221" s="808" t="s">
        <v>164</v>
      </c>
      <c r="C221" s="806">
        <v>40000</v>
      </c>
      <c r="D221" s="806"/>
      <c r="E221" s="806">
        <f t="shared" si="18"/>
        <v>40000</v>
      </c>
      <c r="F221" s="806"/>
      <c r="G221" s="806">
        <v>40000</v>
      </c>
      <c r="H221" s="806"/>
      <c r="I221" s="807" t="s">
        <v>767</v>
      </c>
      <c r="J221" s="807"/>
      <c r="K221" s="807"/>
    </row>
    <row r="222" spans="1:11" ht="31.5" x14ac:dyDescent="0.25">
      <c r="A222" s="786"/>
      <c r="B222" s="808" t="s">
        <v>76</v>
      </c>
      <c r="C222" s="806">
        <v>35000</v>
      </c>
      <c r="D222" s="806"/>
      <c r="E222" s="806">
        <f t="shared" si="18"/>
        <v>35000</v>
      </c>
      <c r="F222" s="806"/>
      <c r="G222" s="806">
        <v>35000</v>
      </c>
      <c r="H222" s="806"/>
      <c r="I222" s="807" t="s">
        <v>767</v>
      </c>
      <c r="J222" s="807"/>
      <c r="K222" s="807"/>
    </row>
    <row r="223" spans="1:11" x14ac:dyDescent="0.25">
      <c r="A223" s="786"/>
      <c r="B223" s="804" t="s">
        <v>366</v>
      </c>
      <c r="C223" s="791">
        <v>219053</v>
      </c>
      <c r="D223" s="791">
        <v>800</v>
      </c>
      <c r="E223" s="791">
        <f t="shared" si="18"/>
        <v>219853</v>
      </c>
      <c r="F223" s="791">
        <v>0</v>
      </c>
      <c r="G223" s="791">
        <f>162500+1+3000+470+10000+10000+1000+1270+500+2000+1000+5000+3312+16650+2850-500+800</f>
        <v>219853</v>
      </c>
      <c r="H223" s="791"/>
      <c r="I223" s="793"/>
      <c r="J223" s="792" t="s">
        <v>767</v>
      </c>
      <c r="K223" s="793"/>
    </row>
    <row r="224" spans="1:11" s="817" customFormat="1" ht="31.5" x14ac:dyDescent="0.25">
      <c r="A224" s="815"/>
      <c r="B224" s="718" t="s">
        <v>930</v>
      </c>
      <c r="C224" s="816">
        <v>2000</v>
      </c>
      <c r="D224" s="803"/>
      <c r="E224" s="799">
        <f t="shared" si="18"/>
        <v>2000</v>
      </c>
      <c r="F224" s="816"/>
      <c r="G224" s="803">
        <v>2000</v>
      </c>
      <c r="H224" s="803"/>
      <c r="I224" s="802"/>
      <c r="J224" s="802" t="s">
        <v>767</v>
      </c>
      <c r="K224" s="818"/>
    </row>
    <row r="225" spans="1:11" s="817" customFormat="1" x14ac:dyDescent="0.25">
      <c r="A225" s="815"/>
      <c r="B225" s="718" t="s">
        <v>523</v>
      </c>
      <c r="C225" s="816">
        <v>500</v>
      </c>
      <c r="D225" s="803"/>
      <c r="E225" s="799">
        <f t="shared" si="18"/>
        <v>500</v>
      </c>
      <c r="F225" s="816"/>
      <c r="G225" s="803">
        <v>500</v>
      </c>
      <c r="H225" s="803"/>
      <c r="I225" s="802"/>
      <c r="J225" s="802" t="s">
        <v>767</v>
      </c>
      <c r="K225" s="818"/>
    </row>
    <row r="226" spans="1:11" s="817" customFormat="1" x14ac:dyDescent="0.25">
      <c r="A226" s="815"/>
      <c r="B226" s="718" t="s">
        <v>524</v>
      </c>
      <c r="C226" s="816">
        <v>12000</v>
      </c>
      <c r="D226" s="803"/>
      <c r="E226" s="799">
        <f t="shared" si="18"/>
        <v>12000</v>
      </c>
      <c r="F226" s="816"/>
      <c r="G226" s="803">
        <v>12000</v>
      </c>
      <c r="H226" s="803"/>
      <c r="I226" s="802"/>
      <c r="J226" s="802" t="s">
        <v>767</v>
      </c>
      <c r="K226" s="818"/>
    </row>
    <row r="227" spans="1:11" s="817" customFormat="1" ht="31.5" x14ac:dyDescent="0.25">
      <c r="A227" s="815"/>
      <c r="B227" s="718" t="s">
        <v>742</v>
      </c>
      <c r="C227" s="816">
        <v>41000</v>
      </c>
      <c r="D227" s="803"/>
      <c r="E227" s="799">
        <f t="shared" si="18"/>
        <v>41000</v>
      </c>
      <c r="F227" s="816"/>
      <c r="G227" s="803">
        <v>41000</v>
      </c>
      <c r="H227" s="803"/>
      <c r="I227" s="802"/>
      <c r="J227" s="802" t="s">
        <v>767</v>
      </c>
      <c r="K227" s="818"/>
    </row>
    <row r="228" spans="1:11" s="817" customFormat="1" ht="31.5" x14ac:dyDescent="0.25">
      <c r="A228" s="815"/>
      <c r="B228" s="718" t="s">
        <v>743</v>
      </c>
      <c r="C228" s="816">
        <v>4000</v>
      </c>
      <c r="D228" s="803"/>
      <c r="E228" s="799">
        <f t="shared" si="18"/>
        <v>4000</v>
      </c>
      <c r="F228" s="816"/>
      <c r="G228" s="803">
        <v>4000</v>
      </c>
      <c r="H228" s="803"/>
      <c r="I228" s="802"/>
      <c r="J228" s="802" t="s">
        <v>767</v>
      </c>
      <c r="K228" s="818"/>
    </row>
    <row r="229" spans="1:11" s="817" customFormat="1" ht="31.5" x14ac:dyDescent="0.25">
      <c r="A229" s="815"/>
      <c r="B229" s="718" t="s">
        <v>525</v>
      </c>
      <c r="C229" s="816">
        <v>1000</v>
      </c>
      <c r="D229" s="803"/>
      <c r="E229" s="799">
        <f t="shared" si="18"/>
        <v>1000</v>
      </c>
      <c r="F229" s="816"/>
      <c r="G229" s="803">
        <v>1000</v>
      </c>
      <c r="H229" s="803"/>
      <c r="I229" s="802"/>
      <c r="J229" s="802" t="s">
        <v>767</v>
      </c>
      <c r="K229" s="818"/>
    </row>
    <row r="230" spans="1:11" s="817" customFormat="1" x14ac:dyDescent="0.25">
      <c r="A230" s="815"/>
      <c r="B230" s="718" t="s">
        <v>744</v>
      </c>
      <c r="C230" s="816">
        <v>1500</v>
      </c>
      <c r="D230" s="803"/>
      <c r="E230" s="799">
        <f t="shared" si="18"/>
        <v>1500</v>
      </c>
      <c r="F230" s="816"/>
      <c r="G230" s="803">
        <v>1500</v>
      </c>
      <c r="H230" s="803"/>
      <c r="I230" s="802"/>
      <c r="J230" s="802" t="s">
        <v>767</v>
      </c>
      <c r="K230" s="818"/>
    </row>
    <row r="231" spans="1:11" s="817" customFormat="1" x14ac:dyDescent="0.25">
      <c r="A231" s="815"/>
      <c r="B231" s="718" t="s">
        <v>745</v>
      </c>
      <c r="C231" s="816">
        <v>20000</v>
      </c>
      <c r="D231" s="803"/>
      <c r="E231" s="799">
        <f t="shared" si="18"/>
        <v>20000</v>
      </c>
      <c r="F231" s="816"/>
      <c r="G231" s="803">
        <f>10000+10000</f>
        <v>20000</v>
      </c>
      <c r="H231" s="803"/>
      <c r="I231" s="802"/>
      <c r="J231" s="802" t="s">
        <v>767</v>
      </c>
      <c r="K231" s="818"/>
    </row>
    <row r="232" spans="1:11" s="817" customFormat="1" x14ac:dyDescent="0.25">
      <c r="A232" s="815"/>
      <c r="B232" s="718" t="s">
        <v>622</v>
      </c>
      <c r="C232" s="816">
        <v>25000</v>
      </c>
      <c r="D232" s="803"/>
      <c r="E232" s="799">
        <f t="shared" si="18"/>
        <v>25000</v>
      </c>
      <c r="F232" s="816"/>
      <c r="G232" s="803">
        <f>15000+10000</f>
        <v>25000</v>
      </c>
      <c r="H232" s="803"/>
      <c r="I232" s="802"/>
      <c r="J232" s="802" t="s">
        <v>767</v>
      </c>
      <c r="K232" s="818"/>
    </row>
    <row r="233" spans="1:11" s="817" customFormat="1" x14ac:dyDescent="0.25">
      <c r="A233" s="815" t="s">
        <v>1118</v>
      </c>
      <c r="B233" s="718" t="s">
        <v>1119</v>
      </c>
      <c r="C233" s="816">
        <v>3000</v>
      </c>
      <c r="D233" s="803"/>
      <c r="E233" s="799">
        <f t="shared" ref="E233:E234" si="20">SUM(C233:D233)</f>
        <v>3000</v>
      </c>
      <c r="F233" s="816"/>
      <c r="G233" s="803">
        <v>3000</v>
      </c>
      <c r="H233" s="803"/>
      <c r="I233" s="802"/>
      <c r="J233" s="802" t="s">
        <v>767</v>
      </c>
      <c r="K233" s="818"/>
    </row>
    <row r="234" spans="1:11" s="817" customFormat="1" x14ac:dyDescent="0.25">
      <c r="A234" s="815"/>
      <c r="B234" s="718" t="s">
        <v>1120</v>
      </c>
      <c r="C234" s="816">
        <v>470</v>
      </c>
      <c r="D234" s="803"/>
      <c r="E234" s="799">
        <f t="shared" si="20"/>
        <v>470</v>
      </c>
      <c r="F234" s="816"/>
      <c r="G234" s="803">
        <v>470</v>
      </c>
      <c r="H234" s="803"/>
      <c r="I234" s="802"/>
      <c r="J234" s="802" t="s">
        <v>767</v>
      </c>
      <c r="K234" s="818"/>
    </row>
    <row r="235" spans="1:11" s="817" customFormat="1" x14ac:dyDescent="0.25">
      <c r="A235" s="815"/>
      <c r="B235" s="718" t="s">
        <v>1121</v>
      </c>
      <c r="C235" s="816">
        <v>1000</v>
      </c>
      <c r="D235" s="803"/>
      <c r="E235" s="799">
        <f t="shared" ref="E235:E237" si="21">SUM(C235:D235)</f>
        <v>1000</v>
      </c>
      <c r="F235" s="816"/>
      <c r="G235" s="803">
        <v>1000</v>
      </c>
      <c r="H235" s="803"/>
      <c r="I235" s="802"/>
      <c r="J235" s="802" t="s">
        <v>767</v>
      </c>
      <c r="K235" s="818"/>
    </row>
    <row r="236" spans="1:11" s="817" customFormat="1" ht="31.5" x14ac:dyDescent="0.25">
      <c r="A236" s="815"/>
      <c r="B236" s="718" t="s">
        <v>1122</v>
      </c>
      <c r="C236" s="816">
        <v>1270</v>
      </c>
      <c r="D236" s="803"/>
      <c r="E236" s="799">
        <f t="shared" si="21"/>
        <v>1270</v>
      </c>
      <c r="F236" s="816"/>
      <c r="G236" s="803">
        <v>1270</v>
      </c>
      <c r="H236" s="803"/>
      <c r="I236" s="802"/>
      <c r="J236" s="802" t="s">
        <v>767</v>
      </c>
      <c r="K236" s="818"/>
    </row>
    <row r="237" spans="1:11" s="817" customFormat="1" x14ac:dyDescent="0.25">
      <c r="A237" s="815"/>
      <c r="B237" s="718" t="s">
        <v>1123</v>
      </c>
      <c r="C237" s="816">
        <v>0</v>
      </c>
      <c r="D237" s="803"/>
      <c r="E237" s="799">
        <f t="shared" si="21"/>
        <v>0</v>
      </c>
      <c r="F237" s="816"/>
      <c r="G237" s="803">
        <f>500-500</f>
        <v>0</v>
      </c>
      <c r="H237" s="803"/>
      <c r="I237" s="802"/>
      <c r="J237" s="802" t="s">
        <v>767</v>
      </c>
      <c r="K237" s="818"/>
    </row>
    <row r="238" spans="1:11" s="817" customFormat="1" x14ac:dyDescent="0.25">
      <c r="A238" s="815"/>
      <c r="B238" s="718" t="s">
        <v>623</v>
      </c>
      <c r="C238" s="816">
        <v>1000</v>
      </c>
      <c r="D238" s="803"/>
      <c r="E238" s="799">
        <f t="shared" si="18"/>
        <v>1000</v>
      </c>
      <c r="F238" s="816"/>
      <c r="G238" s="803">
        <v>1000</v>
      </c>
      <c r="H238" s="803"/>
      <c r="I238" s="802"/>
      <c r="J238" s="802" t="s">
        <v>767</v>
      </c>
      <c r="K238" s="818"/>
    </row>
    <row r="239" spans="1:11" s="817" customFormat="1" x14ac:dyDescent="0.25">
      <c r="A239" s="815"/>
      <c r="B239" s="718" t="s">
        <v>978</v>
      </c>
      <c r="C239" s="816">
        <v>10000</v>
      </c>
      <c r="D239" s="803"/>
      <c r="E239" s="799">
        <f t="shared" si="18"/>
        <v>10000</v>
      </c>
      <c r="F239" s="816"/>
      <c r="G239" s="803">
        <v>10000</v>
      </c>
      <c r="H239" s="803"/>
      <c r="I239" s="802"/>
      <c r="J239" s="802" t="s">
        <v>767</v>
      </c>
      <c r="K239" s="818"/>
    </row>
    <row r="240" spans="1:11" s="817" customFormat="1" x14ac:dyDescent="0.25">
      <c r="A240" s="815"/>
      <c r="B240" s="718" t="s">
        <v>979</v>
      </c>
      <c r="C240" s="816">
        <v>1000</v>
      </c>
      <c r="D240" s="803"/>
      <c r="E240" s="799">
        <f t="shared" si="18"/>
        <v>1000</v>
      </c>
      <c r="F240" s="816"/>
      <c r="G240" s="803">
        <v>1000</v>
      </c>
      <c r="H240" s="803"/>
      <c r="I240" s="802"/>
      <c r="J240" s="802" t="s">
        <v>767</v>
      </c>
      <c r="K240" s="818"/>
    </row>
    <row r="241" spans="1:11" s="817" customFormat="1" x14ac:dyDescent="0.25">
      <c r="A241" s="815"/>
      <c r="B241" s="718" t="s">
        <v>1205</v>
      </c>
      <c r="C241" s="816">
        <v>2000</v>
      </c>
      <c r="D241" s="803"/>
      <c r="E241" s="799">
        <f t="shared" si="18"/>
        <v>2000</v>
      </c>
      <c r="F241" s="816"/>
      <c r="G241" s="803">
        <v>2000</v>
      </c>
      <c r="H241" s="803"/>
      <c r="I241" s="802"/>
      <c r="J241" s="802" t="s">
        <v>767</v>
      </c>
      <c r="K241" s="818"/>
    </row>
    <row r="242" spans="1:11" s="817" customFormat="1" x14ac:dyDescent="0.25">
      <c r="A242" s="815"/>
      <c r="B242" s="718" t="s">
        <v>1206</v>
      </c>
      <c r="C242" s="816">
        <v>1000</v>
      </c>
      <c r="D242" s="803"/>
      <c r="E242" s="799">
        <f t="shared" si="18"/>
        <v>1000</v>
      </c>
      <c r="F242" s="816"/>
      <c r="G242" s="803">
        <v>1000</v>
      </c>
      <c r="H242" s="803"/>
      <c r="I242" s="802"/>
      <c r="J242" s="802" t="s">
        <v>767</v>
      </c>
      <c r="K242" s="818"/>
    </row>
    <row r="243" spans="1:11" s="817" customFormat="1" x14ac:dyDescent="0.25">
      <c r="A243" s="815"/>
      <c r="B243" s="718" t="s">
        <v>980</v>
      </c>
      <c r="C243" s="816">
        <v>15000</v>
      </c>
      <c r="D243" s="803"/>
      <c r="E243" s="799">
        <f t="shared" si="18"/>
        <v>15000</v>
      </c>
      <c r="F243" s="816"/>
      <c r="G243" s="803">
        <f>10000+5000</f>
        <v>15000</v>
      </c>
      <c r="H243" s="803"/>
      <c r="I243" s="802"/>
      <c r="J243" s="802" t="s">
        <v>767</v>
      </c>
      <c r="K243" s="818"/>
    </row>
    <row r="244" spans="1:11" s="817" customFormat="1" ht="31.5" x14ac:dyDescent="0.25">
      <c r="A244" s="815"/>
      <c r="B244" s="718" t="s">
        <v>1207</v>
      </c>
      <c r="C244" s="816">
        <v>3312</v>
      </c>
      <c r="D244" s="803"/>
      <c r="E244" s="799">
        <f t="shared" si="18"/>
        <v>3312</v>
      </c>
      <c r="F244" s="816"/>
      <c r="G244" s="803">
        <v>3312</v>
      </c>
      <c r="H244" s="803"/>
      <c r="I244" s="802"/>
      <c r="J244" s="802" t="s">
        <v>767</v>
      </c>
      <c r="K244" s="818"/>
    </row>
    <row r="245" spans="1:11" s="817" customFormat="1" x14ac:dyDescent="0.25">
      <c r="A245" s="815"/>
      <c r="B245" s="718" t="s">
        <v>981</v>
      </c>
      <c r="C245" s="816">
        <v>24151</v>
      </c>
      <c r="D245" s="803"/>
      <c r="E245" s="799">
        <f t="shared" si="18"/>
        <v>24151</v>
      </c>
      <c r="F245" s="816"/>
      <c r="G245" s="803">
        <f>7500+1+16650</f>
        <v>24151</v>
      </c>
      <c r="H245" s="803"/>
      <c r="I245" s="802"/>
      <c r="J245" s="802" t="s">
        <v>767</v>
      </c>
      <c r="K245" s="818"/>
    </row>
    <row r="246" spans="1:11" s="817" customFormat="1" x14ac:dyDescent="0.25">
      <c r="A246" s="815"/>
      <c r="B246" s="718" t="s">
        <v>1208</v>
      </c>
      <c r="C246" s="816">
        <v>2850</v>
      </c>
      <c r="D246" s="803"/>
      <c r="E246" s="799">
        <f t="shared" si="18"/>
        <v>2850</v>
      </c>
      <c r="F246" s="816"/>
      <c r="G246" s="803">
        <v>2850</v>
      </c>
      <c r="H246" s="803"/>
      <c r="I246" s="802"/>
      <c r="J246" s="802" t="s">
        <v>767</v>
      </c>
      <c r="K246" s="818"/>
    </row>
    <row r="247" spans="1:11" s="817" customFormat="1" x14ac:dyDescent="0.25">
      <c r="A247" s="815"/>
      <c r="B247" s="718" t="s">
        <v>982</v>
      </c>
      <c r="C247" s="816">
        <v>1000</v>
      </c>
      <c r="D247" s="803"/>
      <c r="E247" s="799">
        <f t="shared" si="18"/>
        <v>1000</v>
      </c>
      <c r="F247" s="816"/>
      <c r="G247" s="803">
        <v>1000</v>
      </c>
      <c r="H247" s="803"/>
      <c r="I247" s="802"/>
      <c r="J247" s="802" t="s">
        <v>767</v>
      </c>
      <c r="K247" s="818"/>
    </row>
    <row r="248" spans="1:11" s="817" customFormat="1" ht="31.5" x14ac:dyDescent="0.25">
      <c r="A248" s="815"/>
      <c r="B248" s="718" t="s">
        <v>983</v>
      </c>
      <c r="C248" s="816">
        <v>45000</v>
      </c>
      <c r="D248" s="803"/>
      <c r="E248" s="799">
        <f t="shared" si="18"/>
        <v>45000</v>
      </c>
      <c r="F248" s="816"/>
      <c r="G248" s="803">
        <v>45000</v>
      </c>
      <c r="H248" s="803"/>
      <c r="I248" s="802"/>
      <c r="J248" s="802" t="s">
        <v>767</v>
      </c>
      <c r="K248" s="818"/>
    </row>
    <row r="249" spans="1:11" s="817" customFormat="1" x14ac:dyDescent="0.25">
      <c r="A249" s="815"/>
      <c r="B249" s="718" t="s">
        <v>1408</v>
      </c>
      <c r="C249" s="816"/>
      <c r="D249" s="803">
        <v>800</v>
      </c>
      <c r="E249" s="799">
        <f t="shared" si="18"/>
        <v>800</v>
      </c>
      <c r="F249" s="816"/>
      <c r="G249" s="803">
        <v>800</v>
      </c>
      <c r="H249" s="803"/>
      <c r="I249" s="802"/>
      <c r="J249" s="802" t="s">
        <v>767</v>
      </c>
      <c r="K249" s="818"/>
    </row>
    <row r="250" spans="1:11" x14ac:dyDescent="0.25">
      <c r="A250" s="786" t="s">
        <v>124</v>
      </c>
      <c r="B250" s="743" t="s">
        <v>95</v>
      </c>
      <c r="C250" s="788">
        <v>6000</v>
      </c>
      <c r="D250" s="788"/>
      <c r="E250" s="788">
        <f t="shared" si="18"/>
        <v>6000</v>
      </c>
      <c r="F250" s="788"/>
      <c r="G250" s="788">
        <v>6000</v>
      </c>
      <c r="H250" s="788"/>
      <c r="I250" s="789" t="s">
        <v>767</v>
      </c>
      <c r="J250" s="789"/>
      <c r="K250" s="789"/>
    </row>
    <row r="251" spans="1:11" x14ac:dyDescent="0.25">
      <c r="A251" s="786" t="s">
        <v>125</v>
      </c>
      <c r="B251" s="743" t="s">
        <v>624</v>
      </c>
      <c r="C251" s="788">
        <f>SUM(C252:C256,C257,C258,C259,C260)</f>
        <v>247338</v>
      </c>
      <c r="D251" s="788">
        <f>SUM(D252:D256,D257,D258,D259,D260)</f>
        <v>6871</v>
      </c>
      <c r="E251" s="788">
        <f t="shared" si="18"/>
        <v>254209</v>
      </c>
      <c r="F251" s="788">
        <f>SUM(F252:F256,F257,F258,F259,F260)</f>
        <v>11071</v>
      </c>
      <c r="G251" s="788">
        <f>SUM(G252:G256,G257,G258,G259,G260)</f>
        <v>250845</v>
      </c>
      <c r="H251" s="788">
        <f>SUM(H252:H256,H257,H258,H259,H260)</f>
        <v>-7707</v>
      </c>
      <c r="I251" s="789" t="s">
        <v>767</v>
      </c>
      <c r="J251" s="789" t="s">
        <v>767</v>
      </c>
      <c r="K251" s="789"/>
    </row>
    <row r="252" spans="1:11" x14ac:dyDescent="0.25">
      <c r="A252" s="786"/>
      <c r="B252" s="743" t="s">
        <v>990</v>
      </c>
      <c r="C252" s="788">
        <v>5650</v>
      </c>
      <c r="D252" s="788">
        <v>-50</v>
      </c>
      <c r="E252" s="788">
        <f t="shared" si="18"/>
        <v>5600</v>
      </c>
      <c r="F252" s="788">
        <v>50</v>
      </c>
      <c r="G252" s="788">
        <v>5600</v>
      </c>
      <c r="H252" s="788">
        <v>-50</v>
      </c>
      <c r="I252" s="789"/>
      <c r="J252" s="789" t="s">
        <v>767</v>
      </c>
      <c r="K252" s="789"/>
    </row>
    <row r="253" spans="1:11" x14ac:dyDescent="0.25">
      <c r="A253" s="786"/>
      <c r="B253" s="743" t="s">
        <v>991</v>
      </c>
      <c r="C253" s="788">
        <v>11000</v>
      </c>
      <c r="D253" s="788"/>
      <c r="E253" s="788">
        <f t="shared" si="18"/>
        <v>11000</v>
      </c>
      <c r="F253" s="788"/>
      <c r="G253" s="788">
        <v>11000</v>
      </c>
      <c r="H253" s="788"/>
      <c r="I253" s="789"/>
      <c r="J253" s="789" t="s">
        <v>767</v>
      </c>
      <c r="K253" s="789"/>
    </row>
    <row r="254" spans="1:11" x14ac:dyDescent="0.25">
      <c r="A254" s="786"/>
      <c r="B254" s="743" t="s">
        <v>992</v>
      </c>
      <c r="C254" s="788">
        <v>65062</v>
      </c>
      <c r="D254" s="788"/>
      <c r="E254" s="788">
        <f t="shared" si="18"/>
        <v>65062</v>
      </c>
      <c r="F254" s="788">
        <v>10053</v>
      </c>
      <c r="G254" s="788">
        <v>55009</v>
      </c>
      <c r="H254" s="788"/>
      <c r="I254" s="789" t="s">
        <v>767</v>
      </c>
      <c r="J254" s="789" t="s">
        <v>767</v>
      </c>
      <c r="K254" s="789"/>
    </row>
    <row r="255" spans="1:11" x14ac:dyDescent="0.25">
      <c r="A255" s="786"/>
      <c r="B255" s="743" t="s">
        <v>993</v>
      </c>
      <c r="C255" s="788">
        <v>1098</v>
      </c>
      <c r="D255" s="788">
        <v>0</v>
      </c>
      <c r="E255" s="788">
        <f t="shared" si="18"/>
        <v>1098</v>
      </c>
      <c r="F255" s="788"/>
      <c r="G255" s="788">
        <f>1500-402</f>
        <v>1098</v>
      </c>
      <c r="H255" s="788"/>
      <c r="I255" s="789"/>
      <c r="J255" s="789" t="s">
        <v>767</v>
      </c>
      <c r="K255" s="789"/>
    </row>
    <row r="256" spans="1:11" x14ac:dyDescent="0.25">
      <c r="A256" s="786"/>
      <c r="B256" s="743" t="s">
        <v>994</v>
      </c>
      <c r="C256" s="788">
        <v>4500</v>
      </c>
      <c r="D256" s="788"/>
      <c r="E256" s="788">
        <f t="shared" si="18"/>
        <v>4500</v>
      </c>
      <c r="F256" s="788"/>
      <c r="G256" s="788">
        <v>4500</v>
      </c>
      <c r="H256" s="788"/>
      <c r="I256" s="789"/>
      <c r="J256" s="789" t="s">
        <v>767</v>
      </c>
      <c r="K256" s="789"/>
    </row>
    <row r="257" spans="1:11" x14ac:dyDescent="0.25">
      <c r="A257" s="786"/>
      <c r="B257" s="743" t="s">
        <v>141</v>
      </c>
      <c r="C257" s="788">
        <v>62238</v>
      </c>
      <c r="D257" s="788">
        <v>5906</v>
      </c>
      <c r="E257" s="788">
        <f t="shared" si="18"/>
        <v>68144</v>
      </c>
      <c r="F257" s="788"/>
      <c r="G257" s="788">
        <f>62238+5906</f>
        <v>68144</v>
      </c>
      <c r="H257" s="788"/>
      <c r="I257" s="789" t="s">
        <v>767</v>
      </c>
      <c r="J257" s="789"/>
      <c r="K257" s="789"/>
    </row>
    <row r="258" spans="1:11" x14ac:dyDescent="0.25">
      <c r="A258" s="786"/>
      <c r="B258" s="743" t="s">
        <v>126</v>
      </c>
      <c r="C258" s="788">
        <v>31458</v>
      </c>
      <c r="D258" s="788">
        <v>-80</v>
      </c>
      <c r="E258" s="788">
        <f t="shared" si="18"/>
        <v>31378</v>
      </c>
      <c r="F258" s="788">
        <f>967-249</f>
        <v>718</v>
      </c>
      <c r="G258" s="788">
        <v>31442</v>
      </c>
      <c r="H258" s="788">
        <f>-190-40-60-100-60-102-150-80</f>
        <v>-782</v>
      </c>
      <c r="I258" s="789"/>
      <c r="J258" s="789" t="s">
        <v>767</v>
      </c>
      <c r="K258" s="789"/>
    </row>
    <row r="259" spans="1:11" x14ac:dyDescent="0.25">
      <c r="A259" s="786"/>
      <c r="B259" s="743" t="s">
        <v>127</v>
      </c>
      <c r="C259" s="788">
        <v>41332</v>
      </c>
      <c r="D259" s="788">
        <f>3150-2055</f>
        <v>1095</v>
      </c>
      <c r="E259" s="788">
        <f t="shared" si="18"/>
        <v>42427</v>
      </c>
      <c r="F259" s="788">
        <v>250</v>
      </c>
      <c r="G259" s="788">
        <f>45902+3150</f>
        <v>49052</v>
      </c>
      <c r="H259" s="788">
        <f>-100-150-4570-2055</f>
        <v>-6875</v>
      </c>
      <c r="I259" s="789"/>
      <c r="J259" s="789" t="s">
        <v>767</v>
      </c>
      <c r="K259" s="789"/>
    </row>
    <row r="260" spans="1:11" ht="16.5" thickBot="1" x14ac:dyDescent="0.3">
      <c r="A260" s="786"/>
      <c r="B260" s="743" t="s">
        <v>96</v>
      </c>
      <c r="C260" s="788">
        <v>25000</v>
      </c>
      <c r="D260" s="788"/>
      <c r="E260" s="788">
        <f t="shared" si="18"/>
        <v>25000</v>
      </c>
      <c r="F260" s="788"/>
      <c r="G260" s="788">
        <v>25000</v>
      </c>
      <c r="H260" s="788"/>
      <c r="I260" s="789" t="s">
        <v>767</v>
      </c>
      <c r="J260" s="789"/>
      <c r="K260" s="789"/>
    </row>
    <row r="261" spans="1:11" ht="16.5" thickBot="1" x14ac:dyDescent="0.3">
      <c r="A261" s="823"/>
      <c r="B261" s="824" t="s">
        <v>103</v>
      </c>
      <c r="C261" s="825">
        <f>SUM(C4,C89,C93,C98,C105,C115,C250,C251)</f>
        <v>52005752</v>
      </c>
      <c r="D261" s="825">
        <f>SUM(D4,D89,D93,D98,D105,D115,D250,D251)</f>
        <v>349567</v>
      </c>
      <c r="E261" s="825">
        <f t="shared" si="18"/>
        <v>52355319</v>
      </c>
      <c r="F261" s="825">
        <f>SUM(F4,F89,F93,F98,F105,F115,F250,F251)</f>
        <v>373586</v>
      </c>
      <c r="G261" s="825">
        <f>SUM(G4,G89,G93,G98,G105,G115,G250,G251)</f>
        <v>52058302</v>
      </c>
      <c r="H261" s="825">
        <f>SUM(H4,H89,H93,H98,H105,H115,H250,H251)</f>
        <v>-76569</v>
      </c>
      <c r="I261" s="826" t="s">
        <v>162</v>
      </c>
      <c r="J261" s="826" t="s">
        <v>162</v>
      </c>
      <c r="K261" s="826" t="s">
        <v>162</v>
      </c>
    </row>
    <row r="262" spans="1:11" x14ac:dyDescent="0.25">
      <c r="A262" s="823"/>
      <c r="B262" s="827" t="s">
        <v>102</v>
      </c>
      <c r="C262" s="828">
        <v>240200</v>
      </c>
      <c r="D262" s="828">
        <f>-1000-1100-1500-7987-800-800-19000+11176-28450+19135-51497+82465-579-5000-3150-5204-233+57000+7405-35663</f>
        <v>15218</v>
      </c>
      <c r="E262" s="828">
        <f t="shared" si="18"/>
        <v>255418</v>
      </c>
      <c r="F262" s="828">
        <v>0</v>
      </c>
      <c r="G262" s="828">
        <f>325000-1+277008-1464-42380+2000+5516-2400-1755-16510-3540-5000+2200-1000-360-400-8000-5000-10000-1800-800-4000-3000-3000-470-10000-10000-1000-2000-11152-40000-11243-31398-10000-12700-1000-5542-45000-26445-1270-15066-21831-1270-500-500-500+7642-1000-400-1000-750-300-508-1000-1000-2000-700-1494-1646-4000-2000-2000-1000-5000-16650-3312-1000+105000-100-1905-5965-56000-3273-7665-101600-16422-3600-2000+624+6000+26299+7000-3000-64400-4900+30433+42000-19584+45000+1800+123+118392-1000-1100-1500-7987-800-800-19000+11176-28450+19135-51497+82465-579-5000-3150+57000+7405</f>
        <v>351884</v>
      </c>
      <c r="H262" s="828">
        <f>-6017-5080-19760-11016-2280-5152-6061-5204-233-35663</f>
        <v>-96466</v>
      </c>
      <c r="I262" s="829"/>
      <c r="J262" s="830" t="s">
        <v>767</v>
      </c>
      <c r="K262" s="829"/>
    </row>
    <row r="263" spans="1:11" x14ac:dyDescent="0.25">
      <c r="A263" s="823"/>
      <c r="B263" s="831" t="s">
        <v>97</v>
      </c>
      <c r="C263" s="791">
        <v>2143704</v>
      </c>
      <c r="D263" s="791">
        <f>-201586-23961+374030-50000-750-10337-189000-583-18945+18945-27605-55920</f>
        <v>-185712</v>
      </c>
      <c r="E263" s="791">
        <f t="shared" si="18"/>
        <v>1957992</v>
      </c>
      <c r="F263" s="791">
        <f>SUM(F264:F277)</f>
        <v>0</v>
      </c>
      <c r="G263" s="791">
        <f>SUM(G264:G277)</f>
        <v>2714996</v>
      </c>
      <c r="H263" s="791">
        <f>SUM(H264:H277)</f>
        <v>-757004</v>
      </c>
      <c r="I263" s="792" t="s">
        <v>767</v>
      </c>
      <c r="J263" s="792" t="s">
        <v>767</v>
      </c>
      <c r="K263" s="793"/>
    </row>
    <row r="264" spans="1:11" x14ac:dyDescent="0.25">
      <c r="A264" s="832"/>
      <c r="B264" s="808" t="s">
        <v>152</v>
      </c>
      <c r="C264" s="833">
        <v>39854</v>
      </c>
      <c r="D264" s="833">
        <f>-10337-583-18945</f>
        <v>-29865</v>
      </c>
      <c r="E264" s="833">
        <f t="shared" si="18"/>
        <v>9989</v>
      </c>
      <c r="F264" s="833"/>
      <c r="G264" s="833">
        <f>41000-18945</f>
        <v>22055</v>
      </c>
      <c r="H264" s="833">
        <f>-447-699-10337-583</f>
        <v>-12066</v>
      </c>
      <c r="I264" s="834" t="s">
        <v>767</v>
      </c>
      <c r="J264" s="834"/>
      <c r="K264" s="834"/>
    </row>
    <row r="265" spans="1:11" ht="31.5" x14ac:dyDescent="0.25">
      <c r="A265" s="832"/>
      <c r="B265" s="808" t="s">
        <v>913</v>
      </c>
      <c r="C265" s="833">
        <v>8660</v>
      </c>
      <c r="D265" s="833">
        <f>18945-27605</f>
        <v>-8660</v>
      </c>
      <c r="E265" s="833">
        <f t="shared" si="18"/>
        <v>0</v>
      </c>
      <c r="F265" s="833"/>
      <c r="G265" s="833">
        <f>86000+18945</f>
        <v>104945</v>
      </c>
      <c r="H265" s="833">
        <f>-16644-60696-27605</f>
        <v>-104945</v>
      </c>
      <c r="I265" s="834" t="s">
        <v>767</v>
      </c>
      <c r="J265" s="834" t="s">
        <v>767</v>
      </c>
      <c r="K265" s="834"/>
    </row>
    <row r="266" spans="1:11" x14ac:dyDescent="0.25">
      <c r="A266" s="832"/>
      <c r="B266" s="808" t="s">
        <v>914</v>
      </c>
      <c r="C266" s="833">
        <v>111504</v>
      </c>
      <c r="D266" s="833">
        <v>-55920</v>
      </c>
      <c r="E266" s="833">
        <f t="shared" ref="E266:E278" si="22">SUM(C266:D266)</f>
        <v>55584</v>
      </c>
      <c r="F266" s="833"/>
      <c r="G266" s="833">
        <v>241000</v>
      </c>
      <c r="H266" s="833">
        <f>-55468-74028-55920</f>
        <v>-185416</v>
      </c>
      <c r="I266" s="834"/>
      <c r="J266" s="834" t="s">
        <v>767</v>
      </c>
      <c r="K266" s="834"/>
    </row>
    <row r="267" spans="1:11" ht="47.25" x14ac:dyDescent="0.25">
      <c r="A267" s="832"/>
      <c r="B267" s="808" t="s">
        <v>915</v>
      </c>
      <c r="C267" s="833">
        <v>820</v>
      </c>
      <c r="D267" s="833">
        <v>-750</v>
      </c>
      <c r="E267" s="833">
        <f t="shared" si="22"/>
        <v>70</v>
      </c>
      <c r="F267" s="833"/>
      <c r="G267" s="833">
        <f>100000+2360-750</f>
        <v>101610</v>
      </c>
      <c r="H267" s="833">
        <f>-762-876-4597-2757-2247-29702-3088-3400-9900-1925-8844-1200-200-1621-13500-1330-2360-13231</f>
        <v>-101540</v>
      </c>
      <c r="I267" s="834" t="s">
        <v>767</v>
      </c>
      <c r="J267" s="834"/>
      <c r="K267" s="834"/>
    </row>
    <row r="268" spans="1:11" ht="31.5" x14ac:dyDescent="0.25">
      <c r="A268" s="832"/>
      <c r="B268" s="808" t="s">
        <v>916</v>
      </c>
      <c r="C268" s="833">
        <v>0</v>
      </c>
      <c r="D268" s="833"/>
      <c r="E268" s="833">
        <f t="shared" si="22"/>
        <v>0</v>
      </c>
      <c r="F268" s="833"/>
      <c r="G268" s="833">
        <v>71047</v>
      </c>
      <c r="H268" s="833">
        <f>-7133-63914</f>
        <v>-71047</v>
      </c>
      <c r="I268" s="834" t="s">
        <v>767</v>
      </c>
      <c r="J268" s="834"/>
      <c r="K268" s="834"/>
    </row>
    <row r="269" spans="1:11" ht="31.5" x14ac:dyDescent="0.25">
      <c r="A269" s="832"/>
      <c r="B269" s="808" t="s">
        <v>917</v>
      </c>
      <c r="C269" s="833">
        <v>586</v>
      </c>
      <c r="D269" s="833"/>
      <c r="E269" s="833">
        <f t="shared" si="22"/>
        <v>586</v>
      </c>
      <c r="F269" s="833"/>
      <c r="G269" s="833">
        <v>586</v>
      </c>
      <c r="H269" s="833"/>
      <c r="I269" s="834" t="s">
        <v>767</v>
      </c>
      <c r="J269" s="834"/>
      <c r="K269" s="834"/>
    </row>
    <row r="270" spans="1:11" x14ac:dyDescent="0.25">
      <c r="A270" s="832"/>
      <c r="B270" s="808" t="s">
        <v>919</v>
      </c>
      <c r="C270" s="833">
        <v>35000</v>
      </c>
      <c r="D270" s="833"/>
      <c r="E270" s="833">
        <f t="shared" si="22"/>
        <v>35000</v>
      </c>
      <c r="F270" s="833"/>
      <c r="G270" s="833">
        <v>35000</v>
      </c>
      <c r="H270" s="833"/>
      <c r="I270" s="834" t="s">
        <v>767</v>
      </c>
      <c r="J270" s="834"/>
      <c r="K270" s="834"/>
    </row>
    <row r="271" spans="1:11" x14ac:dyDescent="0.25">
      <c r="A271" s="832" t="s">
        <v>918</v>
      </c>
      <c r="B271" s="808" t="s">
        <v>920</v>
      </c>
      <c r="C271" s="833">
        <v>0</v>
      </c>
      <c r="D271" s="833"/>
      <c r="E271" s="833">
        <f t="shared" si="22"/>
        <v>0</v>
      </c>
      <c r="F271" s="833"/>
      <c r="G271" s="833">
        <v>3500</v>
      </c>
      <c r="H271" s="833">
        <v>-3500</v>
      </c>
      <c r="I271" s="834" t="s">
        <v>767</v>
      </c>
      <c r="J271" s="834"/>
      <c r="K271" s="834"/>
    </row>
    <row r="272" spans="1:11" x14ac:dyDescent="0.25">
      <c r="A272" s="832"/>
      <c r="B272" s="808" t="s">
        <v>921</v>
      </c>
      <c r="C272" s="833">
        <v>90000</v>
      </c>
      <c r="D272" s="833"/>
      <c r="E272" s="833">
        <f t="shared" si="22"/>
        <v>90000</v>
      </c>
      <c r="F272" s="833"/>
      <c r="G272" s="833">
        <v>90000</v>
      </c>
      <c r="H272" s="833"/>
      <c r="I272" s="834" t="s">
        <v>767</v>
      </c>
      <c r="J272" s="834"/>
      <c r="K272" s="834"/>
    </row>
    <row r="273" spans="1:11" x14ac:dyDescent="0.25">
      <c r="A273" s="832"/>
      <c r="B273" s="808" t="s">
        <v>1124</v>
      </c>
      <c r="C273" s="833"/>
      <c r="D273" s="833">
        <f>44200-44200</f>
        <v>0</v>
      </c>
      <c r="E273" s="833">
        <f t="shared" si="22"/>
        <v>0</v>
      </c>
      <c r="F273" s="833"/>
      <c r="G273" s="833">
        <f>46868+75617+44200</f>
        <v>166685</v>
      </c>
      <c r="H273" s="833">
        <f>-46868-75617-44200</f>
        <v>-166685</v>
      </c>
      <c r="I273" s="834" t="s">
        <v>767</v>
      </c>
      <c r="J273" s="834"/>
      <c r="K273" s="834"/>
    </row>
    <row r="274" spans="1:11" ht="31.5" x14ac:dyDescent="0.25">
      <c r="A274" s="832"/>
      <c r="B274" s="808" t="s">
        <v>1125</v>
      </c>
      <c r="C274" s="833"/>
      <c r="D274" s="833">
        <f>1706-1706</f>
        <v>0</v>
      </c>
      <c r="E274" s="833">
        <f t="shared" si="22"/>
        <v>0</v>
      </c>
      <c r="F274" s="833"/>
      <c r="G274" s="833">
        <f>1811+3146+1706</f>
        <v>6663</v>
      </c>
      <c r="H274" s="833">
        <f>-1811-3146-1706</f>
        <v>-6663</v>
      </c>
      <c r="I274" s="834" t="s">
        <v>767</v>
      </c>
      <c r="J274" s="834"/>
      <c r="K274" s="834"/>
    </row>
    <row r="275" spans="1:11" x14ac:dyDescent="0.25">
      <c r="A275" s="832"/>
      <c r="B275" s="808" t="s">
        <v>1126</v>
      </c>
      <c r="C275" s="833"/>
      <c r="D275" s="833">
        <f>24367-24367</f>
        <v>0</v>
      </c>
      <c r="E275" s="833">
        <f t="shared" si="22"/>
        <v>0</v>
      </c>
      <c r="F275" s="833"/>
      <c r="G275" s="833">
        <f>13877+9881+40371+24367</f>
        <v>88496</v>
      </c>
      <c r="H275" s="833">
        <f>-13877-9881-40371-24367</f>
        <v>-88496</v>
      </c>
      <c r="I275" s="834" t="s">
        <v>767</v>
      </c>
      <c r="J275" s="834"/>
      <c r="K275" s="834"/>
    </row>
    <row r="276" spans="1:11" x14ac:dyDescent="0.25">
      <c r="A276" s="832"/>
      <c r="B276" s="808" t="s">
        <v>1127</v>
      </c>
      <c r="C276" s="833"/>
      <c r="D276" s="833">
        <f>5416+474-5416-474+6142-6142+4614-4614</f>
        <v>0</v>
      </c>
      <c r="E276" s="833">
        <f t="shared" si="22"/>
        <v>0</v>
      </c>
      <c r="F276" s="833"/>
      <c r="G276" s="833">
        <f>5890+6142+4614</f>
        <v>16646</v>
      </c>
      <c r="H276" s="833">
        <f>-5890-6142-4614</f>
        <v>-16646</v>
      </c>
      <c r="I276" s="834" t="s">
        <v>767</v>
      </c>
      <c r="J276" s="834"/>
      <c r="K276" s="834"/>
    </row>
    <row r="277" spans="1:11" ht="16.5" thickBot="1" x14ac:dyDescent="0.3">
      <c r="A277" s="832"/>
      <c r="B277" s="808" t="s">
        <v>1128</v>
      </c>
      <c r="C277" s="833">
        <v>1857280</v>
      </c>
      <c r="D277" s="833">
        <f>-201586-23961+374030-50000-189000</f>
        <v>-90517</v>
      </c>
      <c r="E277" s="833">
        <f t="shared" si="22"/>
        <v>1766763</v>
      </c>
      <c r="F277" s="833"/>
      <c r="G277" s="833">
        <f>2300000-57856-43000-10040-1824-330000-201586-23961+374030-50000-189000</f>
        <v>1766763</v>
      </c>
      <c r="H277" s="833"/>
      <c r="I277" s="834" t="s">
        <v>767</v>
      </c>
      <c r="J277" s="834"/>
      <c r="K277" s="834"/>
    </row>
    <row r="278" spans="1:11" ht="16.5" thickBot="1" x14ac:dyDescent="0.3">
      <c r="A278" s="835"/>
      <c r="B278" s="824" t="s">
        <v>98</v>
      </c>
      <c r="C278" s="836">
        <f>SUM(C261:C263)</f>
        <v>54389656</v>
      </c>
      <c r="D278" s="836">
        <f>SUM(D261:D263)</f>
        <v>179073</v>
      </c>
      <c r="E278" s="836">
        <f t="shared" si="22"/>
        <v>54568729</v>
      </c>
      <c r="F278" s="836">
        <f>SUM(F261:F263)</f>
        <v>373586</v>
      </c>
      <c r="G278" s="836">
        <f>SUM(G261:G263)</f>
        <v>55125182</v>
      </c>
      <c r="H278" s="836">
        <f>SUM(H261:H263)</f>
        <v>-930039</v>
      </c>
      <c r="I278" s="837" t="s">
        <v>162</v>
      </c>
      <c r="J278" s="837" t="s">
        <v>162</v>
      </c>
      <c r="K278" s="837" t="s">
        <v>162</v>
      </c>
    </row>
    <row r="279" spans="1:11" hidden="1" x14ac:dyDescent="0.25"/>
    <row r="280" spans="1:11" hidden="1" x14ac:dyDescent="0.25">
      <c r="G280" s="838" t="s">
        <v>1209</v>
      </c>
      <c r="H280" s="776">
        <v>-299299</v>
      </c>
    </row>
    <row r="281" spans="1:11" hidden="1" x14ac:dyDescent="0.25">
      <c r="E281" s="839"/>
      <c r="H281" s="839">
        <f>+H278-H280</f>
        <v>-630740</v>
      </c>
      <c r="I281" s="840">
        <v>294959</v>
      </c>
      <c r="J281" s="841" t="s">
        <v>1210</v>
      </c>
      <c r="K281" s="840"/>
    </row>
    <row r="282" spans="1:11" hidden="1" x14ac:dyDescent="0.25"/>
    <row r="283" spans="1:11" hidden="1" x14ac:dyDescent="0.25">
      <c r="H283" s="839">
        <f>+H281+I281</f>
        <v>-335781</v>
      </c>
      <c r="I283" s="842" t="s">
        <v>1146</v>
      </c>
    </row>
    <row r="285" spans="1:11" x14ac:dyDescent="0.25">
      <c r="D285" s="1117"/>
      <c r="E285" s="839"/>
      <c r="G285" s="839"/>
      <c r="H285" s="839"/>
      <c r="I285" s="840"/>
      <c r="J285" s="840"/>
      <c r="K285" s="840"/>
    </row>
  </sheetData>
  <mergeCells count="1">
    <mergeCell ref="A1:K1"/>
  </mergeCells>
  <printOptions horizontalCentered="1"/>
  <pageMargins left="0.19685039370078741" right="0.27559055118110237" top="0.9055118110236221" bottom="0.39370078740157483" header="0.15748031496062992" footer="0.15748031496062992"/>
  <pageSetup paperSize="9" scale="51" fitToHeight="0" orientation="portrait" r:id="rId1"/>
  <headerFooter alignWithMargins="0">
    <oddHeader>&amp;R&amp;"Times New Roman CE,Dőlt" 11. melléklet
  az 5/2019.(II.15.) önkormányzati rendelethez&amp;X10</oddHeader>
    <oddFooter>&amp;L&amp;X10&amp;X Módosította a  28/2019.(XII.13.) önkormányzati rendelet 8.§ (9) bekezdése, hatályos 2019. december 16-tól.</oddFooter>
  </headerFooter>
  <rowBreaks count="2" manualBreakCount="2">
    <brk id="73" max="10" man="1"/>
    <brk id="216"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4668E-BEA5-46A3-9B9C-A90088FF9ED5}">
  <sheetPr>
    <tabColor theme="7" tint="0.39997558519241921"/>
  </sheetPr>
  <dimension ref="A1:F134"/>
  <sheetViews>
    <sheetView view="pageBreakPreview" topLeftCell="A43" zoomScale="90" zoomScaleNormal="90" zoomScaleSheetLayoutView="90" workbookViewId="0">
      <selection activeCell="B148" sqref="B148"/>
    </sheetView>
  </sheetViews>
  <sheetFormatPr defaultRowHeight="15.75" x14ac:dyDescent="0.25"/>
  <cols>
    <col min="1" max="1" width="68.875" style="843" customWidth="1"/>
    <col min="2" max="2" width="19.375" style="844" customWidth="1"/>
    <col min="3" max="3" width="15.625" style="844" customWidth="1"/>
    <col min="4" max="4" width="17.5" style="844" customWidth="1"/>
    <col min="5" max="5" width="21.75" style="843" hidden="1" customWidth="1"/>
    <col min="6" max="254" width="9" style="843"/>
    <col min="255" max="255" width="56" style="843" bestFit="1" customWidth="1"/>
    <col min="256" max="256" width="25.5" style="843" customWidth="1"/>
    <col min="257" max="257" width="13.25" style="843" customWidth="1"/>
    <col min="258" max="258" width="49.75" style="843" customWidth="1"/>
    <col min="259" max="510" width="9" style="843"/>
    <col min="511" max="511" width="56" style="843" bestFit="1" customWidth="1"/>
    <col min="512" max="512" width="25.5" style="843" customWidth="1"/>
    <col min="513" max="513" width="13.25" style="843" customWidth="1"/>
    <col min="514" max="514" width="49.75" style="843" customWidth="1"/>
    <col min="515" max="766" width="9" style="843"/>
    <col min="767" max="767" width="56" style="843" bestFit="1" customWidth="1"/>
    <col min="768" max="768" width="25.5" style="843" customWidth="1"/>
    <col min="769" max="769" width="13.25" style="843" customWidth="1"/>
    <col min="770" max="770" width="49.75" style="843" customWidth="1"/>
    <col min="771" max="1022" width="9" style="843"/>
    <col min="1023" max="1023" width="56" style="843" bestFit="1" customWidth="1"/>
    <col min="1024" max="1024" width="25.5" style="843" customWidth="1"/>
    <col min="1025" max="1025" width="13.25" style="843" customWidth="1"/>
    <col min="1026" max="1026" width="49.75" style="843" customWidth="1"/>
    <col min="1027" max="1278" width="9" style="843"/>
    <col min="1279" max="1279" width="56" style="843" bestFit="1" customWidth="1"/>
    <col min="1280" max="1280" width="25.5" style="843" customWidth="1"/>
    <col min="1281" max="1281" width="13.25" style="843" customWidth="1"/>
    <col min="1282" max="1282" width="49.75" style="843" customWidth="1"/>
    <col min="1283" max="1534" width="9" style="843"/>
    <col min="1535" max="1535" width="56" style="843" bestFit="1" customWidth="1"/>
    <col min="1536" max="1536" width="25.5" style="843" customWidth="1"/>
    <col min="1537" max="1537" width="13.25" style="843" customWidth="1"/>
    <col min="1538" max="1538" width="49.75" style="843" customWidth="1"/>
    <col min="1539" max="1790" width="9" style="843"/>
    <col min="1791" max="1791" width="56" style="843" bestFit="1" customWidth="1"/>
    <col min="1792" max="1792" width="25.5" style="843" customWidth="1"/>
    <col min="1793" max="1793" width="13.25" style="843" customWidth="1"/>
    <col min="1794" max="1794" width="49.75" style="843" customWidth="1"/>
    <col min="1795" max="2046" width="9" style="843"/>
    <col min="2047" max="2047" width="56" style="843" bestFit="1" customWidth="1"/>
    <col min="2048" max="2048" width="25.5" style="843" customWidth="1"/>
    <col min="2049" max="2049" width="13.25" style="843" customWidth="1"/>
    <col min="2050" max="2050" width="49.75" style="843" customWidth="1"/>
    <col min="2051" max="2302" width="9" style="843"/>
    <col min="2303" max="2303" width="56" style="843" bestFit="1" customWidth="1"/>
    <col min="2304" max="2304" width="25.5" style="843" customWidth="1"/>
    <col min="2305" max="2305" width="13.25" style="843" customWidth="1"/>
    <col min="2306" max="2306" width="49.75" style="843" customWidth="1"/>
    <col min="2307" max="2558" width="9" style="843"/>
    <col min="2559" max="2559" width="56" style="843" bestFit="1" customWidth="1"/>
    <col min="2560" max="2560" width="25.5" style="843" customWidth="1"/>
    <col min="2561" max="2561" width="13.25" style="843" customWidth="1"/>
    <col min="2562" max="2562" width="49.75" style="843" customWidth="1"/>
    <col min="2563" max="2814" width="9" style="843"/>
    <col min="2815" max="2815" width="56" style="843" bestFit="1" customWidth="1"/>
    <col min="2816" max="2816" width="25.5" style="843" customWidth="1"/>
    <col min="2817" max="2817" width="13.25" style="843" customWidth="1"/>
    <col min="2818" max="2818" width="49.75" style="843" customWidth="1"/>
    <col min="2819" max="3070" width="9" style="843"/>
    <col min="3071" max="3071" width="56" style="843" bestFit="1" customWidth="1"/>
    <col min="3072" max="3072" width="25.5" style="843" customWidth="1"/>
    <col min="3073" max="3073" width="13.25" style="843" customWidth="1"/>
    <col min="3074" max="3074" width="49.75" style="843" customWidth="1"/>
    <col min="3075" max="3326" width="9" style="843"/>
    <col min="3327" max="3327" width="56" style="843" bestFit="1" customWidth="1"/>
    <col min="3328" max="3328" width="25.5" style="843" customWidth="1"/>
    <col min="3329" max="3329" width="13.25" style="843" customWidth="1"/>
    <col min="3330" max="3330" width="49.75" style="843" customWidth="1"/>
    <col min="3331" max="3582" width="9" style="843"/>
    <col min="3583" max="3583" width="56" style="843" bestFit="1" customWidth="1"/>
    <col min="3584" max="3584" width="25.5" style="843" customWidth="1"/>
    <col min="3585" max="3585" width="13.25" style="843" customWidth="1"/>
    <col min="3586" max="3586" width="49.75" style="843" customWidth="1"/>
    <col min="3587" max="3838" width="9" style="843"/>
    <col min="3839" max="3839" width="56" style="843" bestFit="1" customWidth="1"/>
    <col min="3840" max="3840" width="25.5" style="843" customWidth="1"/>
    <col min="3841" max="3841" width="13.25" style="843" customWidth="1"/>
    <col min="3842" max="3842" width="49.75" style="843" customWidth="1"/>
    <col min="3843" max="4094" width="9" style="843"/>
    <col min="4095" max="4095" width="56" style="843" bestFit="1" customWidth="1"/>
    <col min="4096" max="4096" width="25.5" style="843" customWidth="1"/>
    <col min="4097" max="4097" width="13.25" style="843" customWidth="1"/>
    <col min="4098" max="4098" width="49.75" style="843" customWidth="1"/>
    <col min="4099" max="4350" width="9" style="843"/>
    <col min="4351" max="4351" width="56" style="843" bestFit="1" customWidth="1"/>
    <col min="4352" max="4352" width="25.5" style="843" customWidth="1"/>
    <col min="4353" max="4353" width="13.25" style="843" customWidth="1"/>
    <col min="4354" max="4354" width="49.75" style="843" customWidth="1"/>
    <col min="4355" max="4606" width="9" style="843"/>
    <col min="4607" max="4607" width="56" style="843" bestFit="1" customWidth="1"/>
    <col min="4608" max="4608" width="25.5" style="843" customWidth="1"/>
    <col min="4609" max="4609" width="13.25" style="843" customWidth="1"/>
    <col min="4610" max="4610" width="49.75" style="843" customWidth="1"/>
    <col min="4611" max="4862" width="9" style="843"/>
    <col min="4863" max="4863" width="56" style="843" bestFit="1" customWidth="1"/>
    <col min="4864" max="4864" width="25.5" style="843" customWidth="1"/>
    <col min="4865" max="4865" width="13.25" style="843" customWidth="1"/>
    <col min="4866" max="4866" width="49.75" style="843" customWidth="1"/>
    <col min="4867" max="5118" width="9" style="843"/>
    <col min="5119" max="5119" width="56" style="843" bestFit="1" customWidth="1"/>
    <col min="5120" max="5120" width="25.5" style="843" customWidth="1"/>
    <col min="5121" max="5121" width="13.25" style="843" customWidth="1"/>
    <col min="5122" max="5122" width="49.75" style="843" customWidth="1"/>
    <col min="5123" max="5374" width="9" style="843"/>
    <col min="5375" max="5375" width="56" style="843" bestFit="1" customWidth="1"/>
    <col min="5376" max="5376" width="25.5" style="843" customWidth="1"/>
    <col min="5377" max="5377" width="13.25" style="843" customWidth="1"/>
    <col min="5378" max="5378" width="49.75" style="843" customWidth="1"/>
    <col min="5379" max="5630" width="9" style="843"/>
    <col min="5631" max="5631" width="56" style="843" bestFit="1" customWidth="1"/>
    <col min="5632" max="5632" width="25.5" style="843" customWidth="1"/>
    <col min="5633" max="5633" width="13.25" style="843" customWidth="1"/>
    <col min="5634" max="5634" width="49.75" style="843" customWidth="1"/>
    <col min="5635" max="5886" width="9" style="843"/>
    <col min="5887" max="5887" width="56" style="843" bestFit="1" customWidth="1"/>
    <col min="5888" max="5888" width="25.5" style="843" customWidth="1"/>
    <col min="5889" max="5889" width="13.25" style="843" customWidth="1"/>
    <col min="5890" max="5890" width="49.75" style="843" customWidth="1"/>
    <col min="5891" max="6142" width="9" style="843"/>
    <col min="6143" max="6143" width="56" style="843" bestFit="1" customWidth="1"/>
    <col min="6144" max="6144" width="25.5" style="843" customWidth="1"/>
    <col min="6145" max="6145" width="13.25" style="843" customWidth="1"/>
    <col min="6146" max="6146" width="49.75" style="843" customWidth="1"/>
    <col min="6147" max="6398" width="9" style="843"/>
    <col min="6399" max="6399" width="56" style="843" bestFit="1" customWidth="1"/>
    <col min="6400" max="6400" width="25.5" style="843" customWidth="1"/>
    <col min="6401" max="6401" width="13.25" style="843" customWidth="1"/>
    <col min="6402" max="6402" width="49.75" style="843" customWidth="1"/>
    <col min="6403" max="6654" width="9" style="843"/>
    <col min="6655" max="6655" width="56" style="843" bestFit="1" customWidth="1"/>
    <col min="6656" max="6656" width="25.5" style="843" customWidth="1"/>
    <col min="6657" max="6657" width="13.25" style="843" customWidth="1"/>
    <col min="6658" max="6658" width="49.75" style="843" customWidth="1"/>
    <col min="6659" max="6910" width="9" style="843"/>
    <col min="6911" max="6911" width="56" style="843" bestFit="1" customWidth="1"/>
    <col min="6912" max="6912" width="25.5" style="843" customWidth="1"/>
    <col min="6913" max="6913" width="13.25" style="843" customWidth="1"/>
    <col min="6914" max="6914" width="49.75" style="843" customWidth="1"/>
    <col min="6915" max="7166" width="9" style="843"/>
    <col min="7167" max="7167" width="56" style="843" bestFit="1" customWidth="1"/>
    <col min="7168" max="7168" width="25.5" style="843" customWidth="1"/>
    <col min="7169" max="7169" width="13.25" style="843" customWidth="1"/>
    <col min="7170" max="7170" width="49.75" style="843" customWidth="1"/>
    <col min="7171" max="7422" width="9" style="843"/>
    <col min="7423" max="7423" width="56" style="843" bestFit="1" customWidth="1"/>
    <col min="7424" max="7424" width="25.5" style="843" customWidth="1"/>
    <col min="7425" max="7425" width="13.25" style="843" customWidth="1"/>
    <col min="7426" max="7426" width="49.75" style="843" customWidth="1"/>
    <col min="7427" max="7678" width="9" style="843"/>
    <col min="7679" max="7679" width="56" style="843" bestFit="1" customWidth="1"/>
    <col min="7680" max="7680" width="25.5" style="843" customWidth="1"/>
    <col min="7681" max="7681" width="13.25" style="843" customWidth="1"/>
    <col min="7682" max="7682" width="49.75" style="843" customWidth="1"/>
    <col min="7683" max="7934" width="9" style="843"/>
    <col min="7935" max="7935" width="56" style="843" bestFit="1" customWidth="1"/>
    <col min="7936" max="7936" width="25.5" style="843" customWidth="1"/>
    <col min="7937" max="7937" width="13.25" style="843" customWidth="1"/>
    <col min="7938" max="7938" width="49.75" style="843" customWidth="1"/>
    <col min="7939" max="8190" width="9" style="843"/>
    <col min="8191" max="8191" width="56" style="843" bestFit="1" customWidth="1"/>
    <col min="8192" max="8192" width="25.5" style="843" customWidth="1"/>
    <col min="8193" max="8193" width="13.25" style="843" customWidth="1"/>
    <col min="8194" max="8194" width="49.75" style="843" customWidth="1"/>
    <col min="8195" max="8446" width="9" style="843"/>
    <col min="8447" max="8447" width="56" style="843" bestFit="1" customWidth="1"/>
    <col min="8448" max="8448" width="25.5" style="843" customWidth="1"/>
    <col min="8449" max="8449" width="13.25" style="843" customWidth="1"/>
    <col min="8450" max="8450" width="49.75" style="843" customWidth="1"/>
    <col min="8451" max="8702" width="9" style="843"/>
    <col min="8703" max="8703" width="56" style="843" bestFit="1" customWidth="1"/>
    <col min="8704" max="8704" width="25.5" style="843" customWidth="1"/>
    <col min="8705" max="8705" width="13.25" style="843" customWidth="1"/>
    <col min="8706" max="8706" width="49.75" style="843" customWidth="1"/>
    <col min="8707" max="8958" width="9" style="843"/>
    <col min="8959" max="8959" width="56" style="843" bestFit="1" customWidth="1"/>
    <col min="8960" max="8960" width="25.5" style="843" customWidth="1"/>
    <col min="8961" max="8961" width="13.25" style="843" customWidth="1"/>
    <col min="8962" max="8962" width="49.75" style="843" customWidth="1"/>
    <col min="8963" max="9214" width="9" style="843"/>
    <col min="9215" max="9215" width="56" style="843" bestFit="1" customWidth="1"/>
    <col min="9216" max="9216" width="25.5" style="843" customWidth="1"/>
    <col min="9217" max="9217" width="13.25" style="843" customWidth="1"/>
    <col min="9218" max="9218" width="49.75" style="843" customWidth="1"/>
    <col min="9219" max="9470" width="9" style="843"/>
    <col min="9471" max="9471" width="56" style="843" bestFit="1" customWidth="1"/>
    <col min="9472" max="9472" width="25.5" style="843" customWidth="1"/>
    <col min="9473" max="9473" width="13.25" style="843" customWidth="1"/>
    <col min="9474" max="9474" width="49.75" style="843" customWidth="1"/>
    <col min="9475" max="9726" width="9" style="843"/>
    <col min="9727" max="9727" width="56" style="843" bestFit="1" customWidth="1"/>
    <col min="9728" max="9728" width="25.5" style="843" customWidth="1"/>
    <col min="9729" max="9729" width="13.25" style="843" customWidth="1"/>
    <col min="9730" max="9730" width="49.75" style="843" customWidth="1"/>
    <col min="9731" max="9982" width="9" style="843"/>
    <col min="9983" max="9983" width="56" style="843" bestFit="1" customWidth="1"/>
    <col min="9984" max="9984" width="25.5" style="843" customWidth="1"/>
    <col min="9985" max="9985" width="13.25" style="843" customWidth="1"/>
    <col min="9986" max="9986" width="49.75" style="843" customWidth="1"/>
    <col min="9987" max="10238" width="9" style="843"/>
    <col min="10239" max="10239" width="56" style="843" bestFit="1" customWidth="1"/>
    <col min="10240" max="10240" width="25.5" style="843" customWidth="1"/>
    <col min="10241" max="10241" width="13.25" style="843" customWidth="1"/>
    <col min="10242" max="10242" width="49.75" style="843" customWidth="1"/>
    <col min="10243" max="10494" width="9" style="843"/>
    <col min="10495" max="10495" width="56" style="843" bestFit="1" customWidth="1"/>
    <col min="10496" max="10496" width="25.5" style="843" customWidth="1"/>
    <col min="10497" max="10497" width="13.25" style="843" customWidth="1"/>
    <col min="10498" max="10498" width="49.75" style="843" customWidth="1"/>
    <col min="10499" max="10750" width="9" style="843"/>
    <col min="10751" max="10751" width="56" style="843" bestFit="1" customWidth="1"/>
    <col min="10752" max="10752" width="25.5" style="843" customWidth="1"/>
    <col min="10753" max="10753" width="13.25" style="843" customWidth="1"/>
    <col min="10754" max="10754" width="49.75" style="843" customWidth="1"/>
    <col min="10755" max="11006" width="9" style="843"/>
    <col min="11007" max="11007" width="56" style="843" bestFit="1" customWidth="1"/>
    <col min="11008" max="11008" width="25.5" style="843" customWidth="1"/>
    <col min="11009" max="11009" width="13.25" style="843" customWidth="1"/>
    <col min="11010" max="11010" width="49.75" style="843" customWidth="1"/>
    <col min="11011" max="11262" width="9" style="843"/>
    <col min="11263" max="11263" width="56" style="843" bestFit="1" customWidth="1"/>
    <col min="11264" max="11264" width="25.5" style="843" customWidth="1"/>
    <col min="11265" max="11265" width="13.25" style="843" customWidth="1"/>
    <col min="11266" max="11266" width="49.75" style="843" customWidth="1"/>
    <col min="11267" max="11518" width="9" style="843"/>
    <col min="11519" max="11519" width="56" style="843" bestFit="1" customWidth="1"/>
    <col min="11520" max="11520" width="25.5" style="843" customWidth="1"/>
    <col min="11521" max="11521" width="13.25" style="843" customWidth="1"/>
    <col min="11522" max="11522" width="49.75" style="843" customWidth="1"/>
    <col min="11523" max="11774" width="9" style="843"/>
    <col min="11775" max="11775" width="56" style="843" bestFit="1" customWidth="1"/>
    <col min="11776" max="11776" width="25.5" style="843" customWidth="1"/>
    <col min="11777" max="11777" width="13.25" style="843" customWidth="1"/>
    <col min="11778" max="11778" width="49.75" style="843" customWidth="1"/>
    <col min="11779" max="12030" width="9" style="843"/>
    <col min="12031" max="12031" width="56" style="843" bestFit="1" customWidth="1"/>
    <col min="12032" max="12032" width="25.5" style="843" customWidth="1"/>
    <col min="12033" max="12033" width="13.25" style="843" customWidth="1"/>
    <col min="12034" max="12034" width="49.75" style="843" customWidth="1"/>
    <col min="12035" max="12286" width="9" style="843"/>
    <col min="12287" max="12287" width="56" style="843" bestFit="1" customWidth="1"/>
    <col min="12288" max="12288" width="25.5" style="843" customWidth="1"/>
    <col min="12289" max="12289" width="13.25" style="843" customWidth="1"/>
    <col min="12290" max="12290" width="49.75" style="843" customWidth="1"/>
    <col min="12291" max="12542" width="9" style="843"/>
    <col min="12543" max="12543" width="56" style="843" bestFit="1" customWidth="1"/>
    <col min="12544" max="12544" width="25.5" style="843" customWidth="1"/>
    <col min="12545" max="12545" width="13.25" style="843" customWidth="1"/>
    <col min="12546" max="12546" width="49.75" style="843" customWidth="1"/>
    <col min="12547" max="12798" width="9" style="843"/>
    <col min="12799" max="12799" width="56" style="843" bestFit="1" customWidth="1"/>
    <col min="12800" max="12800" width="25.5" style="843" customWidth="1"/>
    <col min="12801" max="12801" width="13.25" style="843" customWidth="1"/>
    <col min="12802" max="12802" width="49.75" style="843" customWidth="1"/>
    <col min="12803" max="13054" width="9" style="843"/>
    <col min="13055" max="13055" width="56" style="843" bestFit="1" customWidth="1"/>
    <col min="13056" max="13056" width="25.5" style="843" customWidth="1"/>
    <col min="13057" max="13057" width="13.25" style="843" customWidth="1"/>
    <col min="13058" max="13058" width="49.75" style="843" customWidth="1"/>
    <col min="13059" max="13310" width="9" style="843"/>
    <col min="13311" max="13311" width="56" style="843" bestFit="1" customWidth="1"/>
    <col min="13312" max="13312" width="25.5" style="843" customWidth="1"/>
    <col min="13313" max="13313" width="13.25" style="843" customWidth="1"/>
    <col min="13314" max="13314" width="49.75" style="843" customWidth="1"/>
    <col min="13315" max="13566" width="9" style="843"/>
    <col min="13567" max="13567" width="56" style="843" bestFit="1" customWidth="1"/>
    <col min="13568" max="13568" width="25.5" style="843" customWidth="1"/>
    <col min="13569" max="13569" width="13.25" style="843" customWidth="1"/>
    <col min="13570" max="13570" width="49.75" style="843" customWidth="1"/>
    <col min="13571" max="13822" width="9" style="843"/>
    <col min="13823" max="13823" width="56" style="843" bestFit="1" customWidth="1"/>
    <col min="13824" max="13824" width="25.5" style="843" customWidth="1"/>
    <col min="13825" max="13825" width="13.25" style="843" customWidth="1"/>
    <col min="13826" max="13826" width="49.75" style="843" customWidth="1"/>
    <col min="13827" max="14078" width="9" style="843"/>
    <col min="14079" max="14079" width="56" style="843" bestFit="1" customWidth="1"/>
    <col min="14080" max="14080" width="25.5" style="843" customWidth="1"/>
    <col min="14081" max="14081" width="13.25" style="843" customWidth="1"/>
    <col min="14082" max="14082" width="49.75" style="843" customWidth="1"/>
    <col min="14083" max="14334" width="9" style="843"/>
    <col min="14335" max="14335" width="56" style="843" bestFit="1" customWidth="1"/>
    <col min="14336" max="14336" width="25.5" style="843" customWidth="1"/>
    <col min="14337" max="14337" width="13.25" style="843" customWidth="1"/>
    <col min="14338" max="14338" width="49.75" style="843" customWidth="1"/>
    <col min="14339" max="14590" width="9" style="843"/>
    <col min="14591" max="14591" width="56" style="843" bestFit="1" customWidth="1"/>
    <col min="14592" max="14592" width="25.5" style="843" customWidth="1"/>
    <col min="14593" max="14593" width="13.25" style="843" customWidth="1"/>
    <col min="14594" max="14594" width="49.75" style="843" customWidth="1"/>
    <col min="14595" max="14846" width="9" style="843"/>
    <col min="14847" max="14847" width="56" style="843" bestFit="1" customWidth="1"/>
    <col min="14848" max="14848" width="25.5" style="843" customWidth="1"/>
    <col min="14849" max="14849" width="13.25" style="843" customWidth="1"/>
    <col min="14850" max="14850" width="49.75" style="843" customWidth="1"/>
    <col min="14851" max="15102" width="9" style="843"/>
    <col min="15103" max="15103" width="56" style="843" bestFit="1" customWidth="1"/>
    <col min="15104" max="15104" width="25.5" style="843" customWidth="1"/>
    <col min="15105" max="15105" width="13.25" style="843" customWidth="1"/>
    <col min="15106" max="15106" width="49.75" style="843" customWidth="1"/>
    <col min="15107" max="15358" width="9" style="843"/>
    <col min="15359" max="15359" width="56" style="843" bestFit="1" customWidth="1"/>
    <col min="15360" max="15360" width="25.5" style="843" customWidth="1"/>
    <col min="15361" max="15361" width="13.25" style="843" customWidth="1"/>
    <col min="15362" max="15362" width="49.75" style="843" customWidth="1"/>
    <col min="15363" max="15614" width="9" style="843"/>
    <col min="15615" max="15615" width="56" style="843" bestFit="1" customWidth="1"/>
    <col min="15616" max="15616" width="25.5" style="843" customWidth="1"/>
    <col min="15617" max="15617" width="13.25" style="843" customWidth="1"/>
    <col min="15618" max="15618" width="49.75" style="843" customWidth="1"/>
    <col min="15619" max="15870" width="9" style="843"/>
    <col min="15871" max="15871" width="56" style="843" bestFit="1" customWidth="1"/>
    <col min="15872" max="15872" width="25.5" style="843" customWidth="1"/>
    <col min="15873" max="15873" width="13.25" style="843" customWidth="1"/>
    <col min="15874" max="15874" width="49.75" style="843" customWidth="1"/>
    <col min="15875" max="16126" width="9" style="843"/>
    <col min="16127" max="16127" width="56" style="843" bestFit="1" customWidth="1"/>
    <col min="16128" max="16128" width="25.5" style="843" customWidth="1"/>
    <col min="16129" max="16129" width="13.25" style="843" customWidth="1"/>
    <col min="16130" max="16130" width="49.75" style="843" customWidth="1"/>
    <col min="16131" max="16384" width="9" style="843"/>
  </cols>
  <sheetData>
    <row r="1" spans="1:4" ht="31.5" customHeight="1" x14ac:dyDescent="0.25">
      <c r="A1" s="1063" t="s">
        <v>875</v>
      </c>
      <c r="B1" s="1063"/>
      <c r="C1" s="1063"/>
      <c r="D1" s="1063"/>
    </row>
    <row r="2" spans="1:4" x14ac:dyDescent="0.25">
      <c r="A2" s="1063" t="s">
        <v>1228</v>
      </c>
      <c r="B2" s="1063"/>
      <c r="C2" s="1063"/>
      <c r="D2" s="1063"/>
    </row>
    <row r="3" spans="1:4" ht="16.5" thickBot="1" x14ac:dyDescent="0.3"/>
    <row r="4" spans="1:4" s="847" customFormat="1" ht="72" customHeight="1" thickTop="1" thickBot="1" x14ac:dyDescent="0.3">
      <c r="A4" s="845" t="s">
        <v>543</v>
      </c>
      <c r="B4" s="846" t="s">
        <v>998</v>
      </c>
      <c r="C4" s="846" t="s">
        <v>997</v>
      </c>
      <c r="D4" s="846" t="s">
        <v>1151</v>
      </c>
    </row>
    <row r="5" spans="1:4" s="817" customFormat="1" ht="16.5" thickTop="1" x14ac:dyDescent="0.25">
      <c r="A5" s="848"/>
      <c r="B5" s="849"/>
      <c r="C5" s="849"/>
      <c r="D5" s="849"/>
    </row>
    <row r="6" spans="1:4" s="817" customFormat="1" x14ac:dyDescent="0.25">
      <c r="A6" s="848" t="s">
        <v>251</v>
      </c>
      <c r="B6" s="849"/>
      <c r="C6" s="849"/>
      <c r="D6" s="849"/>
    </row>
    <row r="7" spans="1:4" x14ac:dyDescent="0.25">
      <c r="A7" s="850" t="s">
        <v>252</v>
      </c>
      <c r="B7" s="851">
        <v>3315</v>
      </c>
      <c r="C7" s="851"/>
      <c r="D7" s="851">
        <f>SUM(B7:C7)</f>
        <v>3315</v>
      </c>
    </row>
    <row r="8" spans="1:4" ht="31.5" x14ac:dyDescent="0.25">
      <c r="A8" s="850" t="s">
        <v>876</v>
      </c>
      <c r="B8" s="851">
        <v>4500</v>
      </c>
      <c r="C8" s="851"/>
      <c r="D8" s="851">
        <f t="shared" ref="D8:D77" si="0">SUM(B8:C8)</f>
        <v>4500</v>
      </c>
    </row>
    <row r="9" spans="1:4" x14ac:dyDescent="0.25">
      <c r="A9" s="852" t="s">
        <v>544</v>
      </c>
      <c r="B9" s="853">
        <f>SUM(B7:B8)</f>
        <v>7815</v>
      </c>
      <c r="C9" s="853">
        <f>SUM(C7:C8)</f>
        <v>0</v>
      </c>
      <c r="D9" s="853">
        <f t="shared" si="0"/>
        <v>7815</v>
      </c>
    </row>
    <row r="10" spans="1:4" x14ac:dyDescent="0.25">
      <c r="A10" s="850"/>
      <c r="B10" s="851"/>
      <c r="C10" s="851"/>
      <c r="D10" s="851"/>
    </row>
    <row r="11" spans="1:4" x14ac:dyDescent="0.25">
      <c r="A11" s="854" t="s">
        <v>545</v>
      </c>
      <c r="B11" s="855"/>
      <c r="C11" s="855"/>
      <c r="D11" s="855"/>
    </row>
    <row r="12" spans="1:4" x14ac:dyDescent="0.25">
      <c r="A12" s="856" t="s">
        <v>673</v>
      </c>
      <c r="B12" s="857">
        <f>SUM(B13:B30)</f>
        <v>1976677</v>
      </c>
      <c r="C12" s="857">
        <f>SUM(C13:C30)</f>
        <v>0</v>
      </c>
      <c r="D12" s="857">
        <f t="shared" si="0"/>
        <v>1976677</v>
      </c>
    </row>
    <row r="13" spans="1:4" x14ac:dyDescent="0.25">
      <c r="A13" s="858" t="s">
        <v>931</v>
      </c>
      <c r="B13" s="859">
        <v>54851</v>
      </c>
      <c r="C13" s="859"/>
      <c r="D13" s="859">
        <f t="shared" si="0"/>
        <v>54851</v>
      </c>
    </row>
    <row r="14" spans="1:4" x14ac:dyDescent="0.25">
      <c r="A14" s="858" t="s">
        <v>594</v>
      </c>
      <c r="B14" s="859">
        <v>762</v>
      </c>
      <c r="C14" s="859"/>
      <c r="D14" s="859">
        <f t="shared" si="0"/>
        <v>762</v>
      </c>
    </row>
    <row r="15" spans="1:4" x14ac:dyDescent="0.25">
      <c r="A15" s="858" t="s">
        <v>546</v>
      </c>
      <c r="B15" s="859">
        <v>38587</v>
      </c>
      <c r="C15" s="859"/>
      <c r="D15" s="859">
        <f t="shared" si="0"/>
        <v>38587</v>
      </c>
    </row>
    <row r="16" spans="1:4" x14ac:dyDescent="0.25">
      <c r="A16" s="858" t="s">
        <v>674</v>
      </c>
      <c r="B16" s="859">
        <v>76846</v>
      </c>
      <c r="C16" s="859"/>
      <c r="D16" s="859">
        <f t="shared" si="0"/>
        <v>76846</v>
      </c>
    </row>
    <row r="17" spans="1:4" x14ac:dyDescent="0.25">
      <c r="A17" s="858" t="s">
        <v>547</v>
      </c>
      <c r="B17" s="859">
        <v>10000</v>
      </c>
      <c r="C17" s="859"/>
      <c r="D17" s="859">
        <f t="shared" si="0"/>
        <v>10000</v>
      </c>
    </row>
    <row r="18" spans="1:4" x14ac:dyDescent="0.25">
      <c r="A18" s="858" t="s">
        <v>746</v>
      </c>
      <c r="B18" s="859">
        <v>65034</v>
      </c>
      <c r="C18" s="859"/>
      <c r="D18" s="859">
        <f t="shared" si="0"/>
        <v>65034</v>
      </c>
    </row>
    <row r="19" spans="1:4" x14ac:dyDescent="0.25">
      <c r="A19" s="858" t="s">
        <v>747</v>
      </c>
      <c r="B19" s="859">
        <v>10000</v>
      </c>
      <c r="C19" s="859"/>
      <c r="D19" s="859">
        <f t="shared" si="0"/>
        <v>10000</v>
      </c>
    </row>
    <row r="20" spans="1:4" ht="31.5" x14ac:dyDescent="0.25">
      <c r="A20" s="858" t="s">
        <v>748</v>
      </c>
      <c r="B20" s="859">
        <v>57404</v>
      </c>
      <c r="C20" s="859"/>
      <c r="D20" s="859">
        <f t="shared" si="0"/>
        <v>57404</v>
      </c>
    </row>
    <row r="21" spans="1:4" x14ac:dyDescent="0.25">
      <c r="A21" s="858" t="s">
        <v>675</v>
      </c>
      <c r="B21" s="859">
        <v>43388</v>
      </c>
      <c r="C21" s="859"/>
      <c r="D21" s="859">
        <f t="shared" si="0"/>
        <v>43388</v>
      </c>
    </row>
    <row r="22" spans="1:4" x14ac:dyDescent="0.25">
      <c r="A22" s="858" t="s">
        <v>800</v>
      </c>
      <c r="B22" s="859">
        <v>79303</v>
      </c>
      <c r="C22" s="859"/>
      <c r="D22" s="859">
        <f t="shared" si="0"/>
        <v>79303</v>
      </c>
    </row>
    <row r="23" spans="1:4" x14ac:dyDescent="0.25">
      <c r="A23" s="858" t="s">
        <v>896</v>
      </c>
      <c r="B23" s="859">
        <v>148383</v>
      </c>
      <c r="C23" s="859"/>
      <c r="D23" s="859">
        <f t="shared" si="0"/>
        <v>148383</v>
      </c>
    </row>
    <row r="24" spans="1:4" x14ac:dyDescent="0.25">
      <c r="A24" s="858" t="s">
        <v>897</v>
      </c>
      <c r="B24" s="859">
        <v>178350</v>
      </c>
      <c r="C24" s="859"/>
      <c r="D24" s="859">
        <f t="shared" si="0"/>
        <v>178350</v>
      </c>
    </row>
    <row r="25" spans="1:4" x14ac:dyDescent="0.25">
      <c r="A25" s="858" t="s">
        <v>1129</v>
      </c>
      <c r="B25" s="859">
        <v>207015</v>
      </c>
      <c r="C25" s="859"/>
      <c r="D25" s="859">
        <f t="shared" si="0"/>
        <v>207015</v>
      </c>
    </row>
    <row r="26" spans="1:4" x14ac:dyDescent="0.25">
      <c r="A26" s="858" t="s">
        <v>898</v>
      </c>
      <c r="B26" s="859">
        <v>29210</v>
      </c>
      <c r="C26" s="859"/>
      <c r="D26" s="859">
        <f t="shared" si="0"/>
        <v>29210</v>
      </c>
    </row>
    <row r="27" spans="1:4" x14ac:dyDescent="0.25">
      <c r="A27" s="858" t="s">
        <v>1130</v>
      </c>
      <c r="B27" s="859">
        <v>866089</v>
      </c>
      <c r="C27" s="859"/>
      <c r="D27" s="859">
        <f t="shared" si="0"/>
        <v>866089</v>
      </c>
    </row>
    <row r="28" spans="1:4" x14ac:dyDescent="0.25">
      <c r="A28" s="858" t="s">
        <v>899</v>
      </c>
      <c r="B28" s="859">
        <v>41455</v>
      </c>
      <c r="C28" s="859"/>
      <c r="D28" s="859">
        <f t="shared" si="0"/>
        <v>41455</v>
      </c>
    </row>
    <row r="29" spans="1:4" x14ac:dyDescent="0.25">
      <c r="A29" s="858" t="s">
        <v>900</v>
      </c>
      <c r="B29" s="859">
        <v>40000</v>
      </c>
      <c r="C29" s="859"/>
      <c r="D29" s="859">
        <f t="shared" si="0"/>
        <v>40000</v>
      </c>
    </row>
    <row r="30" spans="1:4" x14ac:dyDescent="0.25">
      <c r="A30" s="858" t="s">
        <v>901</v>
      </c>
      <c r="B30" s="859">
        <v>30000</v>
      </c>
      <c r="C30" s="859"/>
      <c r="D30" s="859">
        <f t="shared" si="0"/>
        <v>30000</v>
      </c>
    </row>
    <row r="31" spans="1:4" x14ac:dyDescent="0.25">
      <c r="A31" s="858"/>
      <c r="B31" s="859"/>
      <c r="C31" s="859"/>
      <c r="D31" s="859"/>
    </row>
    <row r="32" spans="1:4" x14ac:dyDescent="0.25">
      <c r="A32" s="856" t="s">
        <v>548</v>
      </c>
      <c r="B32" s="857"/>
      <c r="C32" s="857"/>
      <c r="D32" s="857"/>
    </row>
    <row r="33" spans="1:4" x14ac:dyDescent="0.25">
      <c r="A33" s="860" t="s">
        <v>595</v>
      </c>
      <c r="B33" s="861"/>
      <c r="C33" s="861"/>
      <c r="D33" s="861"/>
    </row>
    <row r="34" spans="1:4" x14ac:dyDescent="0.25">
      <c r="A34" s="858" t="s">
        <v>596</v>
      </c>
      <c r="B34" s="859">
        <v>635</v>
      </c>
      <c r="C34" s="859"/>
      <c r="D34" s="859">
        <f t="shared" si="0"/>
        <v>635</v>
      </c>
    </row>
    <row r="35" spans="1:4" x14ac:dyDescent="0.25">
      <c r="A35" s="858"/>
      <c r="B35" s="859"/>
      <c r="C35" s="859"/>
      <c r="D35" s="859"/>
    </row>
    <row r="36" spans="1:4" x14ac:dyDescent="0.25">
      <c r="A36" s="858" t="s">
        <v>895</v>
      </c>
      <c r="B36" s="859">
        <v>48793</v>
      </c>
      <c r="C36" s="859"/>
      <c r="D36" s="859">
        <f t="shared" si="0"/>
        <v>48793</v>
      </c>
    </row>
    <row r="37" spans="1:4" x14ac:dyDescent="0.25">
      <c r="A37" s="862" t="s">
        <v>549</v>
      </c>
      <c r="B37" s="863">
        <f>SUM(B12,B33:B36)</f>
        <v>2026105</v>
      </c>
      <c r="C37" s="863">
        <f>SUM(C12,C33:C36)</f>
        <v>0</v>
      </c>
      <c r="D37" s="863">
        <f t="shared" si="0"/>
        <v>2026105</v>
      </c>
    </row>
    <row r="38" spans="1:4" x14ac:dyDescent="0.25">
      <c r="A38" s="862"/>
      <c r="B38" s="863"/>
      <c r="C38" s="863"/>
      <c r="D38" s="863"/>
    </row>
    <row r="39" spans="1:4" x14ac:dyDescent="0.25">
      <c r="A39" s="854" t="s">
        <v>550</v>
      </c>
      <c r="B39" s="855"/>
      <c r="C39" s="855"/>
      <c r="D39" s="855"/>
    </row>
    <row r="40" spans="1:4" x14ac:dyDescent="0.25">
      <c r="A40" s="858" t="s">
        <v>551</v>
      </c>
      <c r="B40" s="859">
        <v>50749</v>
      </c>
      <c r="C40" s="859"/>
      <c r="D40" s="859">
        <f t="shared" si="0"/>
        <v>50749</v>
      </c>
    </row>
    <row r="41" spans="1:4" x14ac:dyDescent="0.25">
      <c r="A41" s="858" t="s">
        <v>676</v>
      </c>
      <c r="B41" s="859">
        <v>86272</v>
      </c>
      <c r="C41" s="859"/>
      <c r="D41" s="859">
        <f t="shared" si="0"/>
        <v>86272</v>
      </c>
    </row>
    <row r="42" spans="1:4" x14ac:dyDescent="0.25">
      <c r="A42" s="858" t="s">
        <v>799</v>
      </c>
      <c r="B42" s="859">
        <v>16052</v>
      </c>
      <c r="C42" s="859"/>
      <c r="D42" s="859">
        <f t="shared" si="0"/>
        <v>16052</v>
      </c>
    </row>
    <row r="43" spans="1:4" x14ac:dyDescent="0.25">
      <c r="A43" s="858" t="s">
        <v>677</v>
      </c>
      <c r="B43" s="859">
        <v>36349</v>
      </c>
      <c r="C43" s="859"/>
      <c r="D43" s="859">
        <f t="shared" si="0"/>
        <v>36349</v>
      </c>
    </row>
    <row r="44" spans="1:4" x14ac:dyDescent="0.25">
      <c r="A44" s="858" t="s">
        <v>877</v>
      </c>
      <c r="B44" s="859">
        <v>7000</v>
      </c>
      <c r="C44" s="859"/>
      <c r="D44" s="859">
        <f t="shared" si="0"/>
        <v>7000</v>
      </c>
    </row>
    <row r="45" spans="1:4" x14ac:dyDescent="0.25">
      <c r="A45" s="858" t="s">
        <v>878</v>
      </c>
      <c r="B45" s="859">
        <v>32000</v>
      </c>
      <c r="C45" s="859"/>
      <c r="D45" s="859">
        <f t="shared" si="0"/>
        <v>32000</v>
      </c>
    </row>
    <row r="46" spans="1:4" ht="31.5" x14ac:dyDescent="0.25">
      <c r="A46" s="858" t="s">
        <v>1131</v>
      </c>
      <c r="B46" s="859">
        <v>15066</v>
      </c>
      <c r="C46" s="859"/>
      <c r="D46" s="859">
        <f t="shared" ref="D46" si="1">SUM(B46:C46)</f>
        <v>15066</v>
      </c>
    </row>
    <row r="47" spans="1:4" x14ac:dyDescent="0.25">
      <c r="A47" s="856" t="s">
        <v>552</v>
      </c>
      <c r="B47" s="857">
        <f>SUM(B40:B46)</f>
        <v>243488</v>
      </c>
      <c r="C47" s="857">
        <f>SUM(C40:C46)</f>
        <v>0</v>
      </c>
      <c r="D47" s="857">
        <f>SUM(D40:D46)</f>
        <v>243488</v>
      </c>
    </row>
    <row r="48" spans="1:4" x14ac:dyDescent="0.25">
      <c r="A48" s="858"/>
      <c r="B48" s="859"/>
      <c r="C48" s="859"/>
      <c r="D48" s="859"/>
    </row>
    <row r="49" spans="1:4" x14ac:dyDescent="0.25">
      <c r="A49" s="856" t="s">
        <v>253</v>
      </c>
      <c r="B49" s="857"/>
      <c r="C49" s="857"/>
      <c r="D49" s="857"/>
    </row>
    <row r="50" spans="1:4" x14ac:dyDescent="0.25">
      <c r="A50" s="858" t="s">
        <v>254</v>
      </c>
      <c r="B50" s="859">
        <v>27749</v>
      </c>
      <c r="C50" s="859"/>
      <c r="D50" s="859">
        <f t="shared" si="0"/>
        <v>27749</v>
      </c>
    </row>
    <row r="51" spans="1:4" x14ac:dyDescent="0.25">
      <c r="A51" s="858" t="s">
        <v>678</v>
      </c>
      <c r="B51" s="859">
        <v>38000</v>
      </c>
      <c r="C51" s="859">
        <v>-17095</v>
      </c>
      <c r="D51" s="859">
        <f t="shared" si="0"/>
        <v>20905</v>
      </c>
    </row>
    <row r="52" spans="1:4" ht="31.5" x14ac:dyDescent="0.25">
      <c r="A52" s="858" t="s">
        <v>1409</v>
      </c>
      <c r="B52" s="859"/>
      <c r="C52" s="859">
        <v>12700</v>
      </c>
      <c r="D52" s="859">
        <f t="shared" ref="D52:D55" si="2">SUM(B52:C52)</f>
        <v>12700</v>
      </c>
    </row>
    <row r="53" spans="1:4" x14ac:dyDescent="0.25">
      <c r="A53" s="858" t="s">
        <v>1410</v>
      </c>
      <c r="B53" s="859"/>
      <c r="C53" s="859">
        <v>2667</v>
      </c>
      <c r="D53" s="859">
        <f t="shared" si="2"/>
        <v>2667</v>
      </c>
    </row>
    <row r="54" spans="1:4" x14ac:dyDescent="0.25">
      <c r="A54" s="858" t="s">
        <v>1411</v>
      </c>
      <c r="B54" s="859"/>
      <c r="C54" s="859">
        <v>699</v>
      </c>
      <c r="D54" s="859">
        <f t="shared" si="2"/>
        <v>699</v>
      </c>
    </row>
    <row r="55" spans="1:4" ht="31.5" x14ac:dyDescent="0.25">
      <c r="A55" s="858" t="s">
        <v>1412</v>
      </c>
      <c r="B55" s="859"/>
      <c r="C55" s="859">
        <v>1029</v>
      </c>
      <c r="D55" s="859">
        <f t="shared" si="2"/>
        <v>1029</v>
      </c>
    </row>
    <row r="56" spans="1:4" x14ac:dyDescent="0.25">
      <c r="A56" s="858" t="s">
        <v>255</v>
      </c>
      <c r="B56" s="859">
        <v>24410</v>
      </c>
      <c r="C56" s="859"/>
      <c r="D56" s="859">
        <f t="shared" si="0"/>
        <v>24410</v>
      </c>
    </row>
    <row r="57" spans="1:4" x14ac:dyDescent="0.25">
      <c r="A57" s="858" t="s">
        <v>553</v>
      </c>
      <c r="B57" s="859">
        <v>48945</v>
      </c>
      <c r="C57" s="859">
        <v>51497</v>
      </c>
      <c r="D57" s="859">
        <f t="shared" si="0"/>
        <v>100442</v>
      </c>
    </row>
    <row r="58" spans="1:4" x14ac:dyDescent="0.25">
      <c r="A58" s="858" t="s">
        <v>679</v>
      </c>
      <c r="B58" s="859">
        <v>22225</v>
      </c>
      <c r="C58" s="859"/>
      <c r="D58" s="859">
        <f t="shared" si="0"/>
        <v>22225</v>
      </c>
    </row>
    <row r="59" spans="1:4" x14ac:dyDescent="0.25">
      <c r="A59" s="858" t="s">
        <v>700</v>
      </c>
      <c r="B59" s="859">
        <v>54387</v>
      </c>
      <c r="C59" s="859"/>
      <c r="D59" s="859">
        <f t="shared" si="0"/>
        <v>54387</v>
      </c>
    </row>
    <row r="60" spans="1:4" x14ac:dyDescent="0.25">
      <c r="A60" s="858" t="s">
        <v>554</v>
      </c>
      <c r="B60" s="859">
        <v>6175</v>
      </c>
      <c r="C60" s="859"/>
      <c r="D60" s="859">
        <f t="shared" si="0"/>
        <v>6175</v>
      </c>
    </row>
    <row r="61" spans="1:4" x14ac:dyDescent="0.25">
      <c r="A61" s="858" t="s">
        <v>879</v>
      </c>
      <c r="B61" s="859">
        <v>9144</v>
      </c>
      <c r="C61" s="859"/>
      <c r="D61" s="859">
        <f t="shared" si="0"/>
        <v>9144</v>
      </c>
    </row>
    <row r="62" spans="1:4" x14ac:dyDescent="0.25">
      <c r="A62" s="858" t="s">
        <v>1132</v>
      </c>
      <c r="B62" s="859">
        <v>173785</v>
      </c>
      <c r="C62" s="859"/>
      <c r="D62" s="859">
        <f t="shared" si="0"/>
        <v>173785</v>
      </c>
    </row>
    <row r="63" spans="1:4" x14ac:dyDescent="0.25">
      <c r="A63" s="858" t="s">
        <v>352</v>
      </c>
      <c r="B63" s="859">
        <v>51651</v>
      </c>
      <c r="C63" s="859"/>
      <c r="D63" s="859">
        <f t="shared" si="0"/>
        <v>51651</v>
      </c>
    </row>
    <row r="64" spans="1:4" x14ac:dyDescent="0.25">
      <c r="A64" s="858" t="s">
        <v>683</v>
      </c>
      <c r="B64" s="859">
        <v>30594</v>
      </c>
      <c r="C64" s="859"/>
      <c r="D64" s="859">
        <f t="shared" si="0"/>
        <v>30594</v>
      </c>
    </row>
    <row r="65" spans="1:6" x14ac:dyDescent="0.25">
      <c r="A65" s="858" t="s">
        <v>560</v>
      </c>
      <c r="B65" s="859">
        <v>65</v>
      </c>
      <c r="C65" s="859"/>
      <c r="D65" s="859">
        <f t="shared" si="0"/>
        <v>65</v>
      </c>
    </row>
    <row r="66" spans="1:6" ht="16.5" thickBot="1" x14ac:dyDescent="0.3">
      <c r="A66" s="864" t="s">
        <v>556</v>
      </c>
      <c r="B66" s="865">
        <v>13820</v>
      </c>
      <c r="C66" s="865"/>
      <c r="D66" s="865">
        <f t="shared" si="0"/>
        <v>13820</v>
      </c>
      <c r="E66" s="843" t="s">
        <v>1080</v>
      </c>
    </row>
    <row r="67" spans="1:6" ht="32.25" thickBot="1" x14ac:dyDescent="0.3">
      <c r="A67" s="866" t="s">
        <v>256</v>
      </c>
      <c r="B67" s="867">
        <v>32053</v>
      </c>
      <c r="C67" s="867"/>
      <c r="D67" s="867">
        <f t="shared" si="0"/>
        <v>32053</v>
      </c>
      <c r="E67" s="843" t="s">
        <v>1080</v>
      </c>
    </row>
    <row r="68" spans="1:6" x14ac:dyDescent="0.25">
      <c r="A68" s="850" t="s">
        <v>607</v>
      </c>
      <c r="B68" s="851">
        <v>10496</v>
      </c>
      <c r="C68" s="851"/>
      <c r="D68" s="851">
        <f t="shared" si="0"/>
        <v>10496</v>
      </c>
    </row>
    <row r="69" spans="1:6" x14ac:dyDescent="0.25">
      <c r="A69" s="858" t="s">
        <v>562</v>
      </c>
      <c r="B69" s="859">
        <v>28766</v>
      </c>
      <c r="C69" s="859"/>
      <c r="D69" s="859">
        <f t="shared" si="0"/>
        <v>28766</v>
      </c>
    </row>
    <row r="70" spans="1:6" x14ac:dyDescent="0.25">
      <c r="A70" s="850" t="s">
        <v>557</v>
      </c>
      <c r="B70" s="851">
        <v>0</v>
      </c>
      <c r="C70" s="851"/>
      <c r="D70" s="851">
        <f t="shared" si="0"/>
        <v>0</v>
      </c>
    </row>
    <row r="71" spans="1:6" ht="31.5" x14ac:dyDescent="0.25">
      <c r="A71" s="850" t="s">
        <v>1133</v>
      </c>
      <c r="B71" s="851">
        <v>132826</v>
      </c>
      <c r="C71" s="851"/>
      <c r="D71" s="851">
        <f t="shared" si="0"/>
        <v>132826</v>
      </c>
      <c r="E71" s="843" t="s">
        <v>1080</v>
      </c>
    </row>
    <row r="72" spans="1:6" ht="31.5" x14ac:dyDescent="0.25">
      <c r="A72" s="850" t="s">
        <v>1413</v>
      </c>
      <c r="B72" s="851">
        <v>700000</v>
      </c>
      <c r="C72" s="851">
        <v>-374030</v>
      </c>
      <c r="D72" s="851">
        <f t="shared" si="0"/>
        <v>325970</v>
      </c>
      <c r="F72" s="844"/>
    </row>
    <row r="73" spans="1:6" x14ac:dyDescent="0.25">
      <c r="A73" s="850" t="s">
        <v>684</v>
      </c>
      <c r="B73" s="851">
        <v>40000</v>
      </c>
      <c r="C73" s="851"/>
      <c r="D73" s="851">
        <f t="shared" si="0"/>
        <v>40000</v>
      </c>
    </row>
    <row r="74" spans="1:6" x14ac:dyDescent="0.25">
      <c r="A74" s="850" t="s">
        <v>1135</v>
      </c>
      <c r="B74" s="851">
        <v>93345</v>
      </c>
      <c r="C74" s="851"/>
      <c r="D74" s="851">
        <f t="shared" ref="D74" si="3">SUM(B74:C74)</f>
        <v>93345</v>
      </c>
      <c r="E74" s="843" t="s">
        <v>1080</v>
      </c>
    </row>
    <row r="75" spans="1:6" x14ac:dyDescent="0.25">
      <c r="A75" s="868" t="s">
        <v>720</v>
      </c>
      <c r="B75" s="851">
        <v>5398</v>
      </c>
      <c r="C75" s="851"/>
      <c r="D75" s="851">
        <f t="shared" si="0"/>
        <v>5398</v>
      </c>
    </row>
    <row r="76" spans="1:6" ht="31.5" x14ac:dyDescent="0.25">
      <c r="A76" s="850" t="s">
        <v>880</v>
      </c>
      <c r="B76" s="851">
        <v>20000</v>
      </c>
      <c r="C76" s="851"/>
      <c r="D76" s="851">
        <f t="shared" si="0"/>
        <v>20000</v>
      </c>
    </row>
    <row r="77" spans="1:6" x14ac:dyDescent="0.25">
      <c r="A77" s="850" t="s">
        <v>881</v>
      </c>
      <c r="B77" s="851">
        <v>10317</v>
      </c>
      <c r="C77" s="851">
        <v>-5858</v>
      </c>
      <c r="D77" s="851">
        <f t="shared" si="0"/>
        <v>4459</v>
      </c>
    </row>
    <row r="78" spans="1:6" ht="31.5" x14ac:dyDescent="0.25">
      <c r="A78" s="850" t="s">
        <v>882</v>
      </c>
      <c r="B78" s="851">
        <v>0</v>
      </c>
      <c r="C78" s="851"/>
      <c r="D78" s="851">
        <f t="shared" ref="D78:D133" si="4">SUM(B78:C78)</f>
        <v>0</v>
      </c>
    </row>
    <row r="79" spans="1:6" x14ac:dyDescent="0.25">
      <c r="A79" s="850" t="s">
        <v>883</v>
      </c>
      <c r="B79" s="851">
        <v>11176</v>
      </c>
      <c r="C79" s="851"/>
      <c r="D79" s="851">
        <f t="shared" si="4"/>
        <v>11176</v>
      </c>
    </row>
    <row r="80" spans="1:6" x14ac:dyDescent="0.25">
      <c r="A80" s="850" t="s">
        <v>884</v>
      </c>
      <c r="B80" s="851">
        <v>15869</v>
      </c>
      <c r="C80" s="851"/>
      <c r="D80" s="851">
        <f t="shared" si="4"/>
        <v>15869</v>
      </c>
    </row>
    <row r="81" spans="1:4" x14ac:dyDescent="0.25">
      <c r="A81" s="850" t="s">
        <v>885</v>
      </c>
      <c r="B81" s="851">
        <v>10000</v>
      </c>
      <c r="C81" s="851"/>
      <c r="D81" s="851">
        <f t="shared" si="4"/>
        <v>10000</v>
      </c>
    </row>
    <row r="82" spans="1:4" x14ac:dyDescent="0.25">
      <c r="A82" s="850" t="s">
        <v>886</v>
      </c>
      <c r="B82" s="851">
        <v>20542</v>
      </c>
      <c r="C82" s="851"/>
      <c r="D82" s="851">
        <f t="shared" si="4"/>
        <v>20542</v>
      </c>
    </row>
    <row r="83" spans="1:4" ht="31.5" x14ac:dyDescent="0.25">
      <c r="A83" s="850" t="s">
        <v>887</v>
      </c>
      <c r="B83" s="851">
        <v>1120</v>
      </c>
      <c r="C83" s="851"/>
      <c r="D83" s="851">
        <f t="shared" si="4"/>
        <v>1120</v>
      </c>
    </row>
    <row r="84" spans="1:4" ht="31.5" x14ac:dyDescent="0.25">
      <c r="A84" s="850" t="s">
        <v>888</v>
      </c>
      <c r="B84" s="851">
        <v>28350</v>
      </c>
      <c r="C84" s="851"/>
      <c r="D84" s="851">
        <f t="shared" si="4"/>
        <v>28350</v>
      </c>
    </row>
    <row r="85" spans="1:4" ht="31.5" x14ac:dyDescent="0.25">
      <c r="A85" s="850" t="s">
        <v>893</v>
      </c>
      <c r="B85" s="851">
        <v>126195</v>
      </c>
      <c r="C85" s="851"/>
      <c r="D85" s="851">
        <f t="shared" si="4"/>
        <v>126195</v>
      </c>
    </row>
    <row r="86" spans="1:4" x14ac:dyDescent="0.25">
      <c r="A86" s="850" t="s">
        <v>1211</v>
      </c>
      <c r="B86" s="851">
        <v>56000</v>
      </c>
      <c r="C86" s="851"/>
      <c r="D86" s="851">
        <f t="shared" si="4"/>
        <v>56000</v>
      </c>
    </row>
    <row r="87" spans="1:4" x14ac:dyDescent="0.25">
      <c r="A87" s="850" t="s">
        <v>1212</v>
      </c>
      <c r="B87" s="851">
        <v>30000</v>
      </c>
      <c r="C87" s="851"/>
      <c r="D87" s="851">
        <f t="shared" si="4"/>
        <v>30000</v>
      </c>
    </row>
    <row r="88" spans="1:4" x14ac:dyDescent="0.25">
      <c r="A88" s="850" t="s">
        <v>1414</v>
      </c>
      <c r="B88" s="851"/>
      <c r="C88" s="851">
        <v>23961</v>
      </c>
      <c r="D88" s="851">
        <f t="shared" si="4"/>
        <v>23961</v>
      </c>
    </row>
    <row r="89" spans="1:4" x14ac:dyDescent="0.25">
      <c r="A89" s="852" t="s">
        <v>558</v>
      </c>
      <c r="B89" s="853">
        <f>SUM(B50:B88)</f>
        <v>1873403</v>
      </c>
      <c r="C89" s="853">
        <f>SUM(C50:C88)</f>
        <v>-304430</v>
      </c>
      <c r="D89" s="853">
        <f t="shared" si="4"/>
        <v>1568973</v>
      </c>
    </row>
    <row r="90" spans="1:4" x14ac:dyDescent="0.25">
      <c r="A90" s="850"/>
      <c r="B90" s="851"/>
      <c r="C90" s="851"/>
      <c r="D90" s="851"/>
    </row>
    <row r="91" spans="1:4" x14ac:dyDescent="0.25">
      <c r="A91" s="852" t="s">
        <v>889</v>
      </c>
      <c r="B91" s="853">
        <f>SUM(B89,B47,B37,B9)</f>
        <v>4150811</v>
      </c>
      <c r="C91" s="853">
        <f>SUM(C89,C47,C37,C9)</f>
        <v>-304430</v>
      </c>
      <c r="D91" s="853">
        <f t="shared" si="4"/>
        <v>3846381</v>
      </c>
    </row>
    <row r="92" spans="1:4" x14ac:dyDescent="0.25">
      <c r="A92" s="869"/>
      <c r="B92" s="870"/>
      <c r="C92" s="870"/>
      <c r="D92" s="870"/>
    </row>
    <row r="93" spans="1:4" x14ac:dyDescent="0.25">
      <c r="A93" s="854" t="s">
        <v>890</v>
      </c>
      <c r="B93" s="855"/>
      <c r="C93" s="855"/>
      <c r="D93" s="855"/>
    </row>
    <row r="94" spans="1:4" ht="31.5" x14ac:dyDescent="0.25">
      <c r="A94" s="858" t="s">
        <v>1213</v>
      </c>
      <c r="B94" s="859">
        <v>2839259</v>
      </c>
      <c r="C94" s="859"/>
      <c r="D94" s="859">
        <f t="shared" si="4"/>
        <v>2839259</v>
      </c>
    </row>
    <row r="95" spans="1:4" ht="47.25" x14ac:dyDescent="0.25">
      <c r="A95" s="858" t="s">
        <v>555</v>
      </c>
      <c r="B95" s="859">
        <v>1194600</v>
      </c>
      <c r="C95" s="859">
        <f>-19135-82465</f>
        <v>-101600</v>
      </c>
      <c r="D95" s="859">
        <f t="shared" si="4"/>
        <v>1093000</v>
      </c>
    </row>
    <row r="96" spans="1:4" x14ac:dyDescent="0.25">
      <c r="A96" s="858" t="s">
        <v>680</v>
      </c>
      <c r="B96" s="859">
        <v>124103</v>
      </c>
      <c r="C96" s="859"/>
      <c r="D96" s="859">
        <f t="shared" si="4"/>
        <v>124103</v>
      </c>
    </row>
    <row r="97" spans="1:4" ht="31.5" x14ac:dyDescent="0.25">
      <c r="A97" s="858" t="s">
        <v>610</v>
      </c>
      <c r="B97" s="859">
        <v>18102</v>
      </c>
      <c r="C97" s="859"/>
      <c r="D97" s="859">
        <f t="shared" si="4"/>
        <v>18102</v>
      </c>
    </row>
    <row r="98" spans="1:4" x14ac:dyDescent="0.25">
      <c r="A98" s="871" t="s">
        <v>1214</v>
      </c>
      <c r="B98" s="859">
        <v>357990</v>
      </c>
      <c r="C98" s="859"/>
      <c r="D98" s="859">
        <f t="shared" ref="D98" si="5">SUM(B98:C98)</f>
        <v>357990</v>
      </c>
    </row>
    <row r="99" spans="1:4" x14ac:dyDescent="0.25">
      <c r="A99" s="871" t="s">
        <v>1415</v>
      </c>
      <c r="B99" s="859"/>
      <c r="C99" s="859">
        <v>189000</v>
      </c>
      <c r="D99" s="859">
        <f t="shared" si="4"/>
        <v>189000</v>
      </c>
    </row>
    <row r="100" spans="1:4" ht="47.25" x14ac:dyDescent="0.25">
      <c r="A100" s="850" t="s">
        <v>891</v>
      </c>
      <c r="B100" s="851">
        <v>2462775</v>
      </c>
      <c r="C100" s="851"/>
      <c r="D100" s="851">
        <f t="shared" si="4"/>
        <v>2462775</v>
      </c>
    </row>
    <row r="101" spans="1:4" ht="47.25" x14ac:dyDescent="0.25">
      <c r="A101" s="850" t="s">
        <v>682</v>
      </c>
      <c r="B101" s="851">
        <v>59971</v>
      </c>
      <c r="C101" s="851"/>
      <c r="D101" s="851">
        <f t="shared" si="4"/>
        <v>59971</v>
      </c>
    </row>
    <row r="102" spans="1:4" x14ac:dyDescent="0.25">
      <c r="A102" s="858" t="s">
        <v>602</v>
      </c>
      <c r="B102" s="859">
        <v>14874212</v>
      </c>
      <c r="C102" s="859"/>
      <c r="D102" s="859">
        <f t="shared" si="4"/>
        <v>14874212</v>
      </c>
    </row>
    <row r="103" spans="1:4" ht="31.5" x14ac:dyDescent="0.25">
      <c r="A103" s="850" t="s">
        <v>685</v>
      </c>
      <c r="B103" s="851">
        <v>88509</v>
      </c>
      <c r="C103" s="851"/>
      <c r="D103" s="851">
        <f t="shared" si="4"/>
        <v>88509</v>
      </c>
    </row>
    <row r="104" spans="1:4" x14ac:dyDescent="0.25">
      <c r="A104" s="871" t="s">
        <v>798</v>
      </c>
      <c r="B104" s="851">
        <v>62174</v>
      </c>
      <c r="C104" s="851"/>
      <c r="D104" s="851">
        <f t="shared" si="4"/>
        <v>62174</v>
      </c>
    </row>
    <row r="105" spans="1:4" ht="31.5" x14ac:dyDescent="0.25">
      <c r="A105" s="850" t="s">
        <v>687</v>
      </c>
      <c r="B105" s="851">
        <v>211595</v>
      </c>
      <c r="C105" s="851"/>
      <c r="D105" s="851">
        <f t="shared" si="4"/>
        <v>211595</v>
      </c>
    </row>
    <row r="106" spans="1:4" x14ac:dyDescent="0.25">
      <c r="A106" s="850" t="s">
        <v>688</v>
      </c>
      <c r="B106" s="851">
        <v>800000</v>
      </c>
      <c r="C106" s="851"/>
      <c r="D106" s="851">
        <f t="shared" si="4"/>
        <v>800000</v>
      </c>
    </row>
    <row r="107" spans="1:4" x14ac:dyDescent="0.25">
      <c r="A107" s="850" t="s">
        <v>689</v>
      </c>
      <c r="B107" s="851">
        <v>399693</v>
      </c>
      <c r="C107" s="851"/>
      <c r="D107" s="851">
        <f t="shared" si="4"/>
        <v>399693</v>
      </c>
    </row>
    <row r="108" spans="1:4" x14ac:dyDescent="0.25">
      <c r="A108" s="856" t="s">
        <v>892</v>
      </c>
      <c r="B108" s="857">
        <f>SUM(B94:B107)</f>
        <v>23492983</v>
      </c>
      <c r="C108" s="857">
        <f>SUM(C94:C107)</f>
        <v>87400</v>
      </c>
      <c r="D108" s="857">
        <f t="shared" si="4"/>
        <v>23580383</v>
      </c>
    </row>
    <row r="109" spans="1:4" x14ac:dyDescent="0.25">
      <c r="A109" s="856"/>
      <c r="B109" s="857"/>
      <c r="C109" s="857"/>
      <c r="D109" s="857"/>
    </row>
    <row r="110" spans="1:4" x14ac:dyDescent="0.25">
      <c r="A110" s="856" t="s">
        <v>804</v>
      </c>
      <c r="B110" s="857"/>
      <c r="C110" s="857"/>
      <c r="D110" s="857"/>
    </row>
    <row r="111" spans="1:4" ht="31.5" x14ac:dyDescent="0.25">
      <c r="A111" s="850" t="s">
        <v>559</v>
      </c>
      <c r="B111" s="851">
        <v>14263</v>
      </c>
      <c r="C111" s="851"/>
      <c r="D111" s="851">
        <f t="shared" si="4"/>
        <v>14263</v>
      </c>
    </row>
    <row r="112" spans="1:4" x14ac:dyDescent="0.25">
      <c r="A112" s="850" t="s">
        <v>690</v>
      </c>
      <c r="B112" s="851">
        <v>512795</v>
      </c>
      <c r="C112" s="851"/>
      <c r="D112" s="851">
        <f t="shared" si="4"/>
        <v>512795</v>
      </c>
    </row>
    <row r="113" spans="1:5" ht="16.5" thickBot="1" x14ac:dyDescent="0.3">
      <c r="A113" s="864" t="s">
        <v>701</v>
      </c>
      <c r="B113" s="865">
        <v>268552</v>
      </c>
      <c r="C113" s="865"/>
      <c r="D113" s="865">
        <f t="shared" si="4"/>
        <v>268552</v>
      </c>
    </row>
    <row r="114" spans="1:5" ht="31.5" x14ac:dyDescent="0.25">
      <c r="A114" s="850" t="s">
        <v>691</v>
      </c>
      <c r="B114" s="851">
        <v>2086</v>
      </c>
      <c r="C114" s="851"/>
      <c r="D114" s="851">
        <f t="shared" si="4"/>
        <v>2086</v>
      </c>
    </row>
    <row r="115" spans="1:5" x14ac:dyDescent="0.25">
      <c r="A115" s="850" t="s">
        <v>686</v>
      </c>
      <c r="B115" s="851">
        <v>200000</v>
      </c>
      <c r="C115" s="851"/>
      <c r="D115" s="851">
        <f t="shared" si="4"/>
        <v>200000</v>
      </c>
    </row>
    <row r="116" spans="1:5" x14ac:dyDescent="0.25">
      <c r="A116" s="850" t="s">
        <v>603</v>
      </c>
      <c r="B116" s="851">
        <v>303353</v>
      </c>
      <c r="C116" s="851"/>
      <c r="D116" s="851">
        <f t="shared" si="4"/>
        <v>303353</v>
      </c>
    </row>
    <row r="117" spans="1:5" x14ac:dyDescent="0.25">
      <c r="A117" s="850" t="s">
        <v>693</v>
      </c>
      <c r="B117" s="851">
        <v>135282</v>
      </c>
      <c r="C117" s="851"/>
      <c r="D117" s="851">
        <f t="shared" si="4"/>
        <v>135282</v>
      </c>
    </row>
    <row r="118" spans="1:5" x14ac:dyDescent="0.25">
      <c r="A118" s="850" t="s">
        <v>694</v>
      </c>
      <c r="B118" s="851">
        <v>114294</v>
      </c>
      <c r="C118" s="851"/>
      <c r="D118" s="851">
        <f t="shared" si="4"/>
        <v>114294</v>
      </c>
    </row>
    <row r="119" spans="1:5" x14ac:dyDescent="0.25">
      <c r="A119" s="850" t="s">
        <v>600</v>
      </c>
      <c r="B119" s="851">
        <v>34631</v>
      </c>
      <c r="C119" s="851"/>
      <c r="D119" s="851">
        <f t="shared" si="4"/>
        <v>34631</v>
      </c>
      <c r="E119" s="843" t="s">
        <v>1136</v>
      </c>
    </row>
    <row r="120" spans="1:5" x14ac:dyDescent="0.25">
      <c r="A120" s="850" t="s">
        <v>601</v>
      </c>
      <c r="B120" s="851">
        <v>522639</v>
      </c>
      <c r="C120" s="851"/>
      <c r="D120" s="851">
        <f t="shared" si="4"/>
        <v>522639</v>
      </c>
    </row>
    <row r="121" spans="1:5" x14ac:dyDescent="0.25">
      <c r="A121" s="850" t="s">
        <v>695</v>
      </c>
      <c r="B121" s="851">
        <v>9552</v>
      </c>
      <c r="C121" s="851"/>
      <c r="D121" s="851">
        <f t="shared" si="4"/>
        <v>9552</v>
      </c>
    </row>
    <row r="122" spans="1:5" x14ac:dyDescent="0.25">
      <c r="A122" s="850" t="s">
        <v>696</v>
      </c>
      <c r="B122" s="851">
        <v>184348</v>
      </c>
      <c r="C122" s="851"/>
      <c r="D122" s="851">
        <f t="shared" si="4"/>
        <v>184348</v>
      </c>
    </row>
    <row r="123" spans="1:5" x14ac:dyDescent="0.25">
      <c r="A123" s="850" t="s">
        <v>697</v>
      </c>
      <c r="B123" s="851">
        <v>145924</v>
      </c>
      <c r="C123" s="851"/>
      <c r="D123" s="851">
        <f t="shared" si="4"/>
        <v>145924</v>
      </c>
    </row>
    <row r="124" spans="1:5" x14ac:dyDescent="0.25">
      <c r="A124" s="850" t="s">
        <v>830</v>
      </c>
      <c r="B124" s="851">
        <v>5882</v>
      </c>
      <c r="C124" s="851"/>
      <c r="D124" s="851">
        <f t="shared" si="4"/>
        <v>5882</v>
      </c>
    </row>
    <row r="125" spans="1:5" x14ac:dyDescent="0.25">
      <c r="A125" s="850" t="s">
        <v>698</v>
      </c>
      <c r="B125" s="851">
        <v>19432</v>
      </c>
      <c r="C125" s="851"/>
      <c r="D125" s="851">
        <f t="shared" si="4"/>
        <v>19432</v>
      </c>
    </row>
    <row r="126" spans="1:5" x14ac:dyDescent="0.25">
      <c r="A126" s="850" t="s">
        <v>721</v>
      </c>
      <c r="B126" s="851">
        <v>201602</v>
      </c>
      <c r="C126" s="851"/>
      <c r="D126" s="851">
        <f t="shared" si="4"/>
        <v>201602</v>
      </c>
    </row>
    <row r="127" spans="1:5" x14ac:dyDescent="0.25">
      <c r="A127" s="850" t="s">
        <v>699</v>
      </c>
      <c r="B127" s="851">
        <v>308450</v>
      </c>
      <c r="C127" s="851"/>
      <c r="D127" s="851">
        <f t="shared" ref="D127" si="6">SUM(B127:C127)</f>
        <v>308450</v>
      </c>
    </row>
    <row r="128" spans="1:5" x14ac:dyDescent="0.25">
      <c r="A128" s="850" t="s">
        <v>599</v>
      </c>
      <c r="B128" s="851">
        <v>6</v>
      </c>
      <c r="C128" s="851"/>
      <c r="D128" s="851">
        <f t="shared" si="4"/>
        <v>6</v>
      </c>
    </row>
    <row r="129" spans="1:4" x14ac:dyDescent="0.25">
      <c r="A129" s="852" t="s">
        <v>804</v>
      </c>
      <c r="B129" s="853">
        <f>SUM(B111:B128)</f>
        <v>2983091</v>
      </c>
      <c r="C129" s="853">
        <f>SUM(C111:C128)</f>
        <v>0</v>
      </c>
      <c r="D129" s="853">
        <f t="shared" si="4"/>
        <v>2983091</v>
      </c>
    </row>
    <row r="130" spans="1:4" x14ac:dyDescent="0.25">
      <c r="A130" s="850"/>
      <c r="B130" s="851"/>
      <c r="C130" s="851"/>
      <c r="D130" s="851"/>
    </row>
    <row r="131" spans="1:4" x14ac:dyDescent="0.25">
      <c r="A131" s="852" t="s">
        <v>894</v>
      </c>
      <c r="B131" s="853">
        <f>SUM(B108,B129)</f>
        <v>26476074</v>
      </c>
      <c r="C131" s="853">
        <f>SUM(C108,C129)</f>
        <v>87400</v>
      </c>
      <c r="D131" s="853">
        <f t="shared" si="4"/>
        <v>26563474</v>
      </c>
    </row>
    <row r="132" spans="1:4" x14ac:dyDescent="0.25">
      <c r="A132" s="850"/>
      <c r="B132" s="851"/>
      <c r="C132" s="851"/>
      <c r="D132" s="851"/>
    </row>
    <row r="133" spans="1:4" ht="16.5" thickBot="1" x14ac:dyDescent="0.3">
      <c r="A133" s="872" t="s">
        <v>176</v>
      </c>
      <c r="B133" s="873">
        <f>SUM(B91,B131)</f>
        <v>30626885</v>
      </c>
      <c r="C133" s="873">
        <f>SUM(C91,C131)</f>
        <v>-217030</v>
      </c>
      <c r="D133" s="873">
        <f t="shared" si="4"/>
        <v>30409855</v>
      </c>
    </row>
    <row r="134" spans="1:4" ht="16.5" thickTop="1" x14ac:dyDescent="0.25"/>
  </sheetData>
  <mergeCells count="2">
    <mergeCell ref="A1:D1"/>
    <mergeCell ref="A2:D2"/>
  </mergeCells>
  <printOptions horizontalCentered="1"/>
  <pageMargins left="0.70866141732283472" right="0.70866141732283472" top="0.74803149606299213" bottom="0.74803149606299213" header="0.31496062992125984" footer="0.31496062992125984"/>
  <pageSetup paperSize="9" scale="67" orientation="portrait" r:id="rId1"/>
  <headerFooter>
    <oddHeader>&amp;R&amp;"Times New Roman CE,Dőlt" 12. melléklet
  az 5/2019.(II.15.) önkormányzati rendelethez&amp;X11</oddHeader>
    <oddFooter>&amp;L&amp;X11&amp;X Módosította a  28/2019.(XII.13.) önkormányzati rendelet 8.§ (10) bekezdése, hatályos 2019. december 16-tól.</oddFooter>
  </headerFooter>
  <rowBreaks count="1" manualBreakCount="1">
    <brk id="62"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C14"/>
  <sheetViews>
    <sheetView zoomScale="90" zoomScaleNormal="90" workbookViewId="0">
      <selection activeCell="C35" sqref="C35"/>
    </sheetView>
  </sheetViews>
  <sheetFormatPr defaultRowHeight="15.75" x14ac:dyDescent="0.25"/>
  <cols>
    <col min="1" max="1" width="54.25" style="133" customWidth="1"/>
    <col min="2" max="2" width="18.25" style="133" customWidth="1"/>
    <col min="3" max="16384" width="9" style="131"/>
  </cols>
  <sheetData>
    <row r="1" spans="1:3" ht="52.5" customHeight="1" x14ac:dyDescent="0.3">
      <c r="A1" s="1064" t="s">
        <v>532</v>
      </c>
      <c r="B1" s="1064"/>
    </row>
    <row r="2" spans="1:3" ht="16.5" thickBot="1" x14ac:dyDescent="0.3">
      <c r="A2" s="132"/>
    </row>
    <row r="3" spans="1:3" ht="51" customHeight="1" thickBot="1" x14ac:dyDescent="0.3">
      <c r="A3" s="134" t="s">
        <v>533</v>
      </c>
      <c r="B3" s="135" t="s">
        <v>810</v>
      </c>
    </row>
    <row r="4" spans="1:3" s="136" customFormat="1" x14ac:dyDescent="0.25">
      <c r="A4" s="185" t="s">
        <v>534</v>
      </c>
      <c r="B4" s="186">
        <v>40000</v>
      </c>
    </row>
    <row r="5" spans="1:3" ht="16.5" thickBot="1" x14ac:dyDescent="0.3">
      <c r="A5" s="137" t="s">
        <v>535</v>
      </c>
      <c r="B5" s="187">
        <v>15000</v>
      </c>
    </row>
    <row r="6" spans="1:3" ht="16.5" thickBot="1" x14ac:dyDescent="0.3">
      <c r="A6" s="139" t="s">
        <v>175</v>
      </c>
      <c r="B6" s="140">
        <f>SUM(B4:B5)</f>
        <v>55000</v>
      </c>
    </row>
    <row r="7" spans="1:3" s="142" customFormat="1" ht="12.75" x14ac:dyDescent="0.2">
      <c r="A7" s="141"/>
      <c r="B7" s="141"/>
    </row>
    <row r="8" spans="1:3" s="142" customFormat="1" ht="12.75" x14ac:dyDescent="0.2">
      <c r="A8" s="143"/>
      <c r="B8" s="141"/>
    </row>
    <row r="9" spans="1:3" ht="16.5" thickBot="1" x14ac:dyDescent="0.3">
      <c r="C9" s="144"/>
    </row>
    <row r="10" spans="1:3" ht="53.25" customHeight="1" thickBot="1" x14ac:dyDescent="0.3">
      <c r="A10" s="134" t="s">
        <v>536</v>
      </c>
      <c r="B10" s="135" t="s">
        <v>810</v>
      </c>
    </row>
    <row r="11" spans="1:3" s="136" customFormat="1" x14ac:dyDescent="0.25">
      <c r="A11" s="137" t="s">
        <v>537</v>
      </c>
      <c r="B11" s="138">
        <v>11000</v>
      </c>
    </row>
    <row r="12" spans="1:3" s="136" customFormat="1" ht="31.5" x14ac:dyDescent="0.25">
      <c r="A12" s="145" t="s">
        <v>256</v>
      </c>
      <c r="B12" s="146">
        <v>20000</v>
      </c>
    </row>
    <row r="13" spans="1:3" s="201" customFormat="1" ht="48" thickBot="1" x14ac:dyDescent="0.3">
      <c r="A13" s="195" t="s">
        <v>836</v>
      </c>
      <c r="B13" s="194">
        <v>24000</v>
      </c>
    </row>
    <row r="14" spans="1:3" s="136" customFormat="1" ht="16.5" thickBot="1" x14ac:dyDescent="0.3">
      <c r="A14" s="139" t="s">
        <v>175</v>
      </c>
      <c r="B14" s="140">
        <f>SUM(B11:B13)</f>
        <v>55000</v>
      </c>
    </row>
  </sheetData>
  <mergeCells count="1">
    <mergeCell ref="A1:B1"/>
  </mergeCells>
  <printOptions horizontalCentered="1"/>
  <pageMargins left="0.51181102362204722" right="0.27559055118110237" top="0.74803149606299213" bottom="0.39370078740157483" header="0.43307086614173229" footer="0.19685039370078741"/>
  <pageSetup paperSize="9" orientation="portrait" r:id="rId1"/>
  <headerFooter alignWithMargins="0">
    <oddHeader xml:space="preserve">&amp;R&amp;"Times New Roman CE,Félkövér" 13. melléklet
&amp;11 az 5/2019.(II.15.) önkormányzati rendelethez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9FF8-E439-4FE3-ABB5-A6BF3959863A}">
  <sheetPr>
    <tabColor theme="7" tint="0.39997558519241921"/>
  </sheetPr>
  <dimension ref="A1:E126"/>
  <sheetViews>
    <sheetView view="pageBreakPreview" topLeftCell="A103" zoomScaleNormal="90" zoomScaleSheetLayoutView="100" workbookViewId="0">
      <selection activeCell="A51" sqref="A51:E52"/>
    </sheetView>
  </sheetViews>
  <sheetFormatPr defaultRowHeight="15.75" x14ac:dyDescent="0.25"/>
  <cols>
    <col min="1" max="1" width="36" style="875" customWidth="1"/>
    <col min="2" max="2" width="51.125" style="874" customWidth="1"/>
    <col min="3" max="5" width="16.125" style="876" customWidth="1"/>
    <col min="6" max="254" width="9" style="874"/>
    <col min="255" max="255" width="43.5" style="874" customWidth="1"/>
    <col min="256" max="256" width="19.5" style="874" customWidth="1"/>
    <col min="257" max="257" width="17.375" style="874" customWidth="1"/>
    <col min="258" max="258" width="50.375" style="874" customWidth="1"/>
    <col min="259" max="510" width="9" style="874"/>
    <col min="511" max="511" width="43.5" style="874" customWidth="1"/>
    <col min="512" max="512" width="19.5" style="874" customWidth="1"/>
    <col min="513" max="513" width="17.375" style="874" customWidth="1"/>
    <col min="514" max="514" width="50.375" style="874" customWidth="1"/>
    <col min="515" max="766" width="9" style="874"/>
    <col min="767" max="767" width="43.5" style="874" customWidth="1"/>
    <col min="768" max="768" width="19.5" style="874" customWidth="1"/>
    <col min="769" max="769" width="17.375" style="874" customWidth="1"/>
    <col min="770" max="770" width="50.375" style="874" customWidth="1"/>
    <col min="771" max="1022" width="9" style="874"/>
    <col min="1023" max="1023" width="43.5" style="874" customWidth="1"/>
    <col min="1024" max="1024" width="19.5" style="874" customWidth="1"/>
    <col min="1025" max="1025" width="17.375" style="874" customWidth="1"/>
    <col min="1026" max="1026" width="50.375" style="874" customWidth="1"/>
    <col min="1027" max="1278" width="9" style="874"/>
    <col min="1279" max="1279" width="43.5" style="874" customWidth="1"/>
    <col min="1280" max="1280" width="19.5" style="874" customWidth="1"/>
    <col min="1281" max="1281" width="17.375" style="874" customWidth="1"/>
    <col min="1282" max="1282" width="50.375" style="874" customWidth="1"/>
    <col min="1283" max="1534" width="9" style="874"/>
    <col min="1535" max="1535" width="43.5" style="874" customWidth="1"/>
    <col min="1536" max="1536" width="19.5" style="874" customWidth="1"/>
    <col min="1537" max="1537" width="17.375" style="874" customWidth="1"/>
    <col min="1538" max="1538" width="50.375" style="874" customWidth="1"/>
    <col min="1539" max="1790" width="9" style="874"/>
    <col min="1791" max="1791" width="43.5" style="874" customWidth="1"/>
    <col min="1792" max="1792" width="19.5" style="874" customWidth="1"/>
    <col min="1793" max="1793" width="17.375" style="874" customWidth="1"/>
    <col min="1794" max="1794" width="50.375" style="874" customWidth="1"/>
    <col min="1795" max="2046" width="9" style="874"/>
    <col min="2047" max="2047" width="43.5" style="874" customWidth="1"/>
    <col min="2048" max="2048" width="19.5" style="874" customWidth="1"/>
    <col min="2049" max="2049" width="17.375" style="874" customWidth="1"/>
    <col min="2050" max="2050" width="50.375" style="874" customWidth="1"/>
    <col min="2051" max="2302" width="9" style="874"/>
    <col min="2303" max="2303" width="43.5" style="874" customWidth="1"/>
    <col min="2304" max="2304" width="19.5" style="874" customWidth="1"/>
    <col min="2305" max="2305" width="17.375" style="874" customWidth="1"/>
    <col min="2306" max="2306" width="50.375" style="874" customWidth="1"/>
    <col min="2307" max="2558" width="9" style="874"/>
    <col min="2559" max="2559" width="43.5" style="874" customWidth="1"/>
    <col min="2560" max="2560" width="19.5" style="874" customWidth="1"/>
    <col min="2561" max="2561" width="17.375" style="874" customWidth="1"/>
    <col min="2562" max="2562" width="50.375" style="874" customWidth="1"/>
    <col min="2563" max="2814" width="9" style="874"/>
    <col min="2815" max="2815" width="43.5" style="874" customWidth="1"/>
    <col min="2816" max="2816" width="19.5" style="874" customWidth="1"/>
    <col min="2817" max="2817" width="17.375" style="874" customWidth="1"/>
    <col min="2818" max="2818" width="50.375" style="874" customWidth="1"/>
    <col min="2819" max="3070" width="9" style="874"/>
    <col min="3071" max="3071" width="43.5" style="874" customWidth="1"/>
    <col min="3072" max="3072" width="19.5" style="874" customWidth="1"/>
    <col min="3073" max="3073" width="17.375" style="874" customWidth="1"/>
    <col min="3074" max="3074" width="50.375" style="874" customWidth="1"/>
    <col min="3075" max="3326" width="9" style="874"/>
    <col min="3327" max="3327" width="43.5" style="874" customWidth="1"/>
    <col min="3328" max="3328" width="19.5" style="874" customWidth="1"/>
    <col min="3329" max="3329" width="17.375" style="874" customWidth="1"/>
    <col min="3330" max="3330" width="50.375" style="874" customWidth="1"/>
    <col min="3331" max="3582" width="9" style="874"/>
    <col min="3583" max="3583" width="43.5" style="874" customWidth="1"/>
    <col min="3584" max="3584" width="19.5" style="874" customWidth="1"/>
    <col min="3585" max="3585" width="17.375" style="874" customWidth="1"/>
    <col min="3586" max="3586" width="50.375" style="874" customWidth="1"/>
    <col min="3587" max="3838" width="9" style="874"/>
    <col min="3839" max="3839" width="43.5" style="874" customWidth="1"/>
    <col min="3840" max="3840" width="19.5" style="874" customWidth="1"/>
    <col min="3841" max="3841" width="17.375" style="874" customWidth="1"/>
    <col min="3842" max="3842" width="50.375" style="874" customWidth="1"/>
    <col min="3843" max="4094" width="9" style="874"/>
    <col min="4095" max="4095" width="43.5" style="874" customWidth="1"/>
    <col min="4096" max="4096" width="19.5" style="874" customWidth="1"/>
    <col min="4097" max="4097" width="17.375" style="874" customWidth="1"/>
    <col min="4098" max="4098" width="50.375" style="874" customWidth="1"/>
    <col min="4099" max="4350" width="9" style="874"/>
    <col min="4351" max="4351" width="43.5" style="874" customWidth="1"/>
    <col min="4352" max="4352" width="19.5" style="874" customWidth="1"/>
    <col min="4353" max="4353" width="17.375" style="874" customWidth="1"/>
    <col min="4354" max="4354" width="50.375" style="874" customWidth="1"/>
    <col min="4355" max="4606" width="9" style="874"/>
    <col min="4607" max="4607" width="43.5" style="874" customWidth="1"/>
    <col min="4608" max="4608" width="19.5" style="874" customWidth="1"/>
    <col min="4609" max="4609" width="17.375" style="874" customWidth="1"/>
    <col min="4610" max="4610" width="50.375" style="874" customWidth="1"/>
    <col min="4611" max="4862" width="9" style="874"/>
    <col min="4863" max="4863" width="43.5" style="874" customWidth="1"/>
    <col min="4864" max="4864" width="19.5" style="874" customWidth="1"/>
    <col min="4865" max="4865" width="17.375" style="874" customWidth="1"/>
    <col min="4866" max="4866" width="50.375" style="874" customWidth="1"/>
    <col min="4867" max="5118" width="9" style="874"/>
    <col min="5119" max="5119" width="43.5" style="874" customWidth="1"/>
    <col min="5120" max="5120" width="19.5" style="874" customWidth="1"/>
    <col min="5121" max="5121" width="17.375" style="874" customWidth="1"/>
    <col min="5122" max="5122" width="50.375" style="874" customWidth="1"/>
    <col min="5123" max="5374" width="9" style="874"/>
    <col min="5375" max="5375" width="43.5" style="874" customWidth="1"/>
    <col min="5376" max="5376" width="19.5" style="874" customWidth="1"/>
    <col min="5377" max="5377" width="17.375" style="874" customWidth="1"/>
    <col min="5378" max="5378" width="50.375" style="874" customWidth="1"/>
    <col min="5379" max="5630" width="9" style="874"/>
    <col min="5631" max="5631" width="43.5" style="874" customWidth="1"/>
    <col min="5632" max="5632" width="19.5" style="874" customWidth="1"/>
    <col min="5633" max="5633" width="17.375" style="874" customWidth="1"/>
    <col min="5634" max="5634" width="50.375" style="874" customWidth="1"/>
    <col min="5635" max="5886" width="9" style="874"/>
    <col min="5887" max="5887" width="43.5" style="874" customWidth="1"/>
    <col min="5888" max="5888" width="19.5" style="874" customWidth="1"/>
    <col min="5889" max="5889" width="17.375" style="874" customWidth="1"/>
    <col min="5890" max="5890" width="50.375" style="874" customWidth="1"/>
    <col min="5891" max="6142" width="9" style="874"/>
    <col min="6143" max="6143" width="43.5" style="874" customWidth="1"/>
    <col min="6144" max="6144" width="19.5" style="874" customWidth="1"/>
    <col min="6145" max="6145" width="17.375" style="874" customWidth="1"/>
    <col min="6146" max="6146" width="50.375" style="874" customWidth="1"/>
    <col min="6147" max="6398" width="9" style="874"/>
    <col min="6399" max="6399" width="43.5" style="874" customWidth="1"/>
    <col min="6400" max="6400" width="19.5" style="874" customWidth="1"/>
    <col min="6401" max="6401" width="17.375" style="874" customWidth="1"/>
    <col min="6402" max="6402" width="50.375" style="874" customWidth="1"/>
    <col min="6403" max="6654" width="9" style="874"/>
    <col min="6655" max="6655" width="43.5" style="874" customWidth="1"/>
    <col min="6656" max="6656" width="19.5" style="874" customWidth="1"/>
    <col min="6657" max="6657" width="17.375" style="874" customWidth="1"/>
    <col min="6658" max="6658" width="50.375" style="874" customWidth="1"/>
    <col min="6659" max="6910" width="9" style="874"/>
    <col min="6911" max="6911" width="43.5" style="874" customWidth="1"/>
    <col min="6912" max="6912" width="19.5" style="874" customWidth="1"/>
    <col min="6913" max="6913" width="17.375" style="874" customWidth="1"/>
    <col min="6914" max="6914" width="50.375" style="874" customWidth="1"/>
    <col min="6915" max="7166" width="9" style="874"/>
    <col min="7167" max="7167" width="43.5" style="874" customWidth="1"/>
    <col min="7168" max="7168" width="19.5" style="874" customWidth="1"/>
    <col min="7169" max="7169" width="17.375" style="874" customWidth="1"/>
    <col min="7170" max="7170" width="50.375" style="874" customWidth="1"/>
    <col min="7171" max="7422" width="9" style="874"/>
    <col min="7423" max="7423" width="43.5" style="874" customWidth="1"/>
    <col min="7424" max="7424" width="19.5" style="874" customWidth="1"/>
    <col min="7425" max="7425" width="17.375" style="874" customWidth="1"/>
    <col min="7426" max="7426" width="50.375" style="874" customWidth="1"/>
    <col min="7427" max="7678" width="9" style="874"/>
    <col min="7679" max="7679" width="43.5" style="874" customWidth="1"/>
    <col min="7680" max="7680" width="19.5" style="874" customWidth="1"/>
    <col min="7681" max="7681" width="17.375" style="874" customWidth="1"/>
    <col min="7682" max="7682" width="50.375" style="874" customWidth="1"/>
    <col min="7683" max="7934" width="9" style="874"/>
    <col min="7935" max="7935" width="43.5" style="874" customWidth="1"/>
    <col min="7936" max="7936" width="19.5" style="874" customWidth="1"/>
    <col min="7937" max="7937" width="17.375" style="874" customWidth="1"/>
    <col min="7938" max="7938" width="50.375" style="874" customWidth="1"/>
    <col min="7939" max="8190" width="9" style="874"/>
    <col min="8191" max="8191" width="43.5" style="874" customWidth="1"/>
    <col min="8192" max="8192" width="19.5" style="874" customWidth="1"/>
    <col min="8193" max="8193" width="17.375" style="874" customWidth="1"/>
    <col min="8194" max="8194" width="50.375" style="874" customWidth="1"/>
    <col min="8195" max="8446" width="9" style="874"/>
    <col min="8447" max="8447" width="43.5" style="874" customWidth="1"/>
    <col min="8448" max="8448" width="19.5" style="874" customWidth="1"/>
    <col min="8449" max="8449" width="17.375" style="874" customWidth="1"/>
    <col min="8450" max="8450" width="50.375" style="874" customWidth="1"/>
    <col min="8451" max="8702" width="9" style="874"/>
    <col min="8703" max="8703" width="43.5" style="874" customWidth="1"/>
    <col min="8704" max="8704" width="19.5" style="874" customWidth="1"/>
    <col min="8705" max="8705" width="17.375" style="874" customWidth="1"/>
    <col min="8706" max="8706" width="50.375" style="874" customWidth="1"/>
    <col min="8707" max="8958" width="9" style="874"/>
    <col min="8959" max="8959" width="43.5" style="874" customWidth="1"/>
    <col min="8960" max="8960" width="19.5" style="874" customWidth="1"/>
    <col min="8961" max="8961" width="17.375" style="874" customWidth="1"/>
    <col min="8962" max="8962" width="50.375" style="874" customWidth="1"/>
    <col min="8963" max="9214" width="9" style="874"/>
    <col min="9215" max="9215" width="43.5" style="874" customWidth="1"/>
    <col min="9216" max="9216" width="19.5" style="874" customWidth="1"/>
    <col min="9217" max="9217" width="17.375" style="874" customWidth="1"/>
    <col min="9218" max="9218" width="50.375" style="874" customWidth="1"/>
    <col min="9219" max="9470" width="9" style="874"/>
    <col min="9471" max="9471" width="43.5" style="874" customWidth="1"/>
    <col min="9472" max="9472" width="19.5" style="874" customWidth="1"/>
    <col min="9473" max="9473" width="17.375" style="874" customWidth="1"/>
    <col min="9474" max="9474" width="50.375" style="874" customWidth="1"/>
    <col min="9475" max="9726" width="9" style="874"/>
    <col min="9727" max="9727" width="43.5" style="874" customWidth="1"/>
    <col min="9728" max="9728" width="19.5" style="874" customWidth="1"/>
    <col min="9729" max="9729" width="17.375" style="874" customWidth="1"/>
    <col min="9730" max="9730" width="50.375" style="874" customWidth="1"/>
    <col min="9731" max="9982" width="9" style="874"/>
    <col min="9983" max="9983" width="43.5" style="874" customWidth="1"/>
    <col min="9984" max="9984" width="19.5" style="874" customWidth="1"/>
    <col min="9985" max="9985" width="17.375" style="874" customWidth="1"/>
    <col min="9986" max="9986" width="50.375" style="874" customWidth="1"/>
    <col min="9987" max="10238" width="9" style="874"/>
    <col min="10239" max="10239" width="43.5" style="874" customWidth="1"/>
    <col min="10240" max="10240" width="19.5" style="874" customWidth="1"/>
    <col min="10241" max="10241" width="17.375" style="874" customWidth="1"/>
    <col min="10242" max="10242" width="50.375" style="874" customWidth="1"/>
    <col min="10243" max="10494" width="9" style="874"/>
    <col min="10495" max="10495" width="43.5" style="874" customWidth="1"/>
    <col min="10496" max="10496" width="19.5" style="874" customWidth="1"/>
    <col min="10497" max="10497" width="17.375" style="874" customWidth="1"/>
    <col min="10498" max="10498" width="50.375" style="874" customWidth="1"/>
    <col min="10499" max="10750" width="9" style="874"/>
    <col min="10751" max="10751" width="43.5" style="874" customWidth="1"/>
    <col min="10752" max="10752" width="19.5" style="874" customWidth="1"/>
    <col min="10753" max="10753" width="17.375" style="874" customWidth="1"/>
    <col min="10754" max="10754" width="50.375" style="874" customWidth="1"/>
    <col min="10755" max="11006" width="9" style="874"/>
    <col min="11007" max="11007" width="43.5" style="874" customWidth="1"/>
    <col min="11008" max="11008" width="19.5" style="874" customWidth="1"/>
    <col min="11009" max="11009" width="17.375" style="874" customWidth="1"/>
    <col min="11010" max="11010" width="50.375" style="874" customWidth="1"/>
    <col min="11011" max="11262" width="9" style="874"/>
    <col min="11263" max="11263" width="43.5" style="874" customWidth="1"/>
    <col min="11264" max="11264" width="19.5" style="874" customWidth="1"/>
    <col min="11265" max="11265" width="17.375" style="874" customWidth="1"/>
    <col min="11266" max="11266" width="50.375" style="874" customWidth="1"/>
    <col min="11267" max="11518" width="9" style="874"/>
    <col min="11519" max="11519" width="43.5" style="874" customWidth="1"/>
    <col min="11520" max="11520" width="19.5" style="874" customWidth="1"/>
    <col min="11521" max="11521" width="17.375" style="874" customWidth="1"/>
    <col min="11522" max="11522" width="50.375" style="874" customWidth="1"/>
    <col min="11523" max="11774" width="9" style="874"/>
    <col min="11775" max="11775" width="43.5" style="874" customWidth="1"/>
    <col min="11776" max="11776" width="19.5" style="874" customWidth="1"/>
    <col min="11777" max="11777" width="17.375" style="874" customWidth="1"/>
    <col min="11778" max="11778" width="50.375" style="874" customWidth="1"/>
    <col min="11779" max="12030" width="9" style="874"/>
    <col min="12031" max="12031" width="43.5" style="874" customWidth="1"/>
    <col min="12032" max="12032" width="19.5" style="874" customWidth="1"/>
    <col min="12033" max="12033" width="17.375" style="874" customWidth="1"/>
    <col min="12034" max="12034" width="50.375" style="874" customWidth="1"/>
    <col min="12035" max="12286" width="9" style="874"/>
    <col min="12287" max="12287" width="43.5" style="874" customWidth="1"/>
    <col min="12288" max="12288" width="19.5" style="874" customWidth="1"/>
    <col min="12289" max="12289" width="17.375" style="874" customWidth="1"/>
    <col min="12290" max="12290" width="50.375" style="874" customWidth="1"/>
    <col min="12291" max="12542" width="9" style="874"/>
    <col min="12543" max="12543" width="43.5" style="874" customWidth="1"/>
    <col min="12544" max="12544" width="19.5" style="874" customWidth="1"/>
    <col min="12545" max="12545" width="17.375" style="874" customWidth="1"/>
    <col min="12546" max="12546" width="50.375" style="874" customWidth="1"/>
    <col min="12547" max="12798" width="9" style="874"/>
    <col min="12799" max="12799" width="43.5" style="874" customWidth="1"/>
    <col min="12800" max="12800" width="19.5" style="874" customWidth="1"/>
    <col min="12801" max="12801" width="17.375" style="874" customWidth="1"/>
    <col min="12802" max="12802" width="50.375" style="874" customWidth="1"/>
    <col min="12803" max="13054" width="9" style="874"/>
    <col min="13055" max="13055" width="43.5" style="874" customWidth="1"/>
    <col min="13056" max="13056" width="19.5" style="874" customWidth="1"/>
    <col min="13057" max="13057" width="17.375" style="874" customWidth="1"/>
    <col min="13058" max="13058" width="50.375" style="874" customWidth="1"/>
    <col min="13059" max="13310" width="9" style="874"/>
    <col min="13311" max="13311" width="43.5" style="874" customWidth="1"/>
    <col min="13312" max="13312" width="19.5" style="874" customWidth="1"/>
    <col min="13313" max="13313" width="17.375" style="874" customWidth="1"/>
    <col min="13314" max="13314" width="50.375" style="874" customWidth="1"/>
    <col min="13315" max="13566" width="9" style="874"/>
    <col min="13567" max="13567" width="43.5" style="874" customWidth="1"/>
    <col min="13568" max="13568" width="19.5" style="874" customWidth="1"/>
    <col min="13569" max="13569" width="17.375" style="874" customWidth="1"/>
    <col min="13570" max="13570" width="50.375" style="874" customWidth="1"/>
    <col min="13571" max="13822" width="9" style="874"/>
    <col min="13823" max="13823" width="43.5" style="874" customWidth="1"/>
    <col min="13824" max="13824" width="19.5" style="874" customWidth="1"/>
    <col min="13825" max="13825" width="17.375" style="874" customWidth="1"/>
    <col min="13826" max="13826" width="50.375" style="874" customWidth="1"/>
    <col min="13827" max="14078" width="9" style="874"/>
    <col min="14079" max="14079" width="43.5" style="874" customWidth="1"/>
    <col min="14080" max="14080" width="19.5" style="874" customWidth="1"/>
    <col min="14081" max="14081" width="17.375" style="874" customWidth="1"/>
    <col min="14082" max="14082" width="50.375" style="874" customWidth="1"/>
    <col min="14083" max="14334" width="9" style="874"/>
    <col min="14335" max="14335" width="43.5" style="874" customWidth="1"/>
    <col min="14336" max="14336" width="19.5" style="874" customWidth="1"/>
    <col min="14337" max="14337" width="17.375" style="874" customWidth="1"/>
    <col min="14338" max="14338" width="50.375" style="874" customWidth="1"/>
    <col min="14339" max="14590" width="9" style="874"/>
    <col min="14591" max="14591" width="43.5" style="874" customWidth="1"/>
    <col min="14592" max="14592" width="19.5" style="874" customWidth="1"/>
    <col min="14593" max="14593" width="17.375" style="874" customWidth="1"/>
    <col min="14594" max="14594" width="50.375" style="874" customWidth="1"/>
    <col min="14595" max="14846" width="9" style="874"/>
    <col min="14847" max="14847" width="43.5" style="874" customWidth="1"/>
    <col min="14848" max="14848" width="19.5" style="874" customWidth="1"/>
    <col min="14849" max="14849" width="17.375" style="874" customWidth="1"/>
    <col min="14850" max="14850" width="50.375" style="874" customWidth="1"/>
    <col min="14851" max="15102" width="9" style="874"/>
    <col min="15103" max="15103" width="43.5" style="874" customWidth="1"/>
    <col min="15104" max="15104" width="19.5" style="874" customWidth="1"/>
    <col min="15105" max="15105" width="17.375" style="874" customWidth="1"/>
    <col min="15106" max="15106" width="50.375" style="874" customWidth="1"/>
    <col min="15107" max="15358" width="9" style="874"/>
    <col min="15359" max="15359" width="43.5" style="874" customWidth="1"/>
    <col min="15360" max="15360" width="19.5" style="874" customWidth="1"/>
    <col min="15361" max="15361" width="17.375" style="874" customWidth="1"/>
    <col min="15362" max="15362" width="50.375" style="874" customWidth="1"/>
    <col min="15363" max="15614" width="9" style="874"/>
    <col min="15615" max="15615" width="43.5" style="874" customWidth="1"/>
    <col min="15616" max="15616" width="19.5" style="874" customWidth="1"/>
    <col min="15617" max="15617" width="17.375" style="874" customWidth="1"/>
    <col min="15618" max="15618" width="50.375" style="874" customWidth="1"/>
    <col min="15619" max="15870" width="9" style="874"/>
    <col min="15871" max="15871" width="43.5" style="874" customWidth="1"/>
    <col min="15872" max="15872" width="19.5" style="874" customWidth="1"/>
    <col min="15873" max="15873" width="17.375" style="874" customWidth="1"/>
    <col min="15874" max="15874" width="50.375" style="874" customWidth="1"/>
    <col min="15875" max="16126" width="9" style="874"/>
    <col min="16127" max="16127" width="43.5" style="874" customWidth="1"/>
    <col min="16128" max="16128" width="19.5" style="874" customWidth="1"/>
    <col min="16129" max="16129" width="17.375" style="874" customWidth="1"/>
    <col min="16130" max="16130" width="50.375" style="874" customWidth="1"/>
    <col min="16131" max="16384" width="9" style="874"/>
  </cols>
  <sheetData>
    <row r="1" spans="1:5" ht="31.5" customHeight="1" x14ac:dyDescent="0.25">
      <c r="A1" s="1065" t="s">
        <v>855</v>
      </c>
      <c r="B1" s="1065"/>
      <c r="C1" s="1065"/>
      <c r="D1" s="1065"/>
      <c r="E1" s="1065"/>
    </row>
    <row r="2" spans="1:5" x14ac:dyDescent="0.25">
      <c r="A2" s="1066" t="s">
        <v>1228</v>
      </c>
      <c r="B2" s="1066"/>
      <c r="C2" s="1066"/>
      <c r="D2" s="1066"/>
      <c r="E2" s="1066"/>
    </row>
    <row r="3" spans="1:5" ht="16.5" thickBot="1" x14ac:dyDescent="0.3"/>
    <row r="4" spans="1:5" s="880" customFormat="1" ht="62.25" customHeight="1" thickBot="1" x14ac:dyDescent="0.3">
      <c r="A4" s="877" t="s">
        <v>165</v>
      </c>
      <c r="B4" s="878" t="s">
        <v>257</v>
      </c>
      <c r="C4" s="879" t="s">
        <v>998</v>
      </c>
      <c r="D4" s="879" t="s">
        <v>997</v>
      </c>
      <c r="E4" s="879" t="s">
        <v>1151</v>
      </c>
    </row>
    <row r="5" spans="1:5" s="817" customFormat="1" ht="21" customHeight="1" x14ac:dyDescent="0.25">
      <c r="A5" s="1067" t="s">
        <v>446</v>
      </c>
      <c r="B5" s="1068"/>
      <c r="C5" s="1069"/>
      <c r="D5" s="1022"/>
      <c r="E5" s="1023"/>
    </row>
    <row r="6" spans="1:5" s="843" customFormat="1" ht="31.5" x14ac:dyDescent="0.25">
      <c r="A6" s="881" t="s">
        <v>33</v>
      </c>
      <c r="B6" s="882" t="s">
        <v>702</v>
      </c>
      <c r="C6" s="1118">
        <v>3000</v>
      </c>
      <c r="D6" s="1118"/>
      <c r="E6" s="1118">
        <f>SUM(C6:D6)</f>
        <v>3000</v>
      </c>
    </row>
    <row r="7" spans="1:5" s="843" customFormat="1" ht="31.5" x14ac:dyDescent="0.25">
      <c r="A7" s="882"/>
      <c r="B7" s="882" t="s">
        <v>703</v>
      </c>
      <c r="C7" s="1118">
        <v>13000</v>
      </c>
      <c r="D7" s="1118"/>
      <c r="E7" s="1118">
        <f t="shared" ref="E7:E86" si="0">SUM(C7:D7)</f>
        <v>13000</v>
      </c>
    </row>
    <row r="8" spans="1:5" s="843" customFormat="1" ht="31.5" x14ac:dyDescent="0.25">
      <c r="A8" s="882"/>
      <c r="B8" s="882" t="s">
        <v>704</v>
      </c>
      <c r="C8" s="1118">
        <v>3827</v>
      </c>
      <c r="D8" s="1118"/>
      <c r="E8" s="1118">
        <f t="shared" si="0"/>
        <v>3827</v>
      </c>
    </row>
    <row r="9" spans="1:5" s="843" customFormat="1" ht="63" x14ac:dyDescent="0.25">
      <c r="A9" s="882"/>
      <c r="B9" s="882" t="s">
        <v>705</v>
      </c>
      <c r="C9" s="1118">
        <v>0</v>
      </c>
      <c r="D9" s="1118">
        <v>0</v>
      </c>
      <c r="E9" s="1118">
        <f t="shared" si="0"/>
        <v>0</v>
      </c>
    </row>
    <row r="10" spans="1:5" s="843" customFormat="1" ht="69" customHeight="1" x14ac:dyDescent="0.25">
      <c r="A10" s="882"/>
      <c r="B10" s="716" t="s">
        <v>1215</v>
      </c>
      <c r="C10" s="1118">
        <v>0</v>
      </c>
      <c r="D10" s="1118">
        <v>0</v>
      </c>
      <c r="E10" s="1118">
        <f t="shared" si="0"/>
        <v>0</v>
      </c>
    </row>
    <row r="11" spans="1:5" s="843" customFormat="1" ht="80.25" customHeight="1" x14ac:dyDescent="0.25">
      <c r="A11" s="882"/>
      <c r="B11" s="882" t="s">
        <v>1216</v>
      </c>
      <c r="C11" s="1118">
        <v>244626</v>
      </c>
      <c r="D11" s="1118"/>
      <c r="E11" s="1118">
        <f t="shared" si="0"/>
        <v>244626</v>
      </c>
    </row>
    <row r="12" spans="1:5" s="843" customFormat="1" ht="78.75" x14ac:dyDescent="0.25">
      <c r="A12" s="882"/>
      <c r="B12" s="882" t="s">
        <v>907</v>
      </c>
      <c r="C12" s="1118">
        <v>26000</v>
      </c>
      <c r="D12" s="1118"/>
      <c r="E12" s="1118">
        <f t="shared" si="0"/>
        <v>26000</v>
      </c>
    </row>
    <row r="13" spans="1:5" s="884" customFormat="1" x14ac:dyDescent="0.25">
      <c r="A13" s="881"/>
      <c r="B13" s="881" t="s">
        <v>175</v>
      </c>
      <c r="C13" s="883">
        <f>SUM(C6:C12)</f>
        <v>290453</v>
      </c>
      <c r="D13" s="883">
        <f>SUM(D6:D12)</f>
        <v>0</v>
      </c>
      <c r="E13" s="883">
        <f t="shared" si="0"/>
        <v>290453</v>
      </c>
    </row>
    <row r="14" spans="1:5" s="843" customFormat="1" x14ac:dyDescent="0.25">
      <c r="A14" s="882"/>
      <c r="B14" s="882"/>
      <c r="C14" s="1118"/>
      <c r="D14" s="1118"/>
      <c r="E14" s="1118"/>
    </row>
    <row r="15" spans="1:5" s="843" customFormat="1" ht="31.5" x14ac:dyDescent="0.25">
      <c r="A15" s="881" t="s">
        <v>394</v>
      </c>
      <c r="B15" s="882" t="s">
        <v>908</v>
      </c>
      <c r="C15" s="1118">
        <v>5000</v>
      </c>
      <c r="D15" s="1118"/>
      <c r="E15" s="1118">
        <f t="shared" si="0"/>
        <v>5000</v>
      </c>
    </row>
    <row r="16" spans="1:5" s="843" customFormat="1" x14ac:dyDescent="0.25">
      <c r="A16" s="882"/>
      <c r="B16" s="881" t="s">
        <v>175</v>
      </c>
      <c r="C16" s="883">
        <f t="shared" ref="C16:D16" si="1">SUM(C15)</f>
        <v>5000</v>
      </c>
      <c r="D16" s="883">
        <f t="shared" si="1"/>
        <v>0</v>
      </c>
      <c r="E16" s="883">
        <f t="shared" si="0"/>
        <v>5000</v>
      </c>
    </row>
    <row r="17" spans="1:5" s="843" customFormat="1" x14ac:dyDescent="0.25">
      <c r="A17" s="882"/>
      <c r="B17" s="881"/>
      <c r="C17" s="883"/>
      <c r="D17" s="883"/>
      <c r="E17" s="883"/>
    </row>
    <row r="18" spans="1:5" s="843" customFormat="1" x14ac:dyDescent="0.25">
      <c r="A18" s="881" t="s">
        <v>506</v>
      </c>
      <c r="B18" s="882" t="s">
        <v>507</v>
      </c>
      <c r="C18" s="1118">
        <v>52991</v>
      </c>
      <c r="D18" s="1118"/>
      <c r="E18" s="1118">
        <f t="shared" si="0"/>
        <v>52991</v>
      </c>
    </row>
    <row r="19" spans="1:5" s="843" customFormat="1" x14ac:dyDescent="0.25">
      <c r="A19" s="882"/>
      <c r="B19" s="881" t="s">
        <v>175</v>
      </c>
      <c r="C19" s="883">
        <f t="shared" ref="C19:D19" si="2">SUM(C18)</f>
        <v>52991</v>
      </c>
      <c r="D19" s="883">
        <f t="shared" si="2"/>
        <v>0</v>
      </c>
      <c r="E19" s="883">
        <f t="shared" si="0"/>
        <v>52991</v>
      </c>
    </row>
    <row r="20" spans="1:5" s="843" customFormat="1" x14ac:dyDescent="0.25">
      <c r="A20" s="882"/>
      <c r="B20" s="881"/>
      <c r="C20" s="883"/>
      <c r="D20" s="883"/>
      <c r="E20" s="883"/>
    </row>
    <row r="21" spans="1:5" s="843" customFormat="1" x14ac:dyDescent="0.25">
      <c r="A21" s="881" t="s">
        <v>1137</v>
      </c>
      <c r="B21" s="882" t="s">
        <v>1138</v>
      </c>
      <c r="C21" s="1118">
        <v>10000</v>
      </c>
      <c r="D21" s="1118"/>
      <c r="E21" s="1118">
        <f t="shared" ref="E21:E22" si="3">SUM(C21:D21)</f>
        <v>10000</v>
      </c>
    </row>
    <row r="22" spans="1:5" s="843" customFormat="1" x14ac:dyDescent="0.25">
      <c r="A22" s="882"/>
      <c r="B22" s="881" t="s">
        <v>175</v>
      </c>
      <c r="C22" s="883">
        <f t="shared" ref="C22:D22" si="4">SUM(C21)</f>
        <v>10000</v>
      </c>
      <c r="D22" s="883">
        <f t="shared" si="4"/>
        <v>0</v>
      </c>
      <c r="E22" s="883">
        <f t="shared" si="3"/>
        <v>10000</v>
      </c>
    </row>
    <row r="23" spans="1:5" s="843" customFormat="1" x14ac:dyDescent="0.25">
      <c r="A23" s="882"/>
      <c r="B23" s="881"/>
      <c r="C23" s="883"/>
      <c r="D23" s="883"/>
      <c r="E23" s="883"/>
    </row>
    <row r="24" spans="1:5" s="843" customFormat="1" ht="31.5" x14ac:dyDescent="0.25">
      <c r="A24" s="881" t="s">
        <v>858</v>
      </c>
      <c r="B24" s="882" t="s">
        <v>909</v>
      </c>
      <c r="C24" s="1118">
        <v>12000</v>
      </c>
      <c r="D24" s="1118">
        <v>756</v>
      </c>
      <c r="E24" s="1118">
        <f t="shared" si="0"/>
        <v>12756</v>
      </c>
    </row>
    <row r="25" spans="1:5" s="843" customFormat="1" x14ac:dyDescent="0.25">
      <c r="A25" s="882"/>
      <c r="B25" s="881" t="s">
        <v>175</v>
      </c>
      <c r="C25" s="883">
        <f>SUM(C24)</f>
        <v>12000</v>
      </c>
      <c r="D25" s="883">
        <f>SUM(D24)</f>
        <v>756</v>
      </c>
      <c r="E25" s="883">
        <f t="shared" si="0"/>
        <v>12756</v>
      </c>
    </row>
    <row r="26" spans="1:5" s="843" customFormat="1" x14ac:dyDescent="0.25">
      <c r="A26" s="882"/>
      <c r="B26" s="881"/>
      <c r="C26" s="883"/>
      <c r="D26" s="883"/>
      <c r="E26" s="883"/>
    </row>
    <row r="27" spans="1:5" s="843" customFormat="1" x14ac:dyDescent="0.25">
      <c r="A27" s="881" t="s">
        <v>862</v>
      </c>
      <c r="B27" s="882" t="s">
        <v>910</v>
      </c>
      <c r="C27" s="1118">
        <v>50000</v>
      </c>
      <c r="D27" s="1118"/>
      <c r="E27" s="1118">
        <f t="shared" si="0"/>
        <v>50000</v>
      </c>
    </row>
    <row r="28" spans="1:5" s="843" customFormat="1" x14ac:dyDescent="0.25">
      <c r="A28" s="882"/>
      <c r="B28" s="881" t="s">
        <v>175</v>
      </c>
      <c r="C28" s="883">
        <f>SUM(C27:C27)</f>
        <v>50000</v>
      </c>
      <c r="D28" s="883">
        <f>SUM(D27:D27)</f>
        <v>0</v>
      </c>
      <c r="E28" s="883">
        <f t="shared" si="0"/>
        <v>50000</v>
      </c>
    </row>
    <row r="29" spans="1:5" s="843" customFormat="1" x14ac:dyDescent="0.25">
      <c r="A29" s="882"/>
      <c r="B29" s="881"/>
      <c r="C29" s="883"/>
      <c r="D29" s="883"/>
      <c r="E29" s="883"/>
    </row>
    <row r="30" spans="1:5" s="843" customFormat="1" x14ac:dyDescent="0.25">
      <c r="A30" s="881" t="s">
        <v>706</v>
      </c>
      <c r="B30" s="882" t="s">
        <v>707</v>
      </c>
      <c r="C30" s="1118">
        <v>6123</v>
      </c>
      <c r="D30" s="1118"/>
      <c r="E30" s="1118">
        <f t="shared" si="0"/>
        <v>6123</v>
      </c>
    </row>
    <row r="31" spans="1:5" s="843" customFormat="1" x14ac:dyDescent="0.25">
      <c r="A31" s="882"/>
      <c r="B31" s="881" t="s">
        <v>175</v>
      </c>
      <c r="C31" s="883">
        <f>SUM(C30:C30)</f>
        <v>6123</v>
      </c>
      <c r="D31" s="883">
        <f>SUM(D30:D30)</f>
        <v>0</v>
      </c>
      <c r="E31" s="883">
        <f t="shared" si="0"/>
        <v>6123</v>
      </c>
    </row>
    <row r="32" spans="1:5" s="843" customFormat="1" x14ac:dyDescent="0.25">
      <c r="A32" s="882"/>
      <c r="B32" s="882"/>
      <c r="C32" s="1118"/>
      <c r="D32" s="1118"/>
      <c r="E32" s="1118"/>
    </row>
    <row r="33" spans="1:5" s="843" customFormat="1" ht="31.5" x14ac:dyDescent="0.25">
      <c r="A33" s="881" t="s">
        <v>863</v>
      </c>
      <c r="B33" s="882" t="s">
        <v>866</v>
      </c>
      <c r="C33" s="1118">
        <v>19054</v>
      </c>
      <c r="D33" s="1118">
        <v>-6259</v>
      </c>
      <c r="E33" s="1118">
        <f t="shared" si="0"/>
        <v>12795</v>
      </c>
    </row>
    <row r="34" spans="1:5" s="843" customFormat="1" x14ac:dyDescent="0.25">
      <c r="A34" s="882"/>
      <c r="B34" s="881" t="s">
        <v>175</v>
      </c>
      <c r="C34" s="883">
        <f t="shared" ref="C34:D34" si="5">SUM(C33)</f>
        <v>19054</v>
      </c>
      <c r="D34" s="883">
        <f t="shared" si="5"/>
        <v>-6259</v>
      </c>
      <c r="E34" s="883">
        <f t="shared" si="0"/>
        <v>12795</v>
      </c>
    </row>
    <row r="35" spans="1:5" s="843" customFormat="1" x14ac:dyDescent="0.25">
      <c r="A35" s="882"/>
      <c r="B35" s="882"/>
      <c r="C35" s="1118"/>
      <c r="D35" s="1118"/>
      <c r="E35" s="1118"/>
    </row>
    <row r="36" spans="1:5" s="843" customFormat="1" ht="31.5" x14ac:dyDescent="0.25">
      <c r="A36" s="881" t="s">
        <v>708</v>
      </c>
      <c r="B36" s="882" t="s">
        <v>1139</v>
      </c>
      <c r="C36" s="1118">
        <v>39988</v>
      </c>
      <c r="D36" s="1118"/>
      <c r="E36" s="1118">
        <f t="shared" si="0"/>
        <v>39988</v>
      </c>
    </row>
    <row r="37" spans="1:5" s="843" customFormat="1" x14ac:dyDescent="0.25">
      <c r="A37" s="881"/>
      <c r="B37" s="882" t="s">
        <v>597</v>
      </c>
      <c r="C37" s="1118">
        <v>2680</v>
      </c>
      <c r="D37" s="1118"/>
      <c r="E37" s="1118">
        <f t="shared" si="0"/>
        <v>2680</v>
      </c>
    </row>
    <row r="38" spans="1:5" s="843" customFormat="1" x14ac:dyDescent="0.25">
      <c r="A38" s="882"/>
      <c r="B38" s="881" t="s">
        <v>175</v>
      </c>
      <c r="C38" s="883">
        <f>SUM(C36:C37)</f>
        <v>42668</v>
      </c>
      <c r="D38" s="883">
        <f>SUM(D36:D37)</f>
        <v>0</v>
      </c>
      <c r="E38" s="883">
        <f t="shared" si="0"/>
        <v>42668</v>
      </c>
    </row>
    <row r="39" spans="1:5" s="843" customFormat="1" x14ac:dyDescent="0.25">
      <c r="A39" s="882"/>
      <c r="B39" s="882"/>
      <c r="C39" s="1118"/>
      <c r="D39" s="1118"/>
      <c r="E39" s="1118"/>
    </row>
    <row r="40" spans="1:5" s="843" customFormat="1" x14ac:dyDescent="0.25">
      <c r="A40" s="881" t="s">
        <v>401</v>
      </c>
      <c r="B40" s="882" t="s">
        <v>911</v>
      </c>
      <c r="C40" s="1118">
        <v>11431</v>
      </c>
      <c r="D40" s="1118">
        <v>-965</v>
      </c>
      <c r="E40" s="1118">
        <f t="shared" si="0"/>
        <v>10466</v>
      </c>
    </row>
    <row r="41" spans="1:5" s="843" customFormat="1" x14ac:dyDescent="0.25">
      <c r="A41" s="882"/>
      <c r="B41" s="881" t="s">
        <v>175</v>
      </c>
      <c r="C41" s="883">
        <f t="shared" ref="C41:D41" si="6">SUM(C40)</f>
        <v>11431</v>
      </c>
      <c r="D41" s="883">
        <f t="shared" si="6"/>
        <v>-965</v>
      </c>
      <c r="E41" s="883">
        <f t="shared" si="0"/>
        <v>10466</v>
      </c>
    </row>
    <row r="42" spans="1:5" s="843" customFormat="1" x14ac:dyDescent="0.25">
      <c r="A42" s="882"/>
      <c r="B42" s="882"/>
      <c r="C42" s="1118"/>
      <c r="D42" s="1118"/>
      <c r="E42" s="1118"/>
    </row>
    <row r="43" spans="1:5" s="843" customFormat="1" ht="31.5" x14ac:dyDescent="0.25">
      <c r="A43" s="881" t="s">
        <v>859</v>
      </c>
      <c r="B43" s="882" t="s">
        <v>912</v>
      </c>
      <c r="C43" s="1118">
        <v>17732</v>
      </c>
      <c r="D43" s="1118">
        <f>-745-756</f>
        <v>-1501</v>
      </c>
      <c r="E43" s="1118">
        <f t="shared" si="0"/>
        <v>16231</v>
      </c>
    </row>
    <row r="44" spans="1:5" s="843" customFormat="1" x14ac:dyDescent="0.25">
      <c r="A44" s="881"/>
      <c r="B44" s="882" t="s">
        <v>867</v>
      </c>
      <c r="C44" s="1118">
        <v>18000</v>
      </c>
      <c r="D44" s="1118">
        <v>-2620</v>
      </c>
      <c r="E44" s="1118">
        <f t="shared" si="0"/>
        <v>15380</v>
      </c>
    </row>
    <row r="45" spans="1:5" s="843" customFormat="1" x14ac:dyDescent="0.25">
      <c r="A45" s="882"/>
      <c r="B45" s="881" t="s">
        <v>175</v>
      </c>
      <c r="C45" s="883">
        <f>SUM(C43:C44)</f>
        <v>35732</v>
      </c>
      <c r="D45" s="883">
        <f>SUM(D43:D44)</f>
        <v>-4121</v>
      </c>
      <c r="E45" s="883">
        <f t="shared" si="0"/>
        <v>31611</v>
      </c>
    </row>
    <row r="46" spans="1:5" s="843" customFormat="1" x14ac:dyDescent="0.25">
      <c r="A46" s="882"/>
      <c r="B46" s="882"/>
      <c r="C46" s="1118"/>
      <c r="D46" s="1118"/>
      <c r="E46" s="1118"/>
    </row>
    <row r="47" spans="1:5" s="843" customFormat="1" x14ac:dyDescent="0.25">
      <c r="A47" s="881" t="s">
        <v>32</v>
      </c>
      <c r="B47" s="882" t="s">
        <v>707</v>
      </c>
      <c r="C47" s="1118">
        <v>5877</v>
      </c>
      <c r="D47" s="1118"/>
      <c r="E47" s="1118">
        <f t="shared" si="0"/>
        <v>5877</v>
      </c>
    </row>
    <row r="48" spans="1:5" s="843" customFormat="1" x14ac:dyDescent="0.25">
      <c r="A48" s="882"/>
      <c r="B48" s="881" t="s">
        <v>175</v>
      </c>
      <c r="C48" s="883">
        <f>SUM(C47:C47)</f>
        <v>5877</v>
      </c>
      <c r="D48" s="883">
        <f>SUM(D47:D47)</f>
        <v>0</v>
      </c>
      <c r="E48" s="883">
        <f t="shared" si="0"/>
        <v>5877</v>
      </c>
    </row>
    <row r="49" spans="1:5" s="843" customFormat="1" x14ac:dyDescent="0.25">
      <c r="A49" s="882"/>
      <c r="B49" s="882"/>
      <c r="C49" s="1118"/>
      <c r="D49" s="1118"/>
      <c r="E49" s="1118"/>
    </row>
    <row r="50" spans="1:5" s="843" customFormat="1" x14ac:dyDescent="0.25">
      <c r="A50" s="881" t="s">
        <v>403</v>
      </c>
      <c r="B50" s="882" t="s">
        <v>1140</v>
      </c>
      <c r="C50" s="1118">
        <v>12491</v>
      </c>
      <c r="D50" s="1118"/>
      <c r="E50" s="1118">
        <f t="shared" ref="E50:E51" si="7">SUM(C50:D50)</f>
        <v>12491</v>
      </c>
    </row>
    <row r="51" spans="1:5" s="843" customFormat="1" x14ac:dyDescent="0.25">
      <c r="A51" s="882"/>
      <c r="B51" s="881" t="s">
        <v>175</v>
      </c>
      <c r="C51" s="883">
        <f t="shared" ref="C51:D51" si="8">SUM(C50)</f>
        <v>12491</v>
      </c>
      <c r="D51" s="883">
        <f t="shared" si="8"/>
        <v>0</v>
      </c>
      <c r="E51" s="883">
        <f t="shared" si="7"/>
        <v>12491</v>
      </c>
    </row>
    <row r="52" spans="1:5" s="843" customFormat="1" x14ac:dyDescent="0.25">
      <c r="A52" s="882"/>
      <c r="B52" s="882"/>
      <c r="C52" s="1118"/>
      <c r="D52" s="1118"/>
      <c r="E52" s="1118"/>
    </row>
    <row r="53" spans="1:5" s="843" customFormat="1" x14ac:dyDescent="0.25">
      <c r="A53" s="881" t="s">
        <v>1141</v>
      </c>
      <c r="B53" s="882" t="s">
        <v>1140</v>
      </c>
      <c r="C53" s="1118">
        <v>10141</v>
      </c>
      <c r="D53" s="1118"/>
      <c r="E53" s="1118">
        <f t="shared" ref="E53:E54" si="9">SUM(C53:D53)</f>
        <v>10141</v>
      </c>
    </row>
    <row r="54" spans="1:5" s="843" customFormat="1" x14ac:dyDescent="0.25">
      <c r="A54" s="882"/>
      <c r="B54" s="881" t="s">
        <v>175</v>
      </c>
      <c r="C54" s="883">
        <f t="shared" ref="C54:D54" si="10">SUM(C53)</f>
        <v>10141</v>
      </c>
      <c r="D54" s="883">
        <f t="shared" si="10"/>
        <v>0</v>
      </c>
      <c r="E54" s="883">
        <f t="shared" si="9"/>
        <v>10141</v>
      </c>
    </row>
    <row r="55" spans="1:5" s="843" customFormat="1" x14ac:dyDescent="0.25">
      <c r="A55" s="882"/>
      <c r="B55" s="882"/>
      <c r="C55" s="1118"/>
      <c r="D55" s="1118"/>
      <c r="E55" s="1118"/>
    </row>
    <row r="56" spans="1:5" s="843" customFormat="1" ht="31.5" x14ac:dyDescent="0.25">
      <c r="A56" s="881" t="s">
        <v>1142</v>
      </c>
      <c r="B56" s="882" t="s">
        <v>1140</v>
      </c>
      <c r="C56" s="1118">
        <v>11138</v>
      </c>
      <c r="D56" s="1118"/>
      <c r="E56" s="1118">
        <f t="shared" ref="E56:E57" si="11">SUM(C56:D56)</f>
        <v>11138</v>
      </c>
    </row>
    <row r="57" spans="1:5" s="843" customFormat="1" x14ac:dyDescent="0.25">
      <c r="A57" s="882"/>
      <c r="B57" s="881" t="s">
        <v>175</v>
      </c>
      <c r="C57" s="883">
        <f t="shared" ref="C57:D57" si="12">SUM(C56)</f>
        <v>11138</v>
      </c>
      <c r="D57" s="883">
        <f t="shared" si="12"/>
        <v>0</v>
      </c>
      <c r="E57" s="883">
        <f t="shared" si="11"/>
        <v>11138</v>
      </c>
    </row>
    <row r="58" spans="1:5" s="843" customFormat="1" x14ac:dyDescent="0.25">
      <c r="A58" s="882"/>
      <c r="B58" s="882"/>
      <c r="C58" s="1118"/>
      <c r="D58" s="1118"/>
      <c r="E58" s="1118"/>
    </row>
    <row r="59" spans="1:5" s="843" customFormat="1" x14ac:dyDescent="0.25">
      <c r="A59" s="881" t="s">
        <v>514</v>
      </c>
      <c r="B59" s="882" t="s">
        <v>1140</v>
      </c>
      <c r="C59" s="1118">
        <v>4441</v>
      </c>
      <c r="D59" s="1118"/>
      <c r="E59" s="1118">
        <f t="shared" ref="E59:E60" si="13">SUM(C59:D59)</f>
        <v>4441</v>
      </c>
    </row>
    <row r="60" spans="1:5" s="843" customFormat="1" x14ac:dyDescent="0.25">
      <c r="A60" s="882"/>
      <c r="B60" s="881" t="s">
        <v>175</v>
      </c>
      <c r="C60" s="883">
        <f t="shared" ref="C60:D60" si="14">SUM(C59)</f>
        <v>4441</v>
      </c>
      <c r="D60" s="883">
        <f t="shared" si="14"/>
        <v>0</v>
      </c>
      <c r="E60" s="883">
        <f t="shared" si="13"/>
        <v>4441</v>
      </c>
    </row>
    <row r="61" spans="1:5" s="843" customFormat="1" x14ac:dyDescent="0.25">
      <c r="A61" s="882"/>
      <c r="B61" s="882"/>
      <c r="C61" s="1118"/>
      <c r="D61" s="1118"/>
      <c r="E61" s="1118"/>
    </row>
    <row r="62" spans="1:5" s="843" customFormat="1" x14ac:dyDescent="0.25">
      <c r="A62" s="881" t="s">
        <v>402</v>
      </c>
      <c r="B62" s="882" t="s">
        <v>868</v>
      </c>
      <c r="C62" s="1118">
        <v>19707</v>
      </c>
      <c r="D62" s="1118"/>
      <c r="E62" s="1118">
        <f t="shared" si="0"/>
        <v>19707</v>
      </c>
    </row>
    <row r="63" spans="1:5" s="843" customFormat="1" x14ac:dyDescent="0.25">
      <c r="A63" s="882"/>
      <c r="B63" s="881" t="s">
        <v>175</v>
      </c>
      <c r="C63" s="883">
        <f t="shared" ref="C63:D63" si="15">SUM(C62)</f>
        <v>19707</v>
      </c>
      <c r="D63" s="883">
        <f t="shared" si="15"/>
        <v>0</v>
      </c>
      <c r="E63" s="883">
        <f t="shared" si="0"/>
        <v>19707</v>
      </c>
    </row>
    <row r="64" spans="1:5" s="843" customFormat="1" x14ac:dyDescent="0.25">
      <c r="A64" s="882"/>
      <c r="B64" s="882"/>
      <c r="C64" s="1118"/>
      <c r="D64" s="1118"/>
      <c r="E64" s="1118"/>
    </row>
    <row r="65" spans="1:5" s="843" customFormat="1" x14ac:dyDescent="0.25">
      <c r="A65" s="881" t="s">
        <v>860</v>
      </c>
      <c r="B65" s="882" t="s">
        <v>867</v>
      </c>
      <c r="C65" s="1118">
        <v>30000</v>
      </c>
      <c r="D65" s="1118">
        <v>-5033</v>
      </c>
      <c r="E65" s="1118">
        <f t="shared" si="0"/>
        <v>24967</v>
      </c>
    </row>
    <row r="66" spans="1:5" s="843" customFormat="1" x14ac:dyDescent="0.25">
      <c r="A66" s="882"/>
      <c r="B66" s="881" t="s">
        <v>175</v>
      </c>
      <c r="C66" s="883">
        <f t="shared" ref="C66:D66" si="16">SUM(C65)</f>
        <v>30000</v>
      </c>
      <c r="D66" s="883">
        <f t="shared" si="16"/>
        <v>-5033</v>
      </c>
      <c r="E66" s="883">
        <f t="shared" si="0"/>
        <v>24967</v>
      </c>
    </row>
    <row r="67" spans="1:5" s="843" customFormat="1" x14ac:dyDescent="0.25">
      <c r="A67" s="882"/>
      <c r="B67" s="882"/>
      <c r="C67" s="1118"/>
      <c r="D67" s="1118"/>
      <c r="E67" s="1118"/>
    </row>
    <row r="68" spans="1:5" s="843" customFormat="1" ht="31.5" x14ac:dyDescent="0.25">
      <c r="A68" s="881" t="s">
        <v>709</v>
      </c>
      <c r="B68" s="882" t="s">
        <v>710</v>
      </c>
      <c r="C68" s="1118">
        <v>504750</v>
      </c>
      <c r="D68" s="1118">
        <v>95250</v>
      </c>
      <c r="E68" s="1118">
        <f t="shared" si="0"/>
        <v>600000</v>
      </c>
    </row>
    <row r="69" spans="1:5" s="843" customFormat="1" x14ac:dyDescent="0.25">
      <c r="A69" s="882"/>
      <c r="B69" s="881" t="s">
        <v>175</v>
      </c>
      <c r="C69" s="883">
        <f t="shared" ref="C69:D69" si="17">SUM(C68)</f>
        <v>504750</v>
      </c>
      <c r="D69" s="883">
        <f t="shared" si="17"/>
        <v>95250</v>
      </c>
      <c r="E69" s="883">
        <f t="shared" si="0"/>
        <v>600000</v>
      </c>
    </row>
    <row r="70" spans="1:5" s="843" customFormat="1" x14ac:dyDescent="0.25">
      <c r="A70" s="882"/>
      <c r="B70" s="882"/>
      <c r="C70" s="1118"/>
      <c r="D70" s="1118"/>
      <c r="E70" s="1118"/>
    </row>
    <row r="71" spans="1:5" s="843" customFormat="1" x14ac:dyDescent="0.25">
      <c r="A71" s="881" t="s">
        <v>856</v>
      </c>
      <c r="B71" s="882" t="s">
        <v>869</v>
      </c>
      <c r="C71" s="1118">
        <v>15000</v>
      </c>
      <c r="D71" s="1118"/>
      <c r="E71" s="1118">
        <f t="shared" si="0"/>
        <v>15000</v>
      </c>
    </row>
    <row r="72" spans="1:5" s="843" customFormat="1" x14ac:dyDescent="0.25">
      <c r="A72" s="882"/>
      <c r="B72" s="881" t="s">
        <v>175</v>
      </c>
      <c r="C72" s="883">
        <f>SUM(C71:C71)</f>
        <v>15000</v>
      </c>
      <c r="D72" s="883">
        <f>SUM(D71:D71)</f>
        <v>0</v>
      </c>
      <c r="E72" s="883">
        <f t="shared" si="0"/>
        <v>15000</v>
      </c>
    </row>
    <row r="73" spans="1:5" s="843" customFormat="1" x14ac:dyDescent="0.25">
      <c r="A73" s="882"/>
      <c r="B73" s="882"/>
      <c r="C73" s="1118"/>
      <c r="D73" s="1118"/>
      <c r="E73" s="1118"/>
    </row>
    <row r="74" spans="1:5" s="843" customFormat="1" x14ac:dyDescent="0.25">
      <c r="A74" s="881" t="s">
        <v>857</v>
      </c>
      <c r="B74" s="882" t="s">
        <v>870</v>
      </c>
      <c r="C74" s="1118">
        <v>17358</v>
      </c>
      <c r="D74" s="1118">
        <v>-11</v>
      </c>
      <c r="E74" s="1118">
        <f t="shared" si="0"/>
        <v>17347</v>
      </c>
    </row>
    <row r="75" spans="1:5" s="843" customFormat="1" x14ac:dyDescent="0.25">
      <c r="A75" s="882"/>
      <c r="B75" s="881" t="s">
        <v>175</v>
      </c>
      <c r="C75" s="883">
        <f>SUM(C74:C74)</f>
        <v>17358</v>
      </c>
      <c r="D75" s="883">
        <f>SUM(D74:D74)</f>
        <v>-11</v>
      </c>
      <c r="E75" s="883">
        <f t="shared" si="0"/>
        <v>17347</v>
      </c>
    </row>
    <row r="76" spans="1:5" s="843" customFormat="1" x14ac:dyDescent="0.25">
      <c r="A76" s="882"/>
      <c r="B76" s="882"/>
      <c r="C76" s="1118"/>
      <c r="D76" s="1118"/>
      <c r="E76" s="1118"/>
    </row>
    <row r="77" spans="1:5" s="843" customFormat="1" x14ac:dyDescent="0.25">
      <c r="A77" s="881" t="s">
        <v>258</v>
      </c>
      <c r="B77" s="882" t="s">
        <v>864</v>
      </c>
      <c r="C77" s="1118">
        <v>35352</v>
      </c>
      <c r="D77" s="1118"/>
      <c r="E77" s="1118">
        <f t="shared" si="0"/>
        <v>35352</v>
      </c>
    </row>
    <row r="78" spans="1:5" s="843" customFormat="1" x14ac:dyDescent="0.25">
      <c r="A78" s="881"/>
      <c r="B78" s="882" t="s">
        <v>871</v>
      </c>
      <c r="C78" s="1118">
        <v>40000</v>
      </c>
      <c r="D78" s="1118"/>
      <c r="E78" s="1118">
        <f t="shared" si="0"/>
        <v>40000</v>
      </c>
    </row>
    <row r="79" spans="1:5" s="884" customFormat="1" x14ac:dyDescent="0.25">
      <c r="A79" s="881"/>
      <c r="B79" s="881" t="s">
        <v>175</v>
      </c>
      <c r="C79" s="1119">
        <f>SUM(C77:C78)</f>
        <v>75352</v>
      </c>
      <c r="D79" s="1119">
        <f>SUM(D77:D78)</f>
        <v>0</v>
      </c>
      <c r="E79" s="1119">
        <f t="shared" si="0"/>
        <v>75352</v>
      </c>
    </row>
    <row r="80" spans="1:5" s="843" customFormat="1" x14ac:dyDescent="0.25">
      <c r="A80" s="882"/>
      <c r="B80" s="882"/>
      <c r="C80" s="1118"/>
      <c r="D80" s="1118"/>
      <c r="E80" s="1118"/>
    </row>
    <row r="81" spans="1:5" s="843" customFormat="1" ht="31.5" x14ac:dyDescent="0.25">
      <c r="A81" s="881" t="s">
        <v>711</v>
      </c>
      <c r="B81" s="882" t="s">
        <v>712</v>
      </c>
      <c r="C81" s="1118">
        <v>67930</v>
      </c>
      <c r="D81" s="1118"/>
      <c r="E81" s="1118">
        <f t="shared" si="0"/>
        <v>67930</v>
      </c>
    </row>
    <row r="82" spans="1:5" s="884" customFormat="1" x14ac:dyDescent="0.25">
      <c r="A82" s="881"/>
      <c r="B82" s="881" t="s">
        <v>175</v>
      </c>
      <c r="C82" s="1119">
        <f>SUM(C81:C81)</f>
        <v>67930</v>
      </c>
      <c r="D82" s="1119">
        <f>SUM(D81:D81)</f>
        <v>0</v>
      </c>
      <c r="E82" s="1119">
        <f t="shared" si="0"/>
        <v>67930</v>
      </c>
    </row>
    <row r="83" spans="1:5" s="843" customFormat="1" x14ac:dyDescent="0.25">
      <c r="A83" s="882"/>
      <c r="B83" s="882"/>
      <c r="C83" s="1118"/>
      <c r="D83" s="1118"/>
      <c r="E83" s="1118"/>
    </row>
    <row r="84" spans="1:5" s="843" customFormat="1" x14ac:dyDescent="0.25">
      <c r="A84" s="881" t="s">
        <v>416</v>
      </c>
      <c r="B84" s="843" t="s">
        <v>872</v>
      </c>
      <c r="C84" s="1118">
        <v>47729</v>
      </c>
      <c r="D84" s="1118"/>
      <c r="E84" s="1118">
        <f t="shared" si="0"/>
        <v>47729</v>
      </c>
    </row>
    <row r="85" spans="1:5" s="843" customFormat="1" x14ac:dyDescent="0.25">
      <c r="A85" s="881"/>
      <c r="B85" s="882" t="s">
        <v>259</v>
      </c>
      <c r="C85" s="1118">
        <v>14542</v>
      </c>
      <c r="D85" s="1118"/>
      <c r="E85" s="1118">
        <f t="shared" si="0"/>
        <v>14542</v>
      </c>
    </row>
    <row r="86" spans="1:5" s="843" customFormat="1" x14ac:dyDescent="0.25">
      <c r="A86" s="882"/>
      <c r="B86" s="881" t="s">
        <v>175</v>
      </c>
      <c r="C86" s="883">
        <f>SUM(C84:C85)</f>
        <v>62271</v>
      </c>
      <c r="D86" s="883">
        <f>SUM(D84:D85)</f>
        <v>0</v>
      </c>
      <c r="E86" s="883">
        <f t="shared" si="0"/>
        <v>62271</v>
      </c>
    </row>
    <row r="87" spans="1:5" s="843" customFormat="1" x14ac:dyDescent="0.25">
      <c r="A87" s="882"/>
      <c r="B87" s="881"/>
      <c r="C87" s="883"/>
      <c r="D87" s="883"/>
      <c r="E87" s="883"/>
    </row>
    <row r="88" spans="1:5" s="843" customFormat="1" ht="31.5" x14ac:dyDescent="0.25">
      <c r="A88" s="881" t="s">
        <v>652</v>
      </c>
      <c r="B88" s="882" t="s">
        <v>713</v>
      </c>
      <c r="C88" s="1118">
        <v>4234</v>
      </c>
      <c r="D88" s="1118"/>
      <c r="E88" s="1118">
        <f t="shared" ref="E88:E112" si="18">SUM(C88:D88)</f>
        <v>4234</v>
      </c>
    </row>
    <row r="89" spans="1:5" s="843" customFormat="1" ht="31.5" x14ac:dyDescent="0.25">
      <c r="A89" s="881"/>
      <c r="B89" s="882" t="s">
        <v>861</v>
      </c>
      <c r="C89" s="1118">
        <v>32000</v>
      </c>
      <c r="D89" s="1118">
        <v>-26</v>
      </c>
      <c r="E89" s="1118">
        <f t="shared" si="18"/>
        <v>31974</v>
      </c>
    </row>
    <row r="90" spans="1:5" s="843" customFormat="1" x14ac:dyDescent="0.25">
      <c r="A90" s="881"/>
      <c r="B90" s="882" t="s">
        <v>873</v>
      </c>
      <c r="C90" s="1118">
        <v>15809</v>
      </c>
      <c r="D90" s="1118">
        <v>-257</v>
      </c>
      <c r="E90" s="1118">
        <f t="shared" si="18"/>
        <v>15552</v>
      </c>
    </row>
    <row r="91" spans="1:5" s="843" customFormat="1" x14ac:dyDescent="0.25">
      <c r="A91" s="882"/>
      <c r="B91" s="881" t="s">
        <v>175</v>
      </c>
      <c r="C91" s="883">
        <f>SUM(C88:C90)</f>
        <v>52043</v>
      </c>
      <c r="D91" s="883">
        <f>SUM(D88:D90)</f>
        <v>-283</v>
      </c>
      <c r="E91" s="883">
        <f t="shared" si="18"/>
        <v>51760</v>
      </c>
    </row>
    <row r="92" spans="1:5" s="843" customFormat="1" x14ac:dyDescent="0.25">
      <c r="A92" s="882"/>
      <c r="B92" s="881"/>
      <c r="C92" s="883"/>
      <c r="D92" s="883"/>
      <c r="E92" s="883"/>
    </row>
    <row r="93" spans="1:5" s="843" customFormat="1" x14ac:dyDescent="0.25">
      <c r="A93" s="881" t="s">
        <v>865</v>
      </c>
      <c r="B93" s="882" t="s">
        <v>874</v>
      </c>
      <c r="C93" s="1118">
        <v>4000</v>
      </c>
      <c r="D93" s="1118">
        <v>-589</v>
      </c>
      <c r="E93" s="1118">
        <f t="shared" si="18"/>
        <v>3411</v>
      </c>
    </row>
    <row r="94" spans="1:5" s="843" customFormat="1" x14ac:dyDescent="0.25">
      <c r="A94" s="882"/>
      <c r="B94" s="881" t="s">
        <v>175</v>
      </c>
      <c r="C94" s="883">
        <f t="shared" ref="C94:D94" si="19">SUM(C93)</f>
        <v>4000</v>
      </c>
      <c r="D94" s="883">
        <f t="shared" si="19"/>
        <v>-589</v>
      </c>
      <c r="E94" s="883">
        <f t="shared" si="18"/>
        <v>3411</v>
      </c>
    </row>
    <row r="95" spans="1:5" s="843" customFormat="1" x14ac:dyDescent="0.25">
      <c r="A95" s="882"/>
      <c r="B95" s="881"/>
      <c r="C95" s="883"/>
      <c r="D95" s="883"/>
      <c r="E95" s="883"/>
    </row>
    <row r="96" spans="1:5" s="843" customFormat="1" x14ac:dyDescent="0.25">
      <c r="A96" s="881" t="s">
        <v>508</v>
      </c>
      <c r="B96" s="882"/>
      <c r="C96" s="1119">
        <v>47243</v>
      </c>
      <c r="D96" s="1119">
        <f>5858+965+745+2620+6259+5033+11+589+26+257</f>
        <v>22363</v>
      </c>
      <c r="E96" s="1119">
        <f t="shared" si="18"/>
        <v>69606</v>
      </c>
    </row>
    <row r="97" spans="1:5" s="843" customFormat="1" x14ac:dyDescent="0.25">
      <c r="A97" s="881"/>
      <c r="B97" s="882"/>
      <c r="C97" s="1119"/>
      <c r="D97" s="1119"/>
      <c r="E97" s="1119"/>
    </row>
    <row r="98" spans="1:5" s="843" customFormat="1" x14ac:dyDescent="0.25">
      <c r="A98" s="881" t="s">
        <v>260</v>
      </c>
      <c r="B98" s="882"/>
      <c r="C98" s="885">
        <v>51658</v>
      </c>
      <c r="D98" s="885"/>
      <c r="E98" s="885">
        <f t="shared" si="18"/>
        <v>51658</v>
      </c>
    </row>
    <row r="99" spans="1:5" s="843" customFormat="1" x14ac:dyDescent="0.25">
      <c r="A99" s="1070" t="s">
        <v>608</v>
      </c>
      <c r="B99" s="1071"/>
      <c r="C99" s="1120"/>
      <c r="D99" s="1120"/>
      <c r="E99" s="1120"/>
    </row>
    <row r="100" spans="1:5" s="843" customFormat="1" ht="31.5" x14ac:dyDescent="0.25">
      <c r="A100" s="881" t="s">
        <v>396</v>
      </c>
      <c r="B100" s="882" t="s">
        <v>714</v>
      </c>
      <c r="C100" s="1118">
        <v>171254</v>
      </c>
      <c r="D100" s="1118"/>
      <c r="E100" s="1118">
        <f t="shared" si="18"/>
        <v>171254</v>
      </c>
    </row>
    <row r="101" spans="1:5" s="884" customFormat="1" x14ac:dyDescent="0.25">
      <c r="A101" s="881"/>
      <c r="B101" s="881" t="s">
        <v>175</v>
      </c>
      <c r="C101" s="883">
        <f t="shared" ref="C101:D101" si="20">SUM(C100)</f>
        <v>171254</v>
      </c>
      <c r="D101" s="883">
        <f t="shared" si="20"/>
        <v>0</v>
      </c>
      <c r="E101" s="883">
        <f t="shared" si="18"/>
        <v>171254</v>
      </c>
    </row>
    <row r="102" spans="1:5" s="843" customFormat="1" x14ac:dyDescent="0.25">
      <c r="A102" s="882"/>
      <c r="B102" s="882"/>
      <c r="C102" s="1118"/>
      <c r="D102" s="1118"/>
      <c r="E102" s="1118"/>
    </row>
    <row r="103" spans="1:5" s="843" customFormat="1" x14ac:dyDescent="0.25">
      <c r="A103" s="881" t="s">
        <v>717</v>
      </c>
      <c r="B103" s="882" t="s">
        <v>718</v>
      </c>
      <c r="C103" s="1118">
        <v>111695</v>
      </c>
      <c r="D103" s="1118"/>
      <c r="E103" s="1118">
        <f t="shared" si="18"/>
        <v>111695</v>
      </c>
    </row>
    <row r="104" spans="1:5" s="884" customFormat="1" x14ac:dyDescent="0.25">
      <c r="A104" s="881"/>
      <c r="B104" s="881" t="s">
        <v>175</v>
      </c>
      <c r="C104" s="883">
        <f t="shared" ref="C104:D104" si="21">SUM(C103)</f>
        <v>111695</v>
      </c>
      <c r="D104" s="883">
        <f t="shared" si="21"/>
        <v>0</v>
      </c>
      <c r="E104" s="883">
        <f t="shared" si="18"/>
        <v>111695</v>
      </c>
    </row>
    <row r="105" spans="1:5" s="843" customFormat="1" x14ac:dyDescent="0.25">
      <c r="A105" s="882"/>
      <c r="B105" s="882"/>
      <c r="C105" s="1118"/>
      <c r="D105" s="1118"/>
      <c r="E105" s="1118"/>
    </row>
    <row r="106" spans="1:5" s="843" customFormat="1" ht="47.25" x14ac:dyDescent="0.25">
      <c r="A106" s="881" t="s">
        <v>715</v>
      </c>
      <c r="B106" s="882" t="s">
        <v>716</v>
      </c>
      <c r="C106" s="1118">
        <v>70917</v>
      </c>
      <c r="D106" s="1118"/>
      <c r="E106" s="1118">
        <f t="shared" si="18"/>
        <v>70917</v>
      </c>
    </row>
    <row r="107" spans="1:5" s="884" customFormat="1" x14ac:dyDescent="0.25">
      <c r="A107" s="881"/>
      <c r="B107" s="881" t="s">
        <v>175</v>
      </c>
      <c r="C107" s="883">
        <f t="shared" ref="C107:D107" si="22">SUM(C106)</f>
        <v>70917</v>
      </c>
      <c r="D107" s="883">
        <f t="shared" si="22"/>
        <v>0</v>
      </c>
      <c r="E107" s="883">
        <f t="shared" si="18"/>
        <v>70917</v>
      </c>
    </row>
    <row r="108" spans="1:5" s="843" customFormat="1" x14ac:dyDescent="0.25">
      <c r="A108" s="882"/>
      <c r="B108" s="882"/>
      <c r="C108" s="1118"/>
      <c r="D108" s="1118"/>
      <c r="E108" s="1118"/>
    </row>
    <row r="109" spans="1:5" s="843" customFormat="1" x14ac:dyDescent="0.25">
      <c r="A109" s="881" t="s">
        <v>719</v>
      </c>
      <c r="B109" s="882" t="s">
        <v>905</v>
      </c>
      <c r="C109" s="1118">
        <v>123296</v>
      </c>
      <c r="D109" s="1118"/>
      <c r="E109" s="1118">
        <f t="shared" si="18"/>
        <v>123296</v>
      </c>
    </row>
    <row r="110" spans="1:5" s="884" customFormat="1" x14ac:dyDescent="0.25">
      <c r="A110" s="881"/>
      <c r="B110" s="881" t="s">
        <v>175</v>
      </c>
      <c r="C110" s="883">
        <f t="shared" ref="C110:D110" si="23">SUM(C109)</f>
        <v>123296</v>
      </c>
      <c r="D110" s="883">
        <f t="shared" si="23"/>
        <v>0</v>
      </c>
      <c r="E110" s="883">
        <f t="shared" si="18"/>
        <v>123296</v>
      </c>
    </row>
    <row r="111" spans="1:5" s="843" customFormat="1" x14ac:dyDescent="0.25">
      <c r="A111" s="882"/>
      <c r="B111" s="882"/>
      <c r="C111" s="1118"/>
      <c r="D111" s="1118"/>
      <c r="E111" s="1118"/>
    </row>
    <row r="112" spans="1:5" s="884" customFormat="1" ht="16.5" thickBot="1" x14ac:dyDescent="0.3">
      <c r="A112" s="886" t="s">
        <v>609</v>
      </c>
      <c r="B112" s="887"/>
      <c r="C112" s="1121">
        <f>SUM(C101,C104,C107,C110)</f>
        <v>477162</v>
      </c>
      <c r="D112" s="1121">
        <f>SUM(D101,D104,D107,D110)</f>
        <v>0</v>
      </c>
      <c r="E112" s="1121">
        <f t="shared" si="18"/>
        <v>477162</v>
      </c>
    </row>
    <row r="113" spans="1:5" s="843" customFormat="1" ht="16.5" thickBot="1" x14ac:dyDescent="0.3">
      <c r="A113" s="1072" t="s">
        <v>176</v>
      </c>
      <c r="B113" s="1072"/>
      <c r="C113" s="888">
        <f>SUM(C13,C16,C19,C22,C25,C28,C41,C45,C38,C34,C66,C31,C48,C63,C69,C72,C75,C79,C82,C86,C91,C94,C96,C98,C112,C60,C57,C54,C51)</f>
        <v>2004014</v>
      </c>
      <c r="D113" s="888">
        <f>SUM(D13,D16,D19,D22,D25,D28,D41,D45,D38,D34,D66,D31,D48,D63,D69,D72,D75,D79,D82,D86,D91,D94,D96,D98,D112,D60,D57,D54,D51)</f>
        <v>101108</v>
      </c>
      <c r="E113" s="888">
        <f>SUM(E13,E16,E19,E22,E25,E28,E41,E45,E38,E34,E66,E31,E48,E63,E69,E72,E75,E79,E82,E86,E91,E94,E96,E98,E112,E60,E57,E54,E51)</f>
        <v>2105122</v>
      </c>
    </row>
    <row r="114" spans="1:5" s="843" customFormat="1" x14ac:dyDescent="0.25">
      <c r="A114" s="889"/>
      <c r="C114" s="844"/>
      <c r="D114" s="844"/>
      <c r="E114" s="844"/>
    </row>
    <row r="122" spans="1:5" x14ac:dyDescent="0.25">
      <c r="A122" s="874"/>
      <c r="C122" s="874"/>
      <c r="D122" s="874"/>
      <c r="E122" s="874"/>
    </row>
    <row r="123" spans="1:5" x14ac:dyDescent="0.25">
      <c r="A123" s="874"/>
      <c r="C123" s="874"/>
      <c r="D123" s="874"/>
      <c r="E123" s="874"/>
    </row>
    <row r="124" spans="1:5" x14ac:dyDescent="0.25">
      <c r="A124" s="874"/>
      <c r="C124" s="874"/>
      <c r="D124" s="874"/>
      <c r="E124" s="874"/>
    </row>
    <row r="125" spans="1:5" x14ac:dyDescent="0.25">
      <c r="A125" s="874"/>
      <c r="C125" s="874"/>
      <c r="D125" s="874"/>
      <c r="E125" s="874"/>
    </row>
    <row r="126" spans="1:5" x14ac:dyDescent="0.25">
      <c r="A126" s="874"/>
      <c r="C126" s="874"/>
      <c r="D126" s="874"/>
      <c r="E126" s="874"/>
    </row>
  </sheetData>
  <mergeCells count="5">
    <mergeCell ref="A1:E1"/>
    <mergeCell ref="A2:E2"/>
    <mergeCell ref="A5:C5"/>
    <mergeCell ref="A99:B99"/>
    <mergeCell ref="A113:B113"/>
  </mergeCells>
  <pageMargins left="0.51181102362204722" right="0.51181102362204722" top="0.74803149606299213" bottom="0.74803149606299213" header="0.31496062992125984" footer="0.31496062992125984"/>
  <pageSetup paperSize="9" scale="60" fitToHeight="0" orientation="portrait" r:id="rId1"/>
  <headerFooter>
    <oddHeader>&amp;R&amp;"Times New Roman CE,Dőlt" 14. melléklet
  az 5/2019.(II.15.) önkormányzati rendelethez&amp;X12</oddHeader>
    <oddFooter>&amp;L&amp;X12&amp;X Módosította a  28/2019.(XII.13.) önkormányzati rendelet 8.§ (11) bekezdése, hatályos 2019. december 16-tól.</oddFooter>
  </headerFooter>
  <rowBreaks count="1" manualBreakCount="1">
    <brk id="49"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C31"/>
  <sheetViews>
    <sheetView zoomScaleNormal="100" workbookViewId="0">
      <selection activeCell="C35" sqref="C35"/>
    </sheetView>
  </sheetViews>
  <sheetFormatPr defaultColWidth="8.75" defaultRowHeight="15.75" x14ac:dyDescent="0.25"/>
  <cols>
    <col min="1" max="1" width="24.75" style="56" customWidth="1"/>
    <col min="2" max="2" width="34.625" style="56" customWidth="1"/>
    <col min="3" max="3" width="15.5" style="172" customWidth="1"/>
    <col min="4" max="16384" width="8.75" style="56"/>
  </cols>
  <sheetData>
    <row r="1" spans="1:3" ht="79.5" customHeight="1" x14ac:dyDescent="0.3">
      <c r="A1" s="1079" t="s">
        <v>811</v>
      </c>
      <c r="B1" s="1079"/>
      <c r="C1" s="1079"/>
    </row>
    <row r="2" spans="1:3" ht="16.5" thickBot="1" x14ac:dyDescent="0.3"/>
    <row r="3" spans="1:3" ht="47.25" customHeight="1" x14ac:dyDescent="0.25">
      <c r="A3" s="57" t="s">
        <v>323</v>
      </c>
      <c r="B3" s="58"/>
      <c r="C3" s="196" t="s">
        <v>810</v>
      </c>
    </row>
    <row r="4" spans="1:3" x14ac:dyDescent="0.25">
      <c r="A4" s="59" t="s">
        <v>324</v>
      </c>
      <c r="B4" s="124"/>
      <c r="C4" s="64">
        <f>+C5+C6</f>
        <v>403000</v>
      </c>
    </row>
    <row r="5" spans="1:3" x14ac:dyDescent="0.25">
      <c r="A5" s="122" t="s">
        <v>325</v>
      </c>
      <c r="B5" s="60" t="s">
        <v>326</v>
      </c>
      <c r="C5" s="61">
        <v>290000</v>
      </c>
    </row>
    <row r="6" spans="1:3" x14ac:dyDescent="0.25">
      <c r="A6" s="123"/>
      <c r="B6" s="60" t="s">
        <v>327</v>
      </c>
      <c r="C6" s="61">
        <v>113000</v>
      </c>
    </row>
    <row r="7" spans="1:3" x14ac:dyDescent="0.25">
      <c r="A7" s="62" t="s">
        <v>328</v>
      </c>
      <c r="B7" s="63"/>
      <c r="C7" s="64">
        <f>+C6*0.27</f>
        <v>30510.000000000004</v>
      </c>
    </row>
    <row r="8" spans="1:3" x14ac:dyDescent="0.25">
      <c r="A8" s="65" t="s">
        <v>329</v>
      </c>
      <c r="B8" s="66"/>
      <c r="C8" s="64">
        <f>C18-C4-C7</f>
        <v>171985</v>
      </c>
    </row>
    <row r="9" spans="1:3" ht="16.5" thickBot="1" x14ac:dyDescent="0.3">
      <c r="A9" s="67" t="s">
        <v>330</v>
      </c>
      <c r="B9" s="68"/>
      <c r="C9" s="197">
        <f>+C4+C7+C8</f>
        <v>605495</v>
      </c>
    </row>
    <row r="10" spans="1:3" x14ac:dyDescent="0.25">
      <c r="A10" s="69"/>
      <c r="B10" s="69"/>
      <c r="C10" s="198"/>
    </row>
    <row r="11" spans="1:3" ht="16.5" thickBot="1" x14ac:dyDescent="0.3">
      <c r="A11" s="69"/>
      <c r="B11" s="69"/>
      <c r="C11" s="198"/>
    </row>
    <row r="12" spans="1:3" ht="49.5" customHeight="1" x14ac:dyDescent="0.25">
      <c r="A12" s="57" t="s">
        <v>331</v>
      </c>
      <c r="B12" s="70"/>
      <c r="C12" s="196" t="s">
        <v>810</v>
      </c>
    </row>
    <row r="13" spans="1:3" ht="29.25" customHeight="1" x14ac:dyDescent="0.25">
      <c r="A13" s="1073" t="s">
        <v>332</v>
      </c>
      <c r="B13" s="1074"/>
      <c r="C13" s="199">
        <f>SUM(C14:C15)</f>
        <v>574985</v>
      </c>
    </row>
    <row r="14" spans="1:3" s="172" customFormat="1" x14ac:dyDescent="0.25">
      <c r="A14" s="170"/>
      <c r="B14" s="171" t="s">
        <v>333</v>
      </c>
      <c r="C14" s="61">
        <v>315011</v>
      </c>
    </row>
    <row r="15" spans="1:3" s="172" customFormat="1" ht="31.5" customHeight="1" x14ac:dyDescent="0.25">
      <c r="A15" s="173"/>
      <c r="B15" s="174" t="s">
        <v>334</v>
      </c>
      <c r="C15" s="61">
        <v>259974</v>
      </c>
    </row>
    <row r="16" spans="1:3" s="172" customFormat="1" x14ac:dyDescent="0.25">
      <c r="A16" s="170"/>
      <c r="B16" s="174" t="s">
        <v>335</v>
      </c>
      <c r="C16" s="61">
        <v>54996</v>
      </c>
    </row>
    <row r="17" spans="1:3" x14ac:dyDescent="0.25">
      <c r="A17" s="1075" t="s">
        <v>336</v>
      </c>
      <c r="B17" s="1076"/>
      <c r="C17" s="64">
        <v>30510</v>
      </c>
    </row>
    <row r="18" spans="1:3" ht="38.25" customHeight="1" thickBot="1" x14ac:dyDescent="0.3">
      <c r="A18" s="1077" t="s">
        <v>337</v>
      </c>
      <c r="B18" s="1078"/>
      <c r="C18" s="197">
        <f>+C13+C17</f>
        <v>605495</v>
      </c>
    </row>
    <row r="19" spans="1:3" x14ac:dyDescent="0.25">
      <c r="A19" s="69"/>
      <c r="B19" s="69"/>
    </row>
    <row r="21" spans="1:3" x14ac:dyDescent="0.25">
      <c r="A21" s="71"/>
      <c r="C21" s="198"/>
    </row>
    <row r="23" spans="1:3" x14ac:dyDescent="0.25">
      <c r="A23" s="72"/>
      <c r="C23" s="198"/>
    </row>
    <row r="30" spans="1:3" ht="13.5" customHeight="1" x14ac:dyDescent="0.25">
      <c r="B30" s="73"/>
      <c r="C30" s="200"/>
    </row>
    <row r="31" spans="1:3" x14ac:dyDescent="0.25">
      <c r="B31" s="74"/>
      <c r="C31" s="200"/>
    </row>
  </sheetData>
  <mergeCells count="4">
    <mergeCell ref="A13:B13"/>
    <mergeCell ref="A17:B17"/>
    <mergeCell ref="A18:B18"/>
    <mergeCell ref="A1:C1"/>
  </mergeCells>
  <printOptions horizontalCentered="1"/>
  <pageMargins left="0.51181102362204722" right="0.27559055118110237" top="1.0629921259842521" bottom="0.39370078740157483" header="0.43307086614173229" footer="0.19685039370078741"/>
  <pageSetup paperSize="9" scale="80" orientation="portrait" r:id="rId1"/>
  <headerFooter alignWithMargins="0">
    <oddHeader xml:space="preserve">&amp;R&amp;"Times New Roman CE,Félkövér"15. melléklet
&amp;11 az 5/2019.(II.15.) önkormányzati rendelethez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5C797-F3C3-4580-950B-F6AC90B3E974}">
  <sheetPr>
    <tabColor theme="7" tint="0.39997558519241921"/>
  </sheetPr>
  <dimension ref="A1:G53"/>
  <sheetViews>
    <sheetView zoomScale="90" zoomScaleNormal="90" workbookViewId="0">
      <selection activeCell="B36" sqref="B36"/>
    </sheetView>
  </sheetViews>
  <sheetFormatPr defaultRowHeight="15.75" x14ac:dyDescent="0.25"/>
  <cols>
    <col min="1" max="1" width="45.625" style="891" customWidth="1"/>
    <col min="2" max="2" width="16" style="892" customWidth="1"/>
    <col min="3" max="3" width="7.5" style="890" customWidth="1"/>
    <col min="4" max="4" width="43.75" style="890" customWidth="1"/>
    <col min="5" max="5" width="16" style="890" customWidth="1"/>
    <col min="6" max="6" width="24.625" style="890" customWidth="1"/>
    <col min="7" max="7" width="10.625" style="890" bestFit="1" customWidth="1"/>
    <col min="8" max="16384" width="9" style="890"/>
  </cols>
  <sheetData>
    <row r="1" spans="1:7" ht="31.5" customHeight="1" x14ac:dyDescent="0.25">
      <c r="A1" s="1082" t="s">
        <v>1143</v>
      </c>
      <c r="B1" s="1082"/>
      <c r="C1" s="1082"/>
      <c r="D1" s="1082"/>
      <c r="E1" s="1082"/>
      <c r="F1" s="1082"/>
    </row>
    <row r="3" spans="1:7" ht="16.5" thickBot="1" x14ac:dyDescent="0.3"/>
    <row r="4" spans="1:7" ht="33" thickTop="1" thickBot="1" x14ac:dyDescent="0.3">
      <c r="A4" s="893" t="s">
        <v>78</v>
      </c>
      <c r="B4" s="894" t="s">
        <v>998</v>
      </c>
      <c r="D4" s="893" t="s">
        <v>78</v>
      </c>
      <c r="E4" s="894" t="s">
        <v>998</v>
      </c>
    </row>
    <row r="5" spans="1:7" s="897" customFormat="1" ht="16.5" thickTop="1" x14ac:dyDescent="0.25">
      <c r="A5" s="895" t="s">
        <v>459</v>
      </c>
      <c r="B5" s="896"/>
      <c r="D5" s="898" t="s">
        <v>460</v>
      </c>
      <c r="E5" s="899"/>
    </row>
    <row r="6" spans="1:7" s="902" customFormat="1" ht="31.5" x14ac:dyDescent="0.25">
      <c r="A6" s="900" t="s">
        <v>80</v>
      </c>
      <c r="B6" s="901">
        <v>8521097</v>
      </c>
      <c r="D6" s="900" t="s">
        <v>417</v>
      </c>
      <c r="E6" s="901">
        <v>6467242</v>
      </c>
      <c r="G6" s="903"/>
    </row>
    <row r="7" spans="1:7" s="902" customFormat="1" ht="31.5" x14ac:dyDescent="0.25">
      <c r="A7" s="900" t="s">
        <v>35</v>
      </c>
      <c r="B7" s="901">
        <v>1804765</v>
      </c>
      <c r="D7" s="900" t="s">
        <v>81</v>
      </c>
      <c r="E7" s="901">
        <v>21568703</v>
      </c>
    </row>
    <row r="8" spans="1:7" s="902" customFormat="1" ht="16.5" thickBot="1" x14ac:dyDescent="0.3">
      <c r="A8" s="900" t="s">
        <v>82</v>
      </c>
      <c r="B8" s="901">
        <v>10808434</v>
      </c>
      <c r="D8" s="904" t="s">
        <v>79</v>
      </c>
      <c r="E8" s="905">
        <v>3641627</v>
      </c>
    </row>
    <row r="9" spans="1:7" s="902" customFormat="1" ht="16.5" thickTop="1" x14ac:dyDescent="0.25">
      <c r="A9" s="906" t="s">
        <v>648</v>
      </c>
      <c r="B9" s="901">
        <v>249795</v>
      </c>
      <c r="D9" s="904" t="s">
        <v>420</v>
      </c>
      <c r="E9" s="905">
        <v>405482</v>
      </c>
      <c r="F9" s="1083" t="s">
        <v>464</v>
      </c>
    </row>
    <row r="10" spans="1:7" s="902" customFormat="1" ht="15.75" customHeight="1" x14ac:dyDescent="0.25">
      <c r="A10" s="900" t="s">
        <v>436</v>
      </c>
      <c r="B10" s="907">
        <v>14454088</v>
      </c>
      <c r="D10" s="904"/>
      <c r="E10" s="905"/>
      <c r="F10" s="1084"/>
    </row>
    <row r="11" spans="1:7" s="902" customFormat="1" ht="16.5" customHeight="1" thickBot="1" x14ac:dyDescent="0.3">
      <c r="A11" s="906" t="s">
        <v>83</v>
      </c>
      <c r="B11" s="907">
        <v>2213410</v>
      </c>
      <c r="D11" s="908"/>
      <c r="E11" s="909"/>
      <c r="F11" s="1085"/>
    </row>
    <row r="12" spans="1:7" s="912" customFormat="1" ht="17.25" thickTop="1" thickBot="1" x14ac:dyDescent="0.3">
      <c r="A12" s="910" t="s">
        <v>457</v>
      </c>
      <c r="B12" s="911">
        <f>SUM(B5:B11)</f>
        <v>38051589</v>
      </c>
      <c r="D12" s="910" t="s">
        <v>458</v>
      </c>
      <c r="E12" s="911">
        <f>SUM(E6:E10)</f>
        <v>32083054</v>
      </c>
      <c r="F12" s="911">
        <f>+E12-B12</f>
        <v>-5968535</v>
      </c>
    </row>
    <row r="13" spans="1:7" s="912" customFormat="1" ht="17.25" thickTop="1" thickBot="1" x14ac:dyDescent="0.3">
      <c r="A13" s="913"/>
      <c r="B13" s="914"/>
      <c r="D13" s="913"/>
      <c r="E13" s="914"/>
      <c r="F13" s="914"/>
    </row>
    <row r="14" spans="1:7" s="897" customFormat="1" ht="17.25" thickTop="1" thickBot="1" x14ac:dyDescent="0.3">
      <c r="A14" s="898" t="s">
        <v>468</v>
      </c>
      <c r="B14" s="915"/>
      <c r="D14" s="898" t="s">
        <v>469</v>
      </c>
      <c r="E14" s="899"/>
    </row>
    <row r="15" spans="1:7" s="902" customFormat="1" ht="16.5" customHeight="1" thickTop="1" x14ac:dyDescent="0.25">
      <c r="A15" s="916" t="s">
        <v>489</v>
      </c>
      <c r="B15" s="901">
        <f>+E15</f>
        <v>11604330</v>
      </c>
      <c r="D15" s="904" t="s">
        <v>490</v>
      </c>
      <c r="E15" s="917">
        <f>11867289-E33</f>
        <v>11604330</v>
      </c>
      <c r="F15" s="1086" t="s">
        <v>470</v>
      </c>
    </row>
    <row r="16" spans="1:7" s="902" customFormat="1" ht="31.5" x14ac:dyDescent="0.25">
      <c r="A16" s="916" t="s">
        <v>605</v>
      </c>
      <c r="B16" s="901">
        <v>2710038</v>
      </c>
      <c r="D16" s="918" t="s">
        <v>578</v>
      </c>
      <c r="E16" s="917">
        <v>5272459</v>
      </c>
      <c r="F16" s="1087"/>
    </row>
    <row r="17" spans="1:6" s="902" customFormat="1" ht="31.5" x14ac:dyDescent="0.25">
      <c r="A17" s="919" t="s">
        <v>606</v>
      </c>
      <c r="B17" s="907">
        <v>130452</v>
      </c>
      <c r="D17" s="918" t="s">
        <v>604</v>
      </c>
      <c r="E17" s="917">
        <f>5305492-494637</f>
        <v>4810855</v>
      </c>
      <c r="F17" s="1087"/>
    </row>
    <row r="18" spans="1:6" s="902" customFormat="1" ht="16.5" thickBot="1" x14ac:dyDescent="0.3">
      <c r="A18" s="920"/>
      <c r="B18" s="921"/>
      <c r="D18" s="922"/>
      <c r="E18" s="923"/>
      <c r="F18" s="1088"/>
    </row>
    <row r="19" spans="1:6" s="912" customFormat="1" ht="17.25" thickTop="1" thickBot="1" x14ac:dyDescent="0.3">
      <c r="A19" s="910" t="s">
        <v>471</v>
      </c>
      <c r="B19" s="911">
        <f>SUM(B15:B18)</f>
        <v>14444820</v>
      </c>
      <c r="D19" s="910" t="s">
        <v>472</v>
      </c>
      <c r="E19" s="911">
        <f>SUM(E15:E18)</f>
        <v>21687644</v>
      </c>
      <c r="F19" s="911">
        <f>+E19-B19</f>
        <v>7242824</v>
      </c>
    </row>
    <row r="20" spans="1:6" s="912" customFormat="1" ht="17.25" thickTop="1" thickBot="1" x14ac:dyDescent="0.3">
      <c r="A20" s="913"/>
      <c r="B20" s="914"/>
      <c r="D20" s="913"/>
      <c r="E20" s="914"/>
      <c r="F20" s="914"/>
    </row>
    <row r="21" spans="1:6" s="912" customFormat="1" ht="17.25" thickTop="1" thickBot="1" x14ac:dyDescent="0.3">
      <c r="A21" s="913"/>
      <c r="B21" s="913"/>
      <c r="C21" s="913"/>
      <c r="D21" s="1080" t="s">
        <v>473</v>
      </c>
      <c r="E21" s="1080"/>
      <c r="F21" s="119">
        <f>SUM(F12+F19)</f>
        <v>1274289</v>
      </c>
    </row>
    <row r="22" spans="1:6" s="912" customFormat="1" ht="16.5" thickTop="1" x14ac:dyDescent="0.25">
      <c r="A22" s="913"/>
      <c r="B22" s="914"/>
      <c r="D22" s="913"/>
      <c r="E22" s="914"/>
      <c r="F22" s="914"/>
    </row>
    <row r="23" spans="1:6" s="912" customFormat="1" ht="16.5" thickBot="1" x14ac:dyDescent="0.3">
      <c r="A23" s="913"/>
      <c r="B23" s="914"/>
      <c r="D23" s="913"/>
      <c r="E23" s="914"/>
      <c r="F23" s="914"/>
    </row>
    <row r="24" spans="1:6" ht="33" thickTop="1" thickBot="1" x14ac:dyDescent="0.3">
      <c r="A24" s="893" t="s">
        <v>78</v>
      </c>
      <c r="B24" s="894" t="s">
        <v>998</v>
      </c>
      <c r="D24" s="893" t="s">
        <v>78</v>
      </c>
      <c r="E24" s="894" t="s">
        <v>998</v>
      </c>
    </row>
    <row r="25" spans="1:6" ht="16.5" thickTop="1" x14ac:dyDescent="0.25">
      <c r="A25" s="898" t="s">
        <v>461</v>
      </c>
      <c r="B25" s="915"/>
      <c r="D25" s="898" t="s">
        <v>462</v>
      </c>
      <c r="E25" s="915"/>
    </row>
    <row r="26" spans="1:6" ht="32.25" customHeight="1" thickBot="1" x14ac:dyDescent="0.3">
      <c r="A26" s="900" t="s">
        <v>77</v>
      </c>
      <c r="B26" s="901">
        <v>29096849</v>
      </c>
      <c r="D26" s="900" t="s">
        <v>456</v>
      </c>
      <c r="E26" s="901">
        <v>16730532</v>
      </c>
      <c r="F26" s="924"/>
    </row>
    <row r="27" spans="1:6" ht="16.5" thickTop="1" x14ac:dyDescent="0.25">
      <c r="A27" s="900" t="s">
        <v>86</v>
      </c>
      <c r="B27" s="901">
        <v>1156734</v>
      </c>
      <c r="D27" s="900" t="s">
        <v>463</v>
      </c>
      <c r="E27" s="901">
        <v>205000</v>
      </c>
      <c r="F27" s="1086" t="s">
        <v>465</v>
      </c>
    </row>
    <row r="28" spans="1:6" x14ac:dyDescent="0.25">
      <c r="A28" s="900" t="s">
        <v>383</v>
      </c>
      <c r="B28" s="901">
        <v>1765751</v>
      </c>
      <c r="D28" s="900" t="s">
        <v>421</v>
      </c>
      <c r="E28" s="901">
        <v>345183</v>
      </c>
      <c r="F28" s="1087"/>
    </row>
    <row r="29" spans="1:6" ht="16.5" thickBot="1" x14ac:dyDescent="0.3">
      <c r="A29" s="900"/>
      <c r="B29" s="901"/>
      <c r="D29" s="925"/>
      <c r="E29" s="926"/>
      <c r="F29" s="1088"/>
    </row>
    <row r="30" spans="1:6" s="912" customFormat="1" ht="17.25" thickTop="1" thickBot="1" x14ac:dyDescent="0.3">
      <c r="A30" s="910" t="s">
        <v>466</v>
      </c>
      <c r="B30" s="911">
        <f>SUM(B26:B29)</f>
        <v>32019334</v>
      </c>
      <c r="D30" s="910" t="s">
        <v>467</v>
      </c>
      <c r="E30" s="911">
        <f>SUM(E26:E28)</f>
        <v>17280715</v>
      </c>
      <c r="F30" s="911">
        <f>+E30-B30</f>
        <v>-14738619</v>
      </c>
    </row>
    <row r="31" spans="1:6" s="912" customFormat="1" ht="17.25" thickTop="1" thickBot="1" x14ac:dyDescent="0.3">
      <c r="A31" s="913"/>
      <c r="B31" s="914"/>
      <c r="D31" s="913"/>
      <c r="E31" s="914"/>
      <c r="F31" s="914"/>
    </row>
    <row r="32" spans="1:6" s="897" customFormat="1" ht="17.25" thickTop="1" thickBot="1" x14ac:dyDescent="0.3">
      <c r="A32" s="898" t="s">
        <v>474</v>
      </c>
      <c r="B32" s="915"/>
      <c r="D32" s="898" t="s">
        <v>476</v>
      </c>
      <c r="E32" s="899"/>
    </row>
    <row r="33" spans="1:6" s="902" customFormat="1" ht="16.5" thickTop="1" x14ac:dyDescent="0.25">
      <c r="A33" s="916" t="s">
        <v>489</v>
      </c>
      <c r="B33" s="901">
        <f>+E33</f>
        <v>262959</v>
      </c>
      <c r="D33" s="904" t="s">
        <v>490</v>
      </c>
      <c r="E33" s="917">
        <f>244191+18768</f>
        <v>262959</v>
      </c>
      <c r="F33" s="1086" t="s">
        <v>483</v>
      </c>
    </row>
    <row r="34" spans="1:6" s="902" customFormat="1" ht="31.5" x14ac:dyDescent="0.25">
      <c r="A34" s="919"/>
      <c r="B34" s="907"/>
      <c r="D34" s="904" t="s">
        <v>577</v>
      </c>
      <c r="E34" s="917">
        <v>12969693</v>
      </c>
      <c r="F34" s="1087"/>
    </row>
    <row r="35" spans="1:6" s="902" customFormat="1" ht="32.25" thickBot="1" x14ac:dyDescent="0.3">
      <c r="A35" s="920"/>
      <c r="B35" s="921"/>
      <c r="D35" s="916" t="s">
        <v>604</v>
      </c>
      <c r="E35" s="927">
        <v>494637</v>
      </c>
      <c r="F35" s="1088"/>
    </row>
    <row r="36" spans="1:6" s="912" customFormat="1" ht="17.25" thickTop="1" thickBot="1" x14ac:dyDescent="0.3">
      <c r="A36" s="910" t="s">
        <v>475</v>
      </c>
      <c r="B36" s="911">
        <f>SUM(B33)</f>
        <v>262959</v>
      </c>
      <c r="D36" s="910" t="s">
        <v>477</v>
      </c>
      <c r="E36" s="911">
        <f>SUM(E33:E35)</f>
        <v>13727289</v>
      </c>
      <c r="F36" s="911">
        <f>+E36-B36</f>
        <v>13464330</v>
      </c>
    </row>
    <row r="37" spans="1:6" s="912" customFormat="1" ht="17.25" thickTop="1" thickBot="1" x14ac:dyDescent="0.3">
      <c r="A37" s="913"/>
      <c r="B37" s="914"/>
      <c r="D37" s="913"/>
      <c r="E37" s="914"/>
      <c r="F37" s="914"/>
    </row>
    <row r="38" spans="1:6" s="912" customFormat="1" ht="17.25" thickTop="1" thickBot="1" x14ac:dyDescent="0.3">
      <c r="A38" s="913"/>
      <c r="B38" s="913"/>
      <c r="C38" s="913"/>
      <c r="D38" s="1080" t="s">
        <v>478</v>
      </c>
      <c r="E38" s="1080"/>
      <c r="F38" s="119">
        <f>SUM(F30+F36)</f>
        <v>-1274289</v>
      </c>
    </row>
    <row r="39" spans="1:6" s="912" customFormat="1" ht="17.25" thickTop="1" thickBot="1" x14ac:dyDescent="0.3">
      <c r="A39" s="913"/>
      <c r="B39" s="914"/>
      <c r="D39" s="913"/>
      <c r="E39" s="914"/>
      <c r="F39" s="914"/>
    </row>
    <row r="40" spans="1:6" s="912" customFormat="1" ht="33" thickTop="1" thickBot="1" x14ac:dyDescent="0.3">
      <c r="A40" s="913"/>
      <c r="B40" s="914"/>
      <c r="D40" s="913"/>
      <c r="E40" s="914"/>
      <c r="F40" s="928" t="s">
        <v>88</v>
      </c>
    </row>
    <row r="41" spans="1:6" s="912" customFormat="1" ht="17.25" thickTop="1" thickBot="1" x14ac:dyDescent="0.3">
      <c r="A41" s="929" t="s">
        <v>89</v>
      </c>
      <c r="B41" s="930">
        <f>SUM(B30+B12)</f>
        <v>70070923</v>
      </c>
      <c r="C41" s="890"/>
      <c r="D41" s="929" t="s">
        <v>90</v>
      </c>
      <c r="E41" s="931">
        <f>SUM(E30+E12)</f>
        <v>49363769</v>
      </c>
      <c r="F41" s="932">
        <f>SUM(E41-B41)</f>
        <v>-20707154</v>
      </c>
    </row>
    <row r="42" spans="1:6" s="912" customFormat="1" ht="17.25" thickTop="1" thickBot="1" x14ac:dyDescent="0.3">
      <c r="A42" s="933"/>
      <c r="B42" s="934"/>
      <c r="C42" s="890"/>
      <c r="D42" s="933"/>
      <c r="E42" s="935"/>
      <c r="F42" s="935"/>
    </row>
    <row r="43" spans="1:6" s="912" customFormat="1" ht="33" thickTop="1" thickBot="1" x14ac:dyDescent="0.3">
      <c r="A43" s="913"/>
      <c r="B43" s="914"/>
      <c r="D43" s="913"/>
      <c r="E43" s="914"/>
      <c r="F43" s="928" t="s">
        <v>482</v>
      </c>
    </row>
    <row r="44" spans="1:6" s="912" customFormat="1" ht="17.25" thickTop="1" thickBot="1" x14ac:dyDescent="0.3">
      <c r="A44" s="929" t="s">
        <v>479</v>
      </c>
      <c r="B44" s="930">
        <f>SUM(B36+B19)</f>
        <v>14707779</v>
      </c>
      <c r="C44" s="890"/>
      <c r="D44" s="929" t="s">
        <v>480</v>
      </c>
      <c r="E44" s="931">
        <f>SUM(E36+E19)</f>
        <v>35414933</v>
      </c>
      <c r="F44" s="932">
        <f>SUM(E44-B44)</f>
        <v>20707154</v>
      </c>
    </row>
    <row r="45" spans="1:6" s="912" customFormat="1" ht="17.25" thickTop="1" thickBot="1" x14ac:dyDescent="0.3">
      <c r="A45" s="913"/>
      <c r="B45" s="914"/>
      <c r="D45" s="913"/>
      <c r="E45" s="914"/>
      <c r="F45" s="914"/>
    </row>
    <row r="46" spans="1:6" s="912" customFormat="1" ht="17.25" thickTop="1" thickBot="1" x14ac:dyDescent="0.3">
      <c r="A46" s="913"/>
      <c r="B46" s="914"/>
      <c r="D46" s="1081" t="s">
        <v>481</v>
      </c>
      <c r="E46" s="1081"/>
      <c r="F46" s="120">
        <f>SUM(F41+F44)</f>
        <v>0</v>
      </c>
    </row>
    <row r="47" spans="1:6" s="912" customFormat="1" ht="16.5" thickTop="1" x14ac:dyDescent="0.25">
      <c r="A47" s="913"/>
      <c r="B47" s="914"/>
      <c r="D47" s="913"/>
      <c r="E47" s="914"/>
      <c r="F47" s="914"/>
    </row>
    <row r="48" spans="1:6" x14ac:dyDescent="0.25">
      <c r="E48" s="892"/>
    </row>
    <row r="49" spans="4:5" x14ac:dyDescent="0.25">
      <c r="E49" s="892"/>
    </row>
    <row r="50" spans="4:5" x14ac:dyDescent="0.25">
      <c r="E50" s="892"/>
    </row>
    <row r="51" spans="4:5" x14ac:dyDescent="0.25">
      <c r="E51" s="892"/>
    </row>
    <row r="52" spans="4:5" x14ac:dyDescent="0.25">
      <c r="E52" s="892"/>
    </row>
    <row r="53" spans="4:5" x14ac:dyDescent="0.25">
      <c r="D53" s="935"/>
      <c r="E53" s="892"/>
    </row>
  </sheetData>
  <mergeCells count="8">
    <mergeCell ref="D38:E38"/>
    <mergeCell ref="D46:E46"/>
    <mergeCell ref="A1:F1"/>
    <mergeCell ref="F9:F11"/>
    <mergeCell ref="F15:F18"/>
    <mergeCell ref="D21:E21"/>
    <mergeCell ref="F27:F29"/>
    <mergeCell ref="F33:F35"/>
  </mergeCells>
  <printOptions horizontalCentered="1"/>
  <pageMargins left="0.31496062992125984" right="0.23622047244094491" top="0.47244094488188981" bottom="0.23622047244094491" header="0.23622047244094491" footer="0.15748031496062992"/>
  <pageSetup paperSize="9" scale="58" orientation="landscape" r:id="rId1"/>
  <headerFooter alignWithMargins="0">
    <oddHeader>&amp;R&amp;"Times New Roman CE,Dőlt"&amp;10 16. melléklet
az 5/2019.(II.15.) önkormányzati rendelethez&amp;X13</oddHeader>
    <oddFooter xml:space="preserve">&amp;L&amp;X13&amp;X Módosította a  28/2019.(XII.13.) önkormányzati rendelet 8.§ (12) bekezdése, hatályos 2019. december 16-tól.&amp;C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936DC-BEE9-4F41-BDFB-1E1F8A8EDFB2}">
  <sheetPr>
    <tabColor theme="7" tint="0.39997558519241921"/>
    <pageSetUpPr fitToPage="1"/>
  </sheetPr>
  <dimension ref="A1:R39"/>
  <sheetViews>
    <sheetView zoomScale="86" zoomScaleNormal="86" workbookViewId="0">
      <pane xSplit="1" ySplit="5" topLeftCell="C15" activePane="bottomRight" state="frozen"/>
      <selection activeCell="C35" sqref="C35"/>
      <selection pane="topRight" activeCell="C35" sqref="C35"/>
      <selection pane="bottomLeft" activeCell="C35" sqref="C35"/>
      <selection pane="bottomRight" activeCell="N3" sqref="N3"/>
    </sheetView>
  </sheetViews>
  <sheetFormatPr defaultColWidth="8" defaultRowHeight="15.75" x14ac:dyDescent="0.25"/>
  <cols>
    <col min="1" max="1" width="26.125" style="936" bestFit="1" customWidth="1"/>
    <col min="2" max="2" width="11" style="937" bestFit="1" customWidth="1"/>
    <col min="3" max="3" width="12" style="937" customWidth="1"/>
    <col min="4" max="5" width="11" style="937" bestFit="1" customWidth="1"/>
    <col min="6" max="6" width="10.5" style="937" customWidth="1"/>
    <col min="7" max="7" width="12.5" style="937" customWidth="1"/>
    <col min="8" max="8" width="11.125" style="937" customWidth="1"/>
    <col min="9" max="9" width="10" style="937" bestFit="1" customWidth="1"/>
    <col min="10" max="10" width="11" style="937" bestFit="1" customWidth="1"/>
    <col min="11" max="11" width="11" style="937" customWidth="1"/>
    <col min="12" max="12" width="11.125" style="937" customWidth="1"/>
    <col min="13" max="13" width="11.625" style="937" customWidth="1"/>
    <col min="14" max="14" width="15.625" style="937" customWidth="1"/>
    <col min="15" max="15" width="15.625" style="937" hidden="1" customWidth="1"/>
    <col min="16" max="17" width="15.625" style="936" hidden="1" customWidth="1"/>
    <col min="18" max="18" width="9.25" style="936" bestFit="1" customWidth="1"/>
    <col min="19" max="16384" width="8" style="936"/>
  </cols>
  <sheetData>
    <row r="1" spans="1:18" x14ac:dyDescent="0.25">
      <c r="N1" s="938"/>
    </row>
    <row r="2" spans="1:18" x14ac:dyDescent="0.25">
      <c r="N2" s="939" t="s">
        <v>1145</v>
      </c>
    </row>
    <row r="3" spans="1:18" ht="18.75" x14ac:dyDescent="0.25">
      <c r="N3" s="939" t="s">
        <v>1421</v>
      </c>
    </row>
    <row r="4" spans="1:18" ht="16.5" thickBot="1" x14ac:dyDescent="0.3">
      <c r="A4" s="940" t="s">
        <v>58</v>
      </c>
      <c r="E4" s="1122"/>
      <c r="H4" s="1122"/>
    </row>
    <row r="5" spans="1:18" s="944" customFormat="1" ht="18" customHeight="1" x14ac:dyDescent="0.25">
      <c r="A5" s="941" t="s">
        <v>165</v>
      </c>
      <c r="B5" s="942" t="s">
        <v>59</v>
      </c>
      <c r="C5" s="942" t="s">
        <v>60</v>
      </c>
      <c r="D5" s="942" t="s">
        <v>61</v>
      </c>
      <c r="E5" s="942" t="s">
        <v>62</v>
      </c>
      <c r="F5" s="942" t="s">
        <v>63</v>
      </c>
      <c r="G5" s="942" t="s">
        <v>64</v>
      </c>
      <c r="H5" s="942" t="s">
        <v>65</v>
      </c>
      <c r="I5" s="942" t="s">
        <v>66</v>
      </c>
      <c r="J5" s="942" t="s">
        <v>67</v>
      </c>
      <c r="K5" s="942" t="s">
        <v>68</v>
      </c>
      <c r="L5" s="942" t="s">
        <v>69</v>
      </c>
      <c r="M5" s="942" t="s">
        <v>70</v>
      </c>
      <c r="N5" s="943" t="s">
        <v>71</v>
      </c>
      <c r="O5" s="1123" t="s">
        <v>1416</v>
      </c>
      <c r="P5" s="1124" t="s">
        <v>1417</v>
      </c>
      <c r="Q5" s="1124" t="s">
        <v>1217</v>
      </c>
    </row>
    <row r="6" spans="1:18" ht="31.5" x14ac:dyDescent="0.25">
      <c r="A6" s="945" t="s">
        <v>417</v>
      </c>
      <c r="B6" s="946">
        <v>597707</v>
      </c>
      <c r="C6" s="946">
        <v>483759</v>
      </c>
      <c r="D6" s="946">
        <f>384929+130577</f>
        <v>515506</v>
      </c>
      <c r="E6" s="946">
        <f>382875+45967</f>
        <v>428842</v>
      </c>
      <c r="F6" s="946">
        <f>552958+733373</f>
        <v>1286331</v>
      </c>
      <c r="G6" s="946">
        <f>382117+42182</f>
        <v>424299</v>
      </c>
      <c r="H6" s="946">
        <f>589306+137141</f>
        <v>726447</v>
      </c>
      <c r="I6" s="946">
        <v>386765</v>
      </c>
      <c r="J6" s="946">
        <v>280137</v>
      </c>
      <c r="K6" s="946">
        <f>390923+316014</f>
        <v>706937</v>
      </c>
      <c r="L6" s="946">
        <f>477397-193314</f>
        <v>284083</v>
      </c>
      <c r="M6" s="946">
        <f>477401-3963-127009</f>
        <v>346429</v>
      </c>
      <c r="N6" s="947">
        <f t="shared" ref="N6:N14" si="0">SUM(B6:M6)</f>
        <v>6467242</v>
      </c>
      <c r="O6" s="937">
        <v>6467242</v>
      </c>
      <c r="P6" s="937">
        <f>+O6-N6</f>
        <v>0</v>
      </c>
      <c r="Q6" s="936">
        <f>+P6/2</f>
        <v>0</v>
      </c>
    </row>
    <row r="7" spans="1:18" ht="31.5" x14ac:dyDescent="0.25">
      <c r="A7" s="945" t="s">
        <v>418</v>
      </c>
      <c r="B7" s="946">
        <v>0</v>
      </c>
      <c r="C7" s="946">
        <v>1938275</v>
      </c>
      <c r="D7" s="946">
        <v>156285</v>
      </c>
      <c r="E7" s="946">
        <v>1636546</v>
      </c>
      <c r="F7" s="946">
        <v>91075</v>
      </c>
      <c r="G7" s="946">
        <v>0</v>
      </c>
      <c r="H7" s="946">
        <v>166542</v>
      </c>
      <c r="I7" s="946">
        <v>0</v>
      </c>
      <c r="J7" s="946">
        <v>1402288</v>
      </c>
      <c r="K7" s="946">
        <v>232833</v>
      </c>
      <c r="L7" s="946">
        <v>680798</v>
      </c>
      <c r="M7" s="946">
        <f>1090361+385230+59468+510018+8380813</f>
        <v>10425890</v>
      </c>
      <c r="N7" s="947">
        <f t="shared" si="0"/>
        <v>16730532</v>
      </c>
      <c r="O7" s="937">
        <v>16730532</v>
      </c>
      <c r="P7" s="937">
        <f t="shared" ref="P7:P14" si="1">+O7-N7</f>
        <v>0</v>
      </c>
    </row>
    <row r="8" spans="1:18" x14ac:dyDescent="0.25">
      <c r="A8" s="945" t="s">
        <v>81</v>
      </c>
      <c r="B8" s="946">
        <v>217209</v>
      </c>
      <c r="C8" s="946">
        <v>99888</v>
      </c>
      <c r="D8" s="946">
        <v>8249818</v>
      </c>
      <c r="E8" s="946">
        <v>114240</v>
      </c>
      <c r="F8" s="946">
        <v>665494</v>
      </c>
      <c r="G8" s="946">
        <v>1188781</v>
      </c>
      <c r="H8" s="946">
        <v>92956</v>
      </c>
      <c r="I8" s="946">
        <v>92613</v>
      </c>
      <c r="J8" s="946">
        <v>8405194</v>
      </c>
      <c r="K8" s="946">
        <v>440977</v>
      </c>
      <c r="L8" s="946">
        <f>200000+25</f>
        <v>200025</v>
      </c>
      <c r="M8" s="946">
        <f>2762500+25-333420+192049-819646</f>
        <v>1801508</v>
      </c>
      <c r="N8" s="947">
        <f t="shared" si="0"/>
        <v>21568703</v>
      </c>
      <c r="O8" s="937">
        <v>21568703</v>
      </c>
      <c r="P8" s="937">
        <f t="shared" si="1"/>
        <v>0</v>
      </c>
      <c r="Q8" s="948"/>
      <c r="R8" s="937"/>
    </row>
    <row r="9" spans="1:18" x14ac:dyDescent="0.25">
      <c r="A9" s="945" t="s">
        <v>79</v>
      </c>
      <c r="B9" s="946">
        <f>160449+107033</f>
        <v>267482</v>
      </c>
      <c r="C9" s="946">
        <f>20115+194086</f>
        <v>214201</v>
      </c>
      <c r="D9" s="946">
        <f>34138+120204</f>
        <v>154342</v>
      </c>
      <c r="E9" s="946">
        <f>235403+128949</f>
        <v>364352</v>
      </c>
      <c r="F9" s="946">
        <f>242582+111005</f>
        <v>353587</v>
      </c>
      <c r="G9" s="946">
        <f>42598+174359</f>
        <v>216957</v>
      </c>
      <c r="H9" s="946">
        <f>104359+117483</f>
        <v>221842</v>
      </c>
      <c r="I9" s="946">
        <f>193441+78506</f>
        <v>271947</v>
      </c>
      <c r="J9" s="946">
        <f>52427+64819</f>
        <v>117246</v>
      </c>
      <c r="K9" s="946">
        <f>55916+302869</f>
        <v>358785</v>
      </c>
      <c r="L9" s="946">
        <f>178033+118040-25+126217+30017+162960</f>
        <v>615242</v>
      </c>
      <c r="M9" s="946">
        <f>178034+114749-25+29926+162960</f>
        <v>485644</v>
      </c>
      <c r="N9" s="947">
        <f t="shared" si="0"/>
        <v>3641627</v>
      </c>
      <c r="O9" s="937">
        <v>3641627</v>
      </c>
      <c r="P9" s="937">
        <f t="shared" si="1"/>
        <v>0</v>
      </c>
      <c r="Q9" s="936">
        <f>+P9/2</f>
        <v>0</v>
      </c>
    </row>
    <row r="10" spans="1:18" x14ac:dyDescent="0.25">
      <c r="A10" s="945" t="s">
        <v>85</v>
      </c>
      <c r="B10" s="946">
        <v>157</v>
      </c>
      <c r="C10" s="946">
        <v>266</v>
      </c>
      <c r="D10" s="946">
        <v>53</v>
      </c>
      <c r="E10" s="946">
        <v>2634</v>
      </c>
      <c r="F10" s="946">
        <v>2633</v>
      </c>
      <c r="G10" s="946">
        <v>98368</v>
      </c>
      <c r="H10" s="946">
        <v>2488</v>
      </c>
      <c r="I10" s="946">
        <v>6177</v>
      </c>
      <c r="J10" s="946">
        <v>925</v>
      </c>
      <c r="K10" s="946">
        <v>1509</v>
      </c>
      <c r="L10" s="946"/>
      <c r="M10" s="946">
        <f>102500-4099-8611</f>
        <v>89790</v>
      </c>
      <c r="N10" s="947">
        <f t="shared" si="0"/>
        <v>205000</v>
      </c>
      <c r="O10" s="937">
        <v>205000</v>
      </c>
      <c r="P10" s="937">
        <f t="shared" si="1"/>
        <v>0</v>
      </c>
      <c r="Q10" s="948"/>
    </row>
    <row r="11" spans="1:18" ht="31.5" x14ac:dyDescent="0.25">
      <c r="A11" s="945" t="s">
        <v>84</v>
      </c>
      <c r="B11" s="946">
        <f>4968+0</f>
        <v>4968</v>
      </c>
      <c r="C11" s="946">
        <v>570</v>
      </c>
      <c r="D11" s="946">
        <f>753+272</f>
        <v>1025</v>
      </c>
      <c r="E11" s="946">
        <v>103</v>
      </c>
      <c r="F11" s="946">
        <f>7231+550</f>
        <v>7781</v>
      </c>
      <c r="G11" s="946">
        <f>26382+266</f>
        <v>26648</v>
      </c>
      <c r="H11" s="946">
        <v>86</v>
      </c>
      <c r="I11" s="946">
        <v>6001</v>
      </c>
      <c r="J11" s="946">
        <v>2227</v>
      </c>
      <c r="K11" s="946">
        <v>-1191</v>
      </c>
      <c r="L11" s="946"/>
      <c r="M11" s="946">
        <f>295000+66311-4037</f>
        <v>357274</v>
      </c>
      <c r="N11" s="947">
        <f t="shared" si="0"/>
        <v>405492</v>
      </c>
      <c r="O11" s="937">
        <v>405492</v>
      </c>
      <c r="P11" s="937">
        <f t="shared" si="1"/>
        <v>0</v>
      </c>
    </row>
    <row r="12" spans="1:18" ht="31.5" x14ac:dyDescent="0.25">
      <c r="A12" s="945" t="s">
        <v>87</v>
      </c>
      <c r="B12" s="946">
        <v>1278</v>
      </c>
      <c r="C12" s="946">
        <v>783</v>
      </c>
      <c r="D12" s="946">
        <v>1087</v>
      </c>
      <c r="E12" s="946">
        <v>1426</v>
      </c>
      <c r="F12" s="946">
        <v>1263</v>
      </c>
      <c r="G12" s="946">
        <v>806</v>
      </c>
      <c r="H12" s="946">
        <v>798</v>
      </c>
      <c r="I12" s="946">
        <v>621</v>
      </c>
      <c r="J12" s="946">
        <v>12284</v>
      </c>
      <c r="K12" s="946">
        <v>1930</v>
      </c>
      <c r="L12" s="946">
        <v>161454</v>
      </c>
      <c r="M12" s="946">
        <v>161453</v>
      </c>
      <c r="N12" s="947">
        <f t="shared" si="0"/>
        <v>345183</v>
      </c>
      <c r="O12" s="937">
        <v>345183</v>
      </c>
      <c r="P12" s="937">
        <f t="shared" si="1"/>
        <v>0</v>
      </c>
      <c r="Q12" s="936">
        <f>+P12/2</f>
        <v>0</v>
      </c>
    </row>
    <row r="13" spans="1:18" x14ac:dyDescent="0.25">
      <c r="A13" s="945" t="s">
        <v>424</v>
      </c>
      <c r="B13" s="946"/>
      <c r="C13" s="946"/>
      <c r="D13" s="946"/>
      <c r="E13" s="946">
        <f>17476468+44558</f>
        <v>17521026</v>
      </c>
      <c r="F13" s="946">
        <v>721126</v>
      </c>
      <c r="G13" s="946"/>
      <c r="H13" s="946"/>
      <c r="I13" s="946"/>
      <c r="J13" s="946"/>
      <c r="K13" s="946"/>
      <c r="L13" s="946"/>
      <c r="M13" s="946"/>
      <c r="N13" s="947">
        <f t="shared" si="0"/>
        <v>18242152</v>
      </c>
      <c r="O13" s="937">
        <v>18242152</v>
      </c>
      <c r="P13" s="937">
        <f t="shared" si="1"/>
        <v>0</v>
      </c>
      <c r="R13" s="937"/>
    </row>
    <row r="14" spans="1:18" ht="47.25" x14ac:dyDescent="0.25">
      <c r="A14" s="949" t="s">
        <v>604</v>
      </c>
      <c r="B14" s="950"/>
      <c r="C14" s="950"/>
      <c r="D14" s="950"/>
      <c r="E14" s="950">
        <v>5305492</v>
      </c>
      <c r="F14" s="950"/>
      <c r="G14" s="950"/>
      <c r="H14" s="950"/>
      <c r="I14" s="950"/>
      <c r="J14" s="950"/>
      <c r="K14" s="950"/>
      <c r="L14" s="950"/>
      <c r="M14" s="950"/>
      <c r="N14" s="947">
        <f t="shared" si="0"/>
        <v>5305492</v>
      </c>
      <c r="O14" s="937">
        <v>5305492</v>
      </c>
      <c r="P14" s="937">
        <f t="shared" si="1"/>
        <v>0</v>
      </c>
    </row>
    <row r="15" spans="1:18" s="955" customFormat="1" ht="16.5" thickBot="1" x14ac:dyDescent="0.3">
      <c r="A15" s="951" t="s">
        <v>528</v>
      </c>
      <c r="B15" s="952">
        <f>SUM(B6:B14)</f>
        <v>1088801</v>
      </c>
      <c r="C15" s="952">
        <f t="shared" ref="C15:P15" si="2">SUM(C6:C14)</f>
        <v>2737742</v>
      </c>
      <c r="D15" s="952">
        <f t="shared" si="2"/>
        <v>9078116</v>
      </c>
      <c r="E15" s="952">
        <f t="shared" si="2"/>
        <v>25374661</v>
      </c>
      <c r="F15" s="952">
        <f t="shared" si="2"/>
        <v>3129290</v>
      </c>
      <c r="G15" s="952">
        <f t="shared" si="2"/>
        <v>1955859</v>
      </c>
      <c r="H15" s="952">
        <f t="shared" si="2"/>
        <v>1211159</v>
      </c>
      <c r="I15" s="952">
        <f t="shared" si="2"/>
        <v>764124</v>
      </c>
      <c r="J15" s="952">
        <f t="shared" si="2"/>
        <v>10220301</v>
      </c>
      <c r="K15" s="952">
        <f t="shared" si="2"/>
        <v>1741780</v>
      </c>
      <c r="L15" s="952">
        <f t="shared" si="2"/>
        <v>1941602</v>
      </c>
      <c r="M15" s="952">
        <f t="shared" si="2"/>
        <v>13667988</v>
      </c>
      <c r="N15" s="953">
        <f t="shared" si="2"/>
        <v>72911423</v>
      </c>
      <c r="O15" s="954">
        <f t="shared" si="2"/>
        <v>72911423</v>
      </c>
      <c r="P15" s="954">
        <f t="shared" si="2"/>
        <v>0</v>
      </c>
    </row>
    <row r="16" spans="1:18" x14ac:dyDescent="0.25">
      <c r="A16" s="940"/>
      <c r="B16" s="954"/>
      <c r="C16" s="954"/>
      <c r="D16" s="954"/>
      <c r="E16" s="954"/>
      <c r="F16" s="954"/>
      <c r="G16" s="954"/>
      <c r="H16" s="954"/>
      <c r="I16" s="954"/>
      <c r="J16" s="954"/>
      <c r="K16" s="954"/>
      <c r="L16" s="954"/>
      <c r="M16" s="954"/>
      <c r="N16" s="954"/>
    </row>
    <row r="17" spans="1:17" ht="16.5" thickBot="1" x14ac:dyDescent="0.3">
      <c r="A17" s="956" t="s">
        <v>72</v>
      </c>
      <c r="Q17" s="936" t="s">
        <v>1217</v>
      </c>
    </row>
    <row r="18" spans="1:17" x14ac:dyDescent="0.25">
      <c r="A18" s="957" t="s">
        <v>75</v>
      </c>
      <c r="B18" s="958">
        <v>1084386</v>
      </c>
      <c r="C18" s="958">
        <v>1019296</v>
      </c>
      <c r="D18" s="958">
        <v>995382</v>
      </c>
      <c r="E18" s="958">
        <v>1189242</v>
      </c>
      <c r="F18" s="958">
        <v>1134998</v>
      </c>
      <c r="G18" s="958">
        <v>1125347</v>
      </c>
      <c r="H18" s="958">
        <v>1280950</v>
      </c>
      <c r="I18" s="958">
        <v>1015575</v>
      </c>
      <c r="J18" s="958">
        <v>1105287</v>
      </c>
      <c r="K18" s="958">
        <v>996961</v>
      </c>
      <c r="L18" s="958">
        <f>2081471+176829</f>
        <v>2258300</v>
      </c>
      <c r="M18" s="958">
        <f>2119642+176828</f>
        <v>2296470</v>
      </c>
      <c r="N18" s="959">
        <f t="shared" ref="N18:N25" si="3">SUM(B18:M18)</f>
        <v>15502194</v>
      </c>
      <c r="O18" s="937">
        <v>15502194</v>
      </c>
      <c r="P18" s="937">
        <f>+O18-N18</f>
        <v>0</v>
      </c>
      <c r="Q18" s="1125">
        <f>+P18/2</f>
        <v>0</v>
      </c>
    </row>
    <row r="19" spans="1:17" ht="31.5" x14ac:dyDescent="0.25">
      <c r="A19" s="945" t="s">
        <v>73</v>
      </c>
      <c r="B19" s="946">
        <v>1186970</v>
      </c>
      <c r="C19" s="946">
        <v>1005865</v>
      </c>
      <c r="D19" s="946">
        <v>1903505</v>
      </c>
      <c r="E19" s="946">
        <v>1447210</v>
      </c>
      <c r="F19" s="946">
        <v>2180881</v>
      </c>
      <c r="G19" s="946">
        <v>1304251</v>
      </c>
      <c r="H19" s="946">
        <v>1554363</v>
      </c>
      <c r="I19" s="946">
        <v>1362591</v>
      </c>
      <c r="J19" s="946">
        <v>1110012</v>
      </c>
      <c r="K19" s="946">
        <v>1572221</v>
      </c>
      <c r="L19" s="946">
        <f>613672+645742+317600-64000+492443</f>
        <v>2005457</v>
      </c>
      <c r="M19" s="946">
        <f>613677+750931-65113+492442</f>
        <v>1791937</v>
      </c>
      <c r="N19" s="947">
        <f t="shared" si="3"/>
        <v>18425263</v>
      </c>
      <c r="O19" s="1126">
        <f>+O15-54486160</f>
        <v>18425263</v>
      </c>
      <c r="P19" s="937">
        <f t="shared" ref="P19:P26" si="4">+O19-N19</f>
        <v>0</v>
      </c>
      <c r="Q19" s="936">
        <f>+P19/2</f>
        <v>0</v>
      </c>
    </row>
    <row r="20" spans="1:17" x14ac:dyDescent="0.25">
      <c r="A20" s="945" t="s">
        <v>487</v>
      </c>
      <c r="B20" s="946">
        <v>15206</v>
      </c>
      <c r="C20" s="946">
        <v>3121</v>
      </c>
      <c r="D20" s="946">
        <v>150</v>
      </c>
      <c r="E20" s="946">
        <v>46222</v>
      </c>
      <c r="F20" s="946">
        <v>6465</v>
      </c>
      <c r="G20" s="946">
        <v>42234</v>
      </c>
      <c r="H20" s="946">
        <v>13613</v>
      </c>
      <c r="I20" s="946">
        <v>11165</v>
      </c>
      <c r="J20" s="946">
        <v>12437</v>
      </c>
      <c r="K20" s="946">
        <v>11221</v>
      </c>
      <c r="L20" s="946">
        <f>55000-25000+9151</f>
        <v>39151</v>
      </c>
      <c r="M20" s="946">
        <f>55000-10928+9152</f>
        <v>53224</v>
      </c>
      <c r="N20" s="947">
        <f t="shared" si="3"/>
        <v>254209</v>
      </c>
      <c r="O20" s="937">
        <v>254209</v>
      </c>
      <c r="P20" s="937">
        <f t="shared" si="4"/>
        <v>0</v>
      </c>
      <c r="Q20" s="936">
        <f>+P20/2</f>
        <v>0</v>
      </c>
    </row>
    <row r="21" spans="1:17" s="937" customFormat="1" x14ac:dyDescent="0.25">
      <c r="A21" s="945" t="s">
        <v>772</v>
      </c>
      <c r="B21" s="946">
        <v>20838</v>
      </c>
      <c r="C21" s="946">
        <v>54381</v>
      </c>
      <c r="D21" s="946">
        <v>0</v>
      </c>
      <c r="E21" s="946">
        <v>116508</v>
      </c>
      <c r="F21" s="946">
        <v>23180</v>
      </c>
      <c r="G21" s="946">
        <v>63567</v>
      </c>
      <c r="H21" s="946">
        <v>13764</v>
      </c>
      <c r="I21" s="946">
        <v>37103</v>
      </c>
      <c r="J21" s="946">
        <v>23022</v>
      </c>
      <c r="K21" s="946">
        <v>58185</v>
      </c>
      <c r="L21" s="946">
        <f>350000+85001+445426</f>
        <v>880427</v>
      </c>
      <c r="M21" s="946">
        <f>283717+85003+445427</f>
        <v>814147</v>
      </c>
      <c r="N21" s="947">
        <f t="shared" si="3"/>
        <v>2105122</v>
      </c>
      <c r="O21" s="937">
        <v>2105122</v>
      </c>
      <c r="P21" s="937">
        <f t="shared" si="4"/>
        <v>0</v>
      </c>
      <c r="Q21" s="936">
        <f>+P21/2</f>
        <v>0</v>
      </c>
    </row>
    <row r="22" spans="1:17" s="937" customFormat="1" ht="45.75" customHeight="1" x14ac:dyDescent="0.25">
      <c r="A22" s="945" t="s">
        <v>655</v>
      </c>
      <c r="B22" s="946">
        <v>390160</v>
      </c>
      <c r="C22" s="946">
        <v>374153</v>
      </c>
      <c r="D22" s="946">
        <v>1557035</v>
      </c>
      <c r="E22" s="946">
        <v>402185</v>
      </c>
      <c r="F22" s="946">
        <v>495612</v>
      </c>
      <c r="G22" s="946">
        <v>448723</v>
      </c>
      <c r="H22" s="946">
        <v>377140</v>
      </c>
      <c r="I22" s="946">
        <v>290615</v>
      </c>
      <c r="J22" s="946">
        <v>707216</v>
      </c>
      <c r="K22" s="946">
        <v>246557</v>
      </c>
      <c r="L22" s="946">
        <f>7981555+435837+526227+5550377</f>
        <v>14493996</v>
      </c>
      <c r="M22" s="946">
        <f>5274899+435837+526229+5550378</f>
        <v>11787343</v>
      </c>
      <c r="N22" s="947">
        <f t="shared" si="3"/>
        <v>31570735</v>
      </c>
      <c r="O22" s="937">
        <f>30409855+1160880</f>
        <v>31570735</v>
      </c>
      <c r="P22" s="937">
        <f t="shared" si="4"/>
        <v>0</v>
      </c>
      <c r="Q22" s="936">
        <f>+P22/2</f>
        <v>0</v>
      </c>
    </row>
    <row r="23" spans="1:17" s="937" customFormat="1" x14ac:dyDescent="0.25">
      <c r="A23" s="945" t="s">
        <v>74</v>
      </c>
      <c r="B23" s="946"/>
      <c r="C23" s="946"/>
      <c r="D23" s="946"/>
      <c r="E23" s="946"/>
      <c r="F23" s="946"/>
      <c r="G23" s="946"/>
      <c r="H23" s="946"/>
      <c r="I23" s="946"/>
      <c r="J23" s="946"/>
      <c r="K23" s="946"/>
      <c r="L23" s="946"/>
      <c r="M23" s="946">
        <v>2213410</v>
      </c>
      <c r="N23" s="947">
        <f t="shared" si="3"/>
        <v>2213410</v>
      </c>
      <c r="O23" s="937">
        <v>2213410</v>
      </c>
      <c r="P23" s="937">
        <f t="shared" si="4"/>
        <v>0</v>
      </c>
    </row>
    <row r="24" spans="1:17" s="937" customFormat="1" ht="31.5" x14ac:dyDescent="0.25">
      <c r="A24" s="949" t="s">
        <v>605</v>
      </c>
      <c r="B24" s="950"/>
      <c r="C24" s="950"/>
      <c r="D24" s="950"/>
      <c r="E24" s="950"/>
      <c r="F24" s="950"/>
      <c r="G24" s="950"/>
      <c r="H24" s="950"/>
      <c r="I24" s="950"/>
      <c r="J24" s="950"/>
      <c r="K24" s="950"/>
      <c r="L24" s="950"/>
      <c r="M24" s="950">
        <v>2710038</v>
      </c>
      <c r="N24" s="947">
        <f t="shared" si="3"/>
        <v>2710038</v>
      </c>
      <c r="O24" s="937">
        <v>2710038</v>
      </c>
      <c r="P24" s="937">
        <f t="shared" si="4"/>
        <v>0</v>
      </c>
    </row>
    <row r="25" spans="1:17" s="937" customFormat="1" ht="31.5" x14ac:dyDescent="0.25">
      <c r="A25" s="949" t="s">
        <v>646</v>
      </c>
      <c r="B25" s="950">
        <v>130452</v>
      </c>
      <c r="C25" s="950"/>
      <c r="D25" s="950"/>
      <c r="E25" s="950"/>
      <c r="F25" s="950"/>
      <c r="G25" s="950"/>
      <c r="H25" s="950"/>
      <c r="I25" s="950"/>
      <c r="J25" s="950"/>
      <c r="K25" s="950"/>
      <c r="L25" s="950"/>
      <c r="M25" s="950"/>
      <c r="N25" s="947">
        <f t="shared" si="3"/>
        <v>130452</v>
      </c>
      <c r="O25" s="937">
        <v>130452</v>
      </c>
      <c r="P25" s="937">
        <f t="shared" si="4"/>
        <v>0</v>
      </c>
    </row>
    <row r="26" spans="1:17" s="937" customFormat="1" ht="16.5" thickBot="1" x14ac:dyDescent="0.3">
      <c r="A26" s="951" t="s">
        <v>529</v>
      </c>
      <c r="B26" s="952">
        <f>SUM(B18:B25)</f>
        <v>2828012</v>
      </c>
      <c r="C26" s="952">
        <f t="shared" ref="C26:M26" si="5">SUM(C18:C25)</f>
        <v>2456816</v>
      </c>
      <c r="D26" s="952">
        <f t="shared" si="5"/>
        <v>4456072</v>
      </c>
      <c r="E26" s="952">
        <f t="shared" si="5"/>
        <v>3201367</v>
      </c>
      <c r="F26" s="952">
        <f t="shared" si="5"/>
        <v>3841136</v>
      </c>
      <c r="G26" s="952">
        <f t="shared" si="5"/>
        <v>2984122</v>
      </c>
      <c r="H26" s="952">
        <f t="shared" si="5"/>
        <v>3239830</v>
      </c>
      <c r="I26" s="952">
        <f t="shared" si="5"/>
        <v>2717049</v>
      </c>
      <c r="J26" s="952">
        <f t="shared" si="5"/>
        <v>2957974</v>
      </c>
      <c r="K26" s="952">
        <f t="shared" si="5"/>
        <v>2885145</v>
      </c>
      <c r="L26" s="952">
        <f t="shared" si="5"/>
        <v>19677331</v>
      </c>
      <c r="M26" s="952">
        <f t="shared" si="5"/>
        <v>21666569</v>
      </c>
      <c r="N26" s="953">
        <f>SUM(N18:N25)</f>
        <v>72911423</v>
      </c>
      <c r="O26" s="954">
        <f>SUM(O18:O25)</f>
        <v>72911423</v>
      </c>
      <c r="P26" s="954">
        <f t="shared" si="4"/>
        <v>0</v>
      </c>
    </row>
    <row r="27" spans="1:17" s="937" customFormat="1" ht="73.5" customHeight="1" x14ac:dyDescent="0.25">
      <c r="A27" s="940"/>
      <c r="B27" s="954"/>
      <c r="C27" s="954"/>
      <c r="D27" s="954"/>
      <c r="E27" s="954"/>
      <c r="F27" s="954"/>
      <c r="G27" s="954"/>
      <c r="H27" s="954"/>
      <c r="I27" s="954"/>
      <c r="J27" s="954"/>
      <c r="K27" s="954"/>
      <c r="L27" s="954"/>
      <c r="M27" s="954"/>
      <c r="N27" s="954"/>
    </row>
    <row r="28" spans="1:17" s="937" customFormat="1" x14ac:dyDescent="0.25">
      <c r="A28" s="960" t="s">
        <v>801</v>
      </c>
      <c r="B28" s="961">
        <f>17682147+732275</f>
        <v>18414422</v>
      </c>
      <c r="C28" s="961">
        <f t="shared" ref="C28:K28" si="6">+B30</f>
        <v>16675211</v>
      </c>
      <c r="D28" s="961">
        <f t="shared" si="6"/>
        <v>16956137</v>
      </c>
      <c r="E28" s="961">
        <f t="shared" si="6"/>
        <v>21578181</v>
      </c>
      <c r="F28" s="961">
        <f t="shared" si="6"/>
        <v>26230449</v>
      </c>
      <c r="G28" s="961">
        <f t="shared" si="6"/>
        <v>24797477</v>
      </c>
      <c r="H28" s="961">
        <f t="shared" si="6"/>
        <v>23769214</v>
      </c>
      <c r="I28" s="961">
        <f t="shared" si="6"/>
        <v>21740543</v>
      </c>
      <c r="J28" s="961">
        <f t="shared" si="6"/>
        <v>19787618</v>
      </c>
      <c r="K28" s="961">
        <f t="shared" si="6"/>
        <v>27049945</v>
      </c>
      <c r="L28" s="961">
        <f>+K30</f>
        <v>25906580</v>
      </c>
      <c r="M28" s="961">
        <f>+L30</f>
        <v>8170851</v>
      </c>
      <c r="N28" s="961"/>
    </row>
    <row r="29" spans="1:17" s="937" customFormat="1" ht="47.25" x14ac:dyDescent="0.25">
      <c r="A29" s="960" t="s">
        <v>802</v>
      </c>
      <c r="B29" s="961">
        <f t="shared" ref="B29:C29" si="7">+B15-B26</f>
        <v>-1739211</v>
      </c>
      <c r="C29" s="961">
        <f t="shared" si="7"/>
        <v>280926</v>
      </c>
      <c r="D29" s="961">
        <f>+D15-D26-D13</f>
        <v>4622044</v>
      </c>
      <c r="E29" s="961">
        <f t="shared" ref="E29:M29" si="8">+E15-E26-E13</f>
        <v>4652268</v>
      </c>
      <c r="F29" s="961">
        <f t="shared" si="8"/>
        <v>-1432972</v>
      </c>
      <c r="G29" s="961">
        <f t="shared" si="8"/>
        <v>-1028263</v>
      </c>
      <c r="H29" s="961">
        <f t="shared" si="8"/>
        <v>-2028671</v>
      </c>
      <c r="I29" s="961">
        <f t="shared" si="8"/>
        <v>-1952925</v>
      </c>
      <c r="J29" s="961">
        <f t="shared" si="8"/>
        <v>7262327</v>
      </c>
      <c r="K29" s="961">
        <f t="shared" si="8"/>
        <v>-1143365</v>
      </c>
      <c r="L29" s="961">
        <f t="shared" si="8"/>
        <v>-17735729</v>
      </c>
      <c r="M29" s="961">
        <f t="shared" si="8"/>
        <v>-7998581</v>
      </c>
      <c r="N29" s="961"/>
    </row>
    <row r="30" spans="1:17" s="937" customFormat="1" ht="47.25" x14ac:dyDescent="0.25">
      <c r="A30" s="960" t="s">
        <v>803</v>
      </c>
      <c r="B30" s="961">
        <f t="shared" ref="B30:M30" si="9">+B28+B29</f>
        <v>16675211</v>
      </c>
      <c r="C30" s="961">
        <f t="shared" si="9"/>
        <v>16956137</v>
      </c>
      <c r="D30" s="961">
        <f t="shared" si="9"/>
        <v>21578181</v>
      </c>
      <c r="E30" s="961">
        <f t="shared" si="9"/>
        <v>26230449</v>
      </c>
      <c r="F30" s="961">
        <f t="shared" si="9"/>
        <v>24797477</v>
      </c>
      <c r="G30" s="961">
        <f t="shared" si="9"/>
        <v>23769214</v>
      </c>
      <c r="H30" s="961">
        <f t="shared" si="9"/>
        <v>21740543</v>
      </c>
      <c r="I30" s="961">
        <f t="shared" si="9"/>
        <v>19787618</v>
      </c>
      <c r="J30" s="961">
        <f>+J28+J29</f>
        <v>27049945</v>
      </c>
      <c r="K30" s="961">
        <f t="shared" si="9"/>
        <v>25906580</v>
      </c>
      <c r="L30" s="961">
        <f t="shared" si="9"/>
        <v>8170851</v>
      </c>
      <c r="M30" s="961">
        <f t="shared" si="9"/>
        <v>172270</v>
      </c>
      <c r="N30" s="961"/>
    </row>
    <row r="31" spans="1:17" s="937" customFormat="1" x14ac:dyDescent="0.25">
      <c r="A31" s="936"/>
    </row>
    <row r="32" spans="1:17" x14ac:dyDescent="0.25">
      <c r="B32" s="954"/>
      <c r="C32" s="954"/>
      <c r="D32" s="954"/>
      <c r="E32" s="954"/>
      <c r="F32" s="954"/>
      <c r="G32" s="954"/>
      <c r="H32" s="954"/>
      <c r="I32" s="954"/>
      <c r="J32" s="954"/>
      <c r="K32" s="954"/>
      <c r="L32" s="954"/>
      <c r="M32" s="954"/>
      <c r="N32" s="954"/>
    </row>
    <row r="33" spans="1:16" x14ac:dyDescent="0.25">
      <c r="A33" s="936" t="s">
        <v>530</v>
      </c>
    </row>
    <row r="37" spans="1:16" s="937" customFormat="1" x14ac:dyDescent="0.25">
      <c r="A37" s="955"/>
      <c r="B37" s="954"/>
      <c r="C37" s="954"/>
      <c r="D37" s="954"/>
      <c r="E37" s="954"/>
      <c r="F37" s="954"/>
      <c r="G37" s="954"/>
      <c r="H37" s="954"/>
      <c r="I37" s="954"/>
      <c r="J37" s="954"/>
      <c r="K37" s="954"/>
      <c r="L37" s="954"/>
      <c r="M37" s="954"/>
      <c r="N37" s="954"/>
      <c r="P37" s="936"/>
    </row>
    <row r="39" spans="1:16" s="937" customFormat="1" x14ac:dyDescent="0.25">
      <c r="A39" s="962"/>
      <c r="B39" s="963"/>
      <c r="C39" s="963"/>
      <c r="D39" s="963"/>
      <c r="E39" s="963"/>
      <c r="F39" s="963"/>
      <c r="H39" s="963"/>
      <c r="I39" s="963"/>
      <c r="J39" s="963"/>
      <c r="K39" s="963"/>
      <c r="L39" s="963"/>
      <c r="M39" s="963"/>
      <c r="N39" s="963"/>
      <c r="P39" s="936"/>
    </row>
  </sheetData>
  <pageMargins left="0.78740157480314965" right="0.51181102362204722" top="0.74803149606299213" bottom="0.35433070866141736" header="0.31496062992125984" footer="0.31496062992125984"/>
  <pageSetup paperSize="9" scale="65" orientation="landscape" r:id="rId1"/>
  <headerFooter>
    <oddHeader>&amp;C&amp;"Times New Roman CE,Félkövér"
2019. évi előirányzat-felhasználási terv 
(eFt-ban)</oddHeader>
    <oddFooter>&amp;L&amp;X14&amp;X Módosította a  28/2019.(XII.13.) önkormányzati rendelet 8.§ (13) bekezdése, hatályos 2019. december 16-tól.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03742-94A7-43F7-BC01-6455F0DA888C}">
  <sheetPr>
    <tabColor theme="7" tint="0.39997558519241921"/>
  </sheetPr>
  <dimension ref="A1:K34"/>
  <sheetViews>
    <sheetView zoomScale="90" zoomScaleNormal="90" workbookViewId="0">
      <selection activeCell="G4" sqref="G4"/>
    </sheetView>
  </sheetViews>
  <sheetFormatPr defaultColWidth="8" defaultRowHeight="15.75" x14ac:dyDescent="0.25"/>
  <cols>
    <col min="1" max="1" width="53.375" style="964" bestFit="1" customWidth="1"/>
    <col min="2" max="2" width="12.125" style="964" customWidth="1"/>
    <col min="3" max="3" width="12.375" style="964" customWidth="1"/>
    <col min="4" max="4" width="12.125" style="964" customWidth="1"/>
    <col min="5" max="5" width="11.75" style="964" customWidth="1"/>
    <col min="6" max="6" width="13.625" style="964" customWidth="1"/>
    <col min="7" max="7" width="13.25" style="964" customWidth="1"/>
    <col min="8" max="8" width="8" style="964"/>
    <col min="9" max="9" width="8.875" style="964" bestFit="1" customWidth="1"/>
    <col min="10" max="16384" width="8" style="964"/>
  </cols>
  <sheetData>
    <row r="1" spans="1:8" x14ac:dyDescent="0.25">
      <c r="G1" s="965"/>
    </row>
    <row r="2" spans="1:8" x14ac:dyDescent="0.25">
      <c r="G2" s="966" t="s">
        <v>1144</v>
      </c>
    </row>
    <row r="3" spans="1:8" ht="18.75" x14ac:dyDescent="0.25">
      <c r="G3" s="966" t="s">
        <v>1147</v>
      </c>
    </row>
    <row r="4" spans="1:8" ht="16.5" thickBot="1" x14ac:dyDescent="0.3">
      <c r="G4" s="967"/>
    </row>
    <row r="5" spans="1:8" ht="33" thickTop="1" thickBot="1" x14ac:dyDescent="0.3">
      <c r="A5" s="968" t="s">
        <v>165</v>
      </c>
      <c r="B5" s="969" t="s">
        <v>568</v>
      </c>
      <c r="C5" s="969" t="s">
        <v>625</v>
      </c>
      <c r="D5" s="969" t="s">
        <v>749</v>
      </c>
      <c r="E5" s="969" t="s">
        <v>814</v>
      </c>
      <c r="F5" s="969" t="s">
        <v>166</v>
      </c>
      <c r="G5" s="969" t="s">
        <v>167</v>
      </c>
    </row>
    <row r="6" spans="1:8" ht="17.25" thickTop="1" thickBot="1" x14ac:dyDescent="0.3">
      <c r="A6" s="970" t="s">
        <v>168</v>
      </c>
      <c r="B6" s="971" t="s">
        <v>169</v>
      </c>
      <c r="C6" s="971" t="s">
        <v>170</v>
      </c>
      <c r="D6" s="971" t="s">
        <v>171</v>
      </c>
      <c r="E6" s="971" t="s">
        <v>172</v>
      </c>
      <c r="F6" s="971" t="s">
        <v>173</v>
      </c>
      <c r="G6" s="971" t="s">
        <v>174</v>
      </c>
    </row>
    <row r="7" spans="1:8" ht="16.5" thickTop="1" x14ac:dyDescent="0.25">
      <c r="A7" s="972"/>
      <c r="B7" s="973"/>
      <c r="C7" s="973"/>
      <c r="D7" s="973"/>
      <c r="E7" s="973"/>
      <c r="F7" s="973"/>
      <c r="G7" s="973"/>
    </row>
    <row r="8" spans="1:8" ht="31.5" x14ac:dyDescent="0.25">
      <c r="A8" s="856" t="s">
        <v>626</v>
      </c>
      <c r="B8" s="974"/>
      <c r="C8" s="974"/>
      <c r="D8" s="974"/>
      <c r="E8" s="974"/>
      <c r="F8" s="974"/>
      <c r="G8" s="975"/>
    </row>
    <row r="9" spans="1:8" x14ac:dyDescent="0.25">
      <c r="A9" s="858" t="s">
        <v>830</v>
      </c>
      <c r="B9" s="976">
        <v>5882</v>
      </c>
      <c r="C9" s="976">
        <v>366626</v>
      </c>
      <c r="D9" s="976"/>
      <c r="E9" s="976"/>
      <c r="F9" s="976"/>
      <c r="G9" s="975">
        <f t="shared" ref="G9:G10" si="0">SUM(B9:F9)</f>
        <v>372508</v>
      </c>
    </row>
    <row r="10" spans="1:8" x14ac:dyDescent="0.25">
      <c r="A10" s="858" t="s">
        <v>698</v>
      </c>
      <c r="B10" s="976">
        <v>19432</v>
      </c>
      <c r="C10" s="976">
        <v>886340</v>
      </c>
      <c r="D10" s="976"/>
      <c r="E10" s="976"/>
      <c r="F10" s="976"/>
      <c r="G10" s="975">
        <f t="shared" si="0"/>
        <v>905772</v>
      </c>
    </row>
    <row r="11" spans="1:8" x14ac:dyDescent="0.25">
      <c r="A11" s="858" t="s">
        <v>601</v>
      </c>
      <c r="B11" s="976">
        <v>522639</v>
      </c>
      <c r="C11" s="976">
        <v>764021</v>
      </c>
      <c r="D11" s="976">
        <v>369234</v>
      </c>
      <c r="E11" s="976"/>
      <c r="F11" s="976"/>
      <c r="G11" s="975">
        <f t="shared" ref="G11:G22" si="1">SUM(B11:F11)</f>
        <v>1655894</v>
      </c>
    </row>
    <row r="12" spans="1:8" ht="47.25" x14ac:dyDescent="0.25">
      <c r="A12" s="858" t="s">
        <v>555</v>
      </c>
      <c r="B12" s="976">
        <v>1093000</v>
      </c>
      <c r="C12" s="976">
        <v>42961</v>
      </c>
      <c r="D12" s="976"/>
      <c r="E12" s="976"/>
      <c r="F12" s="976"/>
      <c r="G12" s="975">
        <f t="shared" si="1"/>
        <v>1135961</v>
      </c>
    </row>
    <row r="13" spans="1:8" ht="31.5" x14ac:dyDescent="0.25">
      <c r="A13" s="858" t="s">
        <v>699</v>
      </c>
      <c r="B13" s="976">
        <v>308450</v>
      </c>
      <c r="C13" s="976">
        <v>399650</v>
      </c>
      <c r="D13" s="976"/>
      <c r="E13" s="976"/>
      <c r="F13" s="976"/>
      <c r="G13" s="975">
        <f t="shared" si="1"/>
        <v>708100</v>
      </c>
    </row>
    <row r="14" spans="1:8" ht="31.5" x14ac:dyDescent="0.25">
      <c r="A14" s="858" t="s">
        <v>750</v>
      </c>
      <c r="B14" s="976">
        <f>96851+26445</f>
        <v>123296</v>
      </c>
      <c r="C14" s="976">
        <f>263321+79334</f>
        <v>342655</v>
      </c>
      <c r="D14" s="976"/>
      <c r="E14" s="976"/>
      <c r="F14" s="976"/>
      <c r="G14" s="975">
        <f t="shared" si="1"/>
        <v>465951</v>
      </c>
      <c r="H14" s="977"/>
    </row>
    <row r="15" spans="1:8" x14ac:dyDescent="0.25">
      <c r="A15" s="858" t="s">
        <v>628</v>
      </c>
      <c r="B15" s="976">
        <v>860</v>
      </c>
      <c r="C15" s="976">
        <v>1037</v>
      </c>
      <c r="D15" s="976"/>
      <c r="E15" s="976"/>
      <c r="F15" s="976"/>
      <c r="G15" s="975">
        <f t="shared" si="1"/>
        <v>1897</v>
      </c>
    </row>
    <row r="16" spans="1:8" x14ac:dyDescent="0.25">
      <c r="A16" s="858" t="s">
        <v>902</v>
      </c>
      <c r="B16" s="976">
        <v>11987</v>
      </c>
      <c r="C16" s="976">
        <v>13472</v>
      </c>
      <c r="D16" s="976">
        <v>9567</v>
      </c>
      <c r="E16" s="976">
        <v>1265</v>
      </c>
      <c r="F16" s="976"/>
      <c r="G16" s="975">
        <f t="shared" si="1"/>
        <v>36291</v>
      </c>
    </row>
    <row r="17" spans="1:11" x14ac:dyDescent="0.25">
      <c r="A17" s="858" t="s">
        <v>602</v>
      </c>
      <c r="B17" s="976">
        <v>14874212</v>
      </c>
      <c r="C17" s="976">
        <v>635000</v>
      </c>
      <c r="D17" s="976"/>
      <c r="E17" s="976"/>
      <c r="F17" s="976"/>
      <c r="G17" s="975">
        <f t="shared" si="1"/>
        <v>15509212</v>
      </c>
    </row>
    <row r="18" spans="1:11" x14ac:dyDescent="0.25">
      <c r="A18" s="858" t="s">
        <v>693</v>
      </c>
      <c r="B18" s="976">
        <v>135282</v>
      </c>
      <c r="C18" s="976">
        <v>149803</v>
      </c>
      <c r="D18" s="976"/>
      <c r="E18" s="976"/>
      <c r="F18" s="976"/>
      <c r="G18" s="975">
        <f t="shared" si="1"/>
        <v>285085</v>
      </c>
    </row>
    <row r="19" spans="1:11" ht="16.5" customHeight="1" x14ac:dyDescent="0.25">
      <c r="A19" s="858" t="s">
        <v>598</v>
      </c>
      <c r="B19" s="976">
        <f>229083+18464+21005</f>
        <v>268552</v>
      </c>
      <c r="C19" s="976">
        <f>2988825-21005+785</f>
        <v>2968605</v>
      </c>
      <c r="D19" s="976"/>
      <c r="E19" s="976"/>
      <c r="F19" s="976"/>
      <c r="G19" s="975">
        <f>SUM(B19:F19)</f>
        <v>3237157</v>
      </c>
      <c r="H19" s="977"/>
      <c r="I19" s="978"/>
    </row>
    <row r="20" spans="1:11" x14ac:dyDescent="0.25">
      <c r="A20" s="858" t="s">
        <v>834</v>
      </c>
      <c r="B20" s="976">
        <v>196844</v>
      </c>
      <c r="C20" s="976">
        <v>130824</v>
      </c>
      <c r="D20" s="976"/>
      <c r="E20" s="976"/>
      <c r="F20" s="976"/>
      <c r="G20" s="975">
        <f>SUM(B20:F20)</f>
        <v>327668</v>
      </c>
    </row>
    <row r="21" spans="1:11" x14ac:dyDescent="0.25">
      <c r="A21" s="858" t="s">
        <v>603</v>
      </c>
      <c r="B21" s="976">
        <v>293313</v>
      </c>
      <c r="C21" s="976">
        <v>935166</v>
      </c>
      <c r="D21" s="976"/>
      <c r="E21" s="976"/>
      <c r="F21" s="976"/>
      <c r="G21" s="975">
        <f>SUM(B21:F21)</f>
        <v>1228479</v>
      </c>
    </row>
    <row r="22" spans="1:11" ht="16.5" thickBot="1" x14ac:dyDescent="0.3">
      <c r="A22" s="858" t="s">
        <v>686</v>
      </c>
      <c r="B22" s="976">
        <v>200000</v>
      </c>
      <c r="C22" s="976">
        <v>900000</v>
      </c>
      <c r="D22" s="976">
        <v>900000</v>
      </c>
      <c r="E22" s="976"/>
      <c r="F22" s="976"/>
      <c r="G22" s="975">
        <f t="shared" si="1"/>
        <v>2000000</v>
      </c>
    </row>
    <row r="23" spans="1:11" ht="33" thickTop="1" thickBot="1" x14ac:dyDescent="0.3">
      <c r="A23" s="979" t="s">
        <v>751</v>
      </c>
      <c r="B23" s="980">
        <f>SUM(B9:B22)</f>
        <v>18053749</v>
      </c>
      <c r="C23" s="980">
        <f t="shared" ref="C23:F23" si="2">SUM(C9:C22)</f>
        <v>8536160</v>
      </c>
      <c r="D23" s="980">
        <f t="shared" si="2"/>
        <v>1278801</v>
      </c>
      <c r="E23" s="980">
        <f t="shared" si="2"/>
        <v>1265</v>
      </c>
      <c r="F23" s="980">
        <f t="shared" si="2"/>
        <v>0</v>
      </c>
      <c r="G23" s="980">
        <f>SUM(G9:G22)</f>
        <v>27869975</v>
      </c>
    </row>
    <row r="24" spans="1:11" ht="16.5" thickTop="1" x14ac:dyDescent="0.25">
      <c r="A24" s="981"/>
      <c r="B24" s="982"/>
      <c r="C24" s="982"/>
      <c r="D24" s="982"/>
      <c r="E24" s="982"/>
      <c r="F24" s="982"/>
      <c r="G24" s="982"/>
    </row>
    <row r="25" spans="1:11" x14ac:dyDescent="0.25">
      <c r="A25" s="972" t="s">
        <v>631</v>
      </c>
      <c r="B25" s="973"/>
      <c r="C25" s="973"/>
      <c r="D25" s="973"/>
      <c r="E25" s="973"/>
      <c r="F25" s="973"/>
      <c r="G25" s="973"/>
      <c r="K25" s="978"/>
    </row>
    <row r="26" spans="1:11" ht="31.5" x14ac:dyDescent="0.25">
      <c r="A26" s="983" t="s">
        <v>632</v>
      </c>
      <c r="B26" s="974">
        <v>22225</v>
      </c>
      <c r="C26" s="974">
        <v>22225</v>
      </c>
      <c r="D26" s="974">
        <v>22225</v>
      </c>
      <c r="E26" s="974">
        <v>22225</v>
      </c>
      <c r="F26" s="974"/>
      <c r="G26" s="975">
        <f>SUM(B26:F26)</f>
        <v>88900</v>
      </c>
      <c r="K26" s="978"/>
    </row>
    <row r="27" spans="1:11" ht="50.25" customHeight="1" thickBot="1" x14ac:dyDescent="0.3">
      <c r="A27" s="983" t="s">
        <v>1134</v>
      </c>
      <c r="B27" s="974">
        <v>325970</v>
      </c>
      <c r="C27" s="974">
        <v>979316</v>
      </c>
      <c r="D27" s="974">
        <v>194714</v>
      </c>
      <c r="E27" s="974"/>
      <c r="F27" s="974"/>
      <c r="G27" s="975">
        <f>SUM(B27:F27)</f>
        <v>1500000</v>
      </c>
    </row>
    <row r="28" spans="1:11" ht="17.25" thickTop="1" thickBot="1" x14ac:dyDescent="0.3">
      <c r="A28" s="979" t="s">
        <v>633</v>
      </c>
      <c r="B28" s="980">
        <f>SUM(B26:B27)</f>
        <v>348195</v>
      </c>
      <c r="C28" s="980">
        <f t="shared" ref="C28:G28" si="3">SUM(C26:C27)</f>
        <v>1001541</v>
      </c>
      <c r="D28" s="980">
        <f t="shared" si="3"/>
        <v>216939</v>
      </c>
      <c r="E28" s="980">
        <f t="shared" si="3"/>
        <v>22225</v>
      </c>
      <c r="F28" s="980">
        <f t="shared" si="3"/>
        <v>0</v>
      </c>
      <c r="G28" s="980">
        <f t="shared" si="3"/>
        <v>1588900</v>
      </c>
    </row>
    <row r="29" spans="1:11" ht="16.5" thickTop="1" x14ac:dyDescent="0.25">
      <c r="A29" s="981"/>
      <c r="B29" s="982"/>
      <c r="C29" s="982"/>
      <c r="D29" s="982"/>
      <c r="E29" s="982"/>
      <c r="F29" s="982"/>
      <c r="G29" s="982"/>
    </row>
    <row r="30" spans="1:11" x14ac:dyDescent="0.25">
      <c r="A30" s="854" t="s">
        <v>634</v>
      </c>
      <c r="B30" s="974"/>
      <c r="C30" s="974"/>
      <c r="D30" s="974"/>
      <c r="E30" s="974"/>
      <c r="F30" s="974"/>
      <c r="G30" s="975"/>
    </row>
    <row r="31" spans="1:11" ht="32.25" thickBot="1" x14ac:dyDescent="0.3">
      <c r="A31" s="984" t="s">
        <v>449</v>
      </c>
      <c r="B31" s="985">
        <v>63000</v>
      </c>
      <c r="C31" s="985">
        <v>63000</v>
      </c>
      <c r="D31" s="985">
        <v>63000</v>
      </c>
      <c r="E31" s="985">
        <v>63000</v>
      </c>
      <c r="F31" s="985"/>
      <c r="G31" s="975">
        <f>SUM(B31:F31)</f>
        <v>252000</v>
      </c>
    </row>
    <row r="32" spans="1:11" ht="33" thickTop="1" thickBot="1" x14ac:dyDescent="0.3">
      <c r="A32" s="979" t="s">
        <v>635</v>
      </c>
      <c r="B32" s="980">
        <f t="shared" ref="B32:G32" si="4">SUM(B31:B31)</f>
        <v>63000</v>
      </c>
      <c r="C32" s="980">
        <f t="shared" si="4"/>
        <v>63000</v>
      </c>
      <c r="D32" s="980">
        <f t="shared" si="4"/>
        <v>63000</v>
      </c>
      <c r="E32" s="980">
        <f t="shared" si="4"/>
        <v>63000</v>
      </c>
      <c r="F32" s="980">
        <f t="shared" si="4"/>
        <v>0</v>
      </c>
      <c r="G32" s="980">
        <f t="shared" si="4"/>
        <v>252000</v>
      </c>
    </row>
    <row r="33" spans="1:7" ht="17.25" thickTop="1" thickBot="1" x14ac:dyDescent="0.3">
      <c r="A33" s="986" t="s">
        <v>167</v>
      </c>
      <c r="B33" s="987">
        <f>SUM(B23,B28,B32)</f>
        <v>18464944</v>
      </c>
      <c r="C33" s="987">
        <f>SUM(C23,C28,C32)</f>
        <v>9600701</v>
      </c>
      <c r="D33" s="987">
        <f>SUM(D23,D28,D32)</f>
        <v>1558740</v>
      </c>
      <c r="E33" s="987">
        <f>SUM(E23,E28,E32)</f>
        <v>86490</v>
      </c>
      <c r="F33" s="987">
        <f t="shared" ref="F33" si="5">SUM(F23,F28,F32)</f>
        <v>0</v>
      </c>
      <c r="G33" s="987">
        <f>SUM(G23,G28,G32)</f>
        <v>29710875</v>
      </c>
    </row>
    <row r="34" spans="1:7" ht="16.5" thickTop="1" x14ac:dyDescent="0.25">
      <c r="G34" s="988"/>
    </row>
  </sheetData>
  <pageMargins left="0.31496062992125984" right="0.31496062992125984" top="1.3385826771653544" bottom="0.74803149606299213" header="0.31496062992125984" footer="0.31496062992125984"/>
  <pageSetup paperSize="9" scale="69" orientation="portrait" r:id="rId1"/>
  <headerFooter>
    <oddHeader>&amp;C&amp;"Times New Roman CE,Félkövér"
Több éves kihatással járó jelentősebb döntések
(eFt-ban)</oddHeader>
    <oddFooter>&amp;L&amp;X15&amp;X Módosította a  28/2019.(XII.13.) önkormányzati rendelet 8.§ (14) bekezdése, hatályos 2019. december 16-tól.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sheetPr>
  <dimension ref="A1:AD54"/>
  <sheetViews>
    <sheetView zoomScale="90" zoomScaleNormal="90" zoomScaleSheetLayoutView="100" workbookViewId="0">
      <pane xSplit="4" ySplit="7" topLeftCell="R8" activePane="bottomRight" state="frozen"/>
      <selection activeCell="C35" sqref="C35"/>
      <selection pane="topRight" activeCell="C35" sqref="C35"/>
      <selection pane="bottomLeft" activeCell="C35" sqref="C35"/>
      <selection pane="bottomRight" activeCell="P3" sqref="P3"/>
    </sheetView>
  </sheetViews>
  <sheetFormatPr defaultRowHeight="12.75" x14ac:dyDescent="0.2"/>
  <cols>
    <col min="1" max="1" width="4.375" style="334" customWidth="1"/>
    <col min="2" max="2" width="26" style="83" customWidth="1"/>
    <col min="3" max="3" width="14.25" style="83" customWidth="1"/>
    <col min="4" max="4" width="18.625" style="334" customWidth="1"/>
    <col min="5" max="5" width="8.125" style="334" customWidth="1"/>
    <col min="6" max="6" width="8.625" style="334" customWidth="1"/>
    <col min="7" max="7" width="9" style="334" customWidth="1"/>
    <col min="8" max="8" width="9.875" style="334" customWidth="1"/>
    <col min="9" max="9" width="8.625" style="334" customWidth="1"/>
    <col min="10" max="10" width="9" style="334" customWidth="1"/>
    <col min="11" max="11" width="8.125" style="334" customWidth="1"/>
    <col min="12" max="12" width="8.625" style="334" customWidth="1"/>
    <col min="13" max="13" width="9" style="334" customWidth="1"/>
    <col min="14" max="14" width="8.125" style="334" customWidth="1"/>
    <col min="15" max="15" width="8.625" style="334" customWidth="1"/>
    <col min="16" max="16" width="9" style="334" customWidth="1"/>
    <col min="17" max="17" width="8.125" style="334" customWidth="1"/>
    <col min="18" max="18" width="8.625" style="334" customWidth="1"/>
    <col min="19" max="19" width="9" style="334" customWidth="1"/>
    <col min="20" max="20" width="8.125" style="334" customWidth="1"/>
    <col min="21" max="21" width="8.625" style="334" customWidth="1"/>
    <col min="22" max="22" width="9" style="334" customWidth="1"/>
    <col min="23" max="23" width="8.125" style="334" customWidth="1"/>
    <col min="24" max="24" width="8.625" style="334" customWidth="1"/>
    <col min="25" max="25" width="9" style="334" customWidth="1"/>
    <col min="26" max="26" width="8.125" style="334" customWidth="1"/>
    <col min="27" max="27" width="8.625" style="334" customWidth="1"/>
    <col min="28" max="28" width="9" style="334" customWidth="1"/>
    <col min="29" max="16384" width="9" style="334"/>
  </cols>
  <sheetData>
    <row r="1" spans="1:30" x14ac:dyDescent="0.2">
      <c r="P1" s="335"/>
      <c r="AB1" s="335"/>
    </row>
    <row r="2" spans="1:30" x14ac:dyDescent="0.2">
      <c r="P2" s="336" t="s">
        <v>1148</v>
      </c>
      <c r="AB2" s="336" t="s">
        <v>1148</v>
      </c>
    </row>
    <row r="3" spans="1:30" ht="14.25" x14ac:dyDescent="0.2">
      <c r="P3" s="337" t="s">
        <v>1149</v>
      </c>
      <c r="AB3" s="337" t="s">
        <v>1149</v>
      </c>
    </row>
    <row r="5" spans="1:30" ht="12.75" customHeight="1" thickBot="1" x14ac:dyDescent="0.25"/>
    <row r="6" spans="1:30" s="338" customFormat="1" ht="15.75" customHeight="1" thickBot="1" x14ac:dyDescent="0.25">
      <c r="A6" s="1092" t="s">
        <v>220</v>
      </c>
      <c r="B6" s="1094" t="s">
        <v>527</v>
      </c>
      <c r="C6" s="1094" t="s">
        <v>22</v>
      </c>
      <c r="D6" s="1094" t="s">
        <v>636</v>
      </c>
      <c r="E6" s="1089" t="s">
        <v>637</v>
      </c>
      <c r="F6" s="1090"/>
      <c r="G6" s="1091"/>
      <c r="H6" s="1089" t="s">
        <v>638</v>
      </c>
      <c r="I6" s="1090"/>
      <c r="J6" s="1091"/>
      <c r="K6" s="1089" t="s">
        <v>639</v>
      </c>
      <c r="L6" s="1090"/>
      <c r="M6" s="1091"/>
      <c r="N6" s="1089" t="s">
        <v>640</v>
      </c>
      <c r="O6" s="1090"/>
      <c r="P6" s="1091"/>
      <c r="Q6" s="1089" t="s">
        <v>641</v>
      </c>
      <c r="R6" s="1090"/>
      <c r="S6" s="1091"/>
      <c r="T6" s="1089" t="s">
        <v>642</v>
      </c>
      <c r="U6" s="1090"/>
      <c r="V6" s="1091"/>
      <c r="W6" s="1089" t="s">
        <v>752</v>
      </c>
      <c r="X6" s="1090"/>
      <c r="Y6" s="1091"/>
      <c r="Z6" s="1089" t="s">
        <v>904</v>
      </c>
      <c r="AA6" s="1090"/>
      <c r="AB6" s="1091"/>
    </row>
    <row r="7" spans="1:30" s="339" customFormat="1" ht="45.75" customHeight="1" thickBot="1" x14ac:dyDescent="0.25">
      <c r="A7" s="1093"/>
      <c r="B7" s="1095"/>
      <c r="C7" s="1096"/>
      <c r="D7" s="1096"/>
      <c r="E7" s="190" t="s">
        <v>23</v>
      </c>
      <c r="F7" s="191" t="s">
        <v>24</v>
      </c>
      <c r="G7" s="191" t="s">
        <v>181</v>
      </c>
      <c r="H7" s="190" t="s">
        <v>23</v>
      </c>
      <c r="I7" s="191" t="s">
        <v>24</v>
      </c>
      <c r="J7" s="191" t="s">
        <v>181</v>
      </c>
      <c r="K7" s="190" t="s">
        <v>23</v>
      </c>
      <c r="L7" s="191" t="s">
        <v>24</v>
      </c>
      <c r="M7" s="191" t="s">
        <v>181</v>
      </c>
      <c r="N7" s="190" t="s">
        <v>23</v>
      </c>
      <c r="O7" s="191" t="s">
        <v>24</v>
      </c>
      <c r="P7" s="191" t="s">
        <v>181</v>
      </c>
      <c r="Q7" s="190" t="s">
        <v>23</v>
      </c>
      <c r="R7" s="191" t="s">
        <v>24</v>
      </c>
      <c r="S7" s="191" t="s">
        <v>181</v>
      </c>
      <c r="T7" s="190" t="s">
        <v>23</v>
      </c>
      <c r="U7" s="191" t="s">
        <v>24</v>
      </c>
      <c r="V7" s="191" t="s">
        <v>181</v>
      </c>
      <c r="W7" s="190" t="s">
        <v>23</v>
      </c>
      <c r="X7" s="191" t="s">
        <v>24</v>
      </c>
      <c r="Y7" s="191" t="s">
        <v>181</v>
      </c>
      <c r="Z7" s="190" t="s">
        <v>23</v>
      </c>
      <c r="AA7" s="191" t="s">
        <v>24</v>
      </c>
      <c r="AB7" s="191" t="s">
        <v>181</v>
      </c>
    </row>
    <row r="8" spans="1:30" x14ac:dyDescent="0.2">
      <c r="A8" s="340" t="s">
        <v>221</v>
      </c>
      <c r="B8" s="207" t="s">
        <v>599</v>
      </c>
      <c r="C8" s="183" t="s">
        <v>517</v>
      </c>
      <c r="D8" s="181">
        <v>56689</v>
      </c>
      <c r="E8" s="181"/>
      <c r="F8" s="181"/>
      <c r="G8" s="341">
        <f t="shared" ref="G8:G48" si="0">SUM(E8:F8)</f>
        <v>0</v>
      </c>
      <c r="H8" s="181">
        <v>162</v>
      </c>
      <c r="I8" s="181"/>
      <c r="J8" s="341">
        <f t="shared" ref="J8:J48" si="1">SUM(H8:I8)</f>
        <v>162</v>
      </c>
      <c r="K8" s="181">
        <v>53702</v>
      </c>
      <c r="L8" s="181"/>
      <c r="M8" s="341">
        <f t="shared" ref="M8:M48" si="2">SUM(K8:L8)</f>
        <v>53702</v>
      </c>
      <c r="N8" s="181"/>
      <c r="O8" s="181"/>
      <c r="P8" s="341">
        <f t="shared" ref="P8:P48" si="3">SUM(N8:O8)</f>
        <v>0</v>
      </c>
      <c r="Q8" s="181">
        <v>536</v>
      </c>
      <c r="R8" s="181"/>
      <c r="S8" s="341">
        <f t="shared" ref="S8:S48" si="4">SUM(Q8:R8)</f>
        <v>536</v>
      </c>
      <c r="T8" s="181"/>
      <c r="U8" s="181"/>
      <c r="V8" s="341">
        <f t="shared" ref="V8:V48" si="5">SUM(T8:U8)</f>
        <v>0</v>
      </c>
      <c r="W8" s="181"/>
      <c r="X8" s="181"/>
      <c r="Y8" s="341">
        <f t="shared" ref="Y8:Y48" si="6">SUM(W8:X8)</f>
        <v>0</v>
      </c>
      <c r="Z8" s="181"/>
      <c r="AA8" s="181"/>
      <c r="AB8" s="341">
        <f t="shared" ref="AB8:AB29" si="7">SUM(Z8:AA8)</f>
        <v>0</v>
      </c>
      <c r="AC8" s="180"/>
      <c r="AD8" s="180"/>
    </row>
    <row r="9" spans="1:30" x14ac:dyDescent="0.2">
      <c r="A9" s="342" t="s">
        <v>222</v>
      </c>
      <c r="B9" s="208" t="s">
        <v>829</v>
      </c>
      <c r="C9" s="183" t="s">
        <v>517</v>
      </c>
      <c r="D9" s="188">
        <v>488650</v>
      </c>
      <c r="E9" s="343"/>
      <c r="F9" s="343"/>
      <c r="G9" s="341">
        <f t="shared" si="0"/>
        <v>0</v>
      </c>
      <c r="H9" s="343">
        <v>29716</v>
      </c>
      <c r="I9" s="343"/>
      <c r="J9" s="341">
        <f t="shared" si="1"/>
        <v>29716</v>
      </c>
      <c r="K9" s="343">
        <v>177611</v>
      </c>
      <c r="L9" s="343"/>
      <c r="M9" s="341">
        <f t="shared" si="2"/>
        <v>177611</v>
      </c>
      <c r="N9" s="343">
        <v>177894</v>
      </c>
      <c r="O9" s="343">
        <v>0</v>
      </c>
      <c r="P9" s="341">
        <f t="shared" si="3"/>
        <v>177894</v>
      </c>
      <c r="Q9" s="343">
        <v>102714</v>
      </c>
      <c r="R9" s="343"/>
      <c r="S9" s="341">
        <f t="shared" si="4"/>
        <v>102714</v>
      </c>
      <c r="T9" s="343"/>
      <c r="U9" s="343"/>
      <c r="V9" s="341">
        <f t="shared" si="5"/>
        <v>0</v>
      </c>
      <c r="W9" s="343"/>
      <c r="X9" s="343"/>
      <c r="Y9" s="341">
        <f t="shared" si="6"/>
        <v>0</v>
      </c>
      <c r="Z9" s="343"/>
      <c r="AA9" s="343"/>
      <c r="AB9" s="341">
        <f t="shared" si="7"/>
        <v>0</v>
      </c>
      <c r="AC9" s="180"/>
      <c r="AD9" s="180"/>
    </row>
    <row r="10" spans="1:30" x14ac:dyDescent="0.2">
      <c r="A10" s="340" t="s">
        <v>223</v>
      </c>
      <c r="B10" s="207" t="s">
        <v>692</v>
      </c>
      <c r="C10" s="183" t="s">
        <v>517</v>
      </c>
      <c r="D10" s="181">
        <v>188332</v>
      </c>
      <c r="E10" s="181"/>
      <c r="F10" s="181"/>
      <c r="G10" s="341">
        <f t="shared" si="0"/>
        <v>0</v>
      </c>
      <c r="H10" s="181">
        <v>111331</v>
      </c>
      <c r="I10" s="181"/>
      <c r="J10" s="341">
        <f t="shared" si="1"/>
        <v>111331</v>
      </c>
      <c r="K10" s="181"/>
      <c r="L10" s="181"/>
      <c r="M10" s="341">
        <f t="shared" si="2"/>
        <v>0</v>
      </c>
      <c r="N10" s="181">
        <v>76216</v>
      </c>
      <c r="O10" s="181"/>
      <c r="P10" s="341">
        <f t="shared" si="3"/>
        <v>76216</v>
      </c>
      <c r="Q10" s="181">
        <v>785</v>
      </c>
      <c r="R10" s="181"/>
      <c r="S10" s="341">
        <f t="shared" si="4"/>
        <v>785</v>
      </c>
      <c r="T10" s="181"/>
      <c r="U10" s="181"/>
      <c r="V10" s="341">
        <f t="shared" si="5"/>
        <v>0</v>
      </c>
      <c r="W10" s="181"/>
      <c r="X10" s="181"/>
      <c r="Y10" s="341">
        <f t="shared" si="6"/>
        <v>0</v>
      </c>
      <c r="Z10" s="181"/>
      <c r="AA10" s="181"/>
      <c r="AB10" s="341">
        <f t="shared" si="7"/>
        <v>0</v>
      </c>
      <c r="AC10" s="180"/>
      <c r="AD10" s="180"/>
    </row>
    <row r="11" spans="1:30" ht="63.75" x14ac:dyDescent="0.2">
      <c r="A11" s="340" t="s">
        <v>224</v>
      </c>
      <c r="B11" s="207" t="s">
        <v>833</v>
      </c>
      <c r="C11" s="184" t="s">
        <v>517</v>
      </c>
      <c r="D11" s="181">
        <v>394000</v>
      </c>
      <c r="E11" s="181"/>
      <c r="F11" s="181"/>
      <c r="G11" s="341">
        <f t="shared" si="0"/>
        <v>0</v>
      </c>
      <c r="H11" s="181">
        <v>220246</v>
      </c>
      <c r="I11" s="181"/>
      <c r="J11" s="341">
        <f t="shared" si="1"/>
        <v>220246</v>
      </c>
      <c r="K11" s="181"/>
      <c r="L11" s="181"/>
      <c r="M11" s="341">
        <f t="shared" si="2"/>
        <v>0</v>
      </c>
      <c r="N11" s="181">
        <v>166661</v>
      </c>
      <c r="O11" s="181"/>
      <c r="P11" s="341">
        <f t="shared" si="3"/>
        <v>166661</v>
      </c>
      <c r="Q11" s="181">
        <v>4355</v>
      </c>
      <c r="R11" s="181"/>
      <c r="S11" s="341">
        <f t="shared" si="4"/>
        <v>4355</v>
      </c>
      <c r="T11" s="181"/>
      <c r="U11" s="181"/>
      <c r="V11" s="341">
        <f t="shared" si="5"/>
        <v>0</v>
      </c>
      <c r="W11" s="181"/>
      <c r="X11" s="181"/>
      <c r="Y11" s="341">
        <f t="shared" si="6"/>
        <v>0</v>
      </c>
      <c r="Z11" s="181"/>
      <c r="AA11" s="181"/>
      <c r="AB11" s="341">
        <f t="shared" si="7"/>
        <v>0</v>
      </c>
      <c r="AC11" s="180"/>
      <c r="AD11" s="180"/>
    </row>
    <row r="12" spans="1:30" ht="38.25" x14ac:dyDescent="0.2">
      <c r="A12" s="342" t="s">
        <v>225</v>
      </c>
      <c r="B12" s="207" t="s">
        <v>643</v>
      </c>
      <c r="C12" s="184" t="s">
        <v>517</v>
      </c>
      <c r="D12" s="181">
        <v>291199</v>
      </c>
      <c r="E12" s="181"/>
      <c r="F12" s="181"/>
      <c r="G12" s="341">
        <f t="shared" si="0"/>
        <v>0</v>
      </c>
      <c r="H12" s="181">
        <v>186423</v>
      </c>
      <c r="I12" s="181"/>
      <c r="J12" s="341">
        <f t="shared" si="1"/>
        <v>186423</v>
      </c>
      <c r="K12" s="181">
        <v>101667</v>
      </c>
      <c r="L12" s="181"/>
      <c r="M12" s="341">
        <f t="shared" si="2"/>
        <v>101667</v>
      </c>
      <c r="N12" s="181">
        <v>3093</v>
      </c>
      <c r="O12" s="181"/>
      <c r="P12" s="341">
        <f t="shared" si="3"/>
        <v>3093</v>
      </c>
      <c r="Q12" s="181">
        <v>16</v>
      </c>
      <c r="R12" s="181"/>
      <c r="S12" s="341">
        <f t="shared" si="4"/>
        <v>16</v>
      </c>
      <c r="T12" s="181"/>
      <c r="U12" s="181"/>
      <c r="V12" s="341">
        <f t="shared" si="5"/>
        <v>0</v>
      </c>
      <c r="W12" s="181"/>
      <c r="X12" s="181"/>
      <c r="Y12" s="341">
        <f t="shared" si="6"/>
        <v>0</v>
      </c>
      <c r="Z12" s="181"/>
      <c r="AA12" s="181"/>
      <c r="AB12" s="341">
        <f t="shared" si="7"/>
        <v>0</v>
      </c>
      <c r="AC12" s="180"/>
      <c r="AD12" s="180"/>
    </row>
    <row r="13" spans="1:30" ht="25.5" x14ac:dyDescent="0.2">
      <c r="A13" s="340" t="s">
        <v>226</v>
      </c>
      <c r="B13" s="208" t="s">
        <v>828</v>
      </c>
      <c r="C13" s="183" t="s">
        <v>517</v>
      </c>
      <c r="D13" s="188">
        <v>285086</v>
      </c>
      <c r="E13" s="188"/>
      <c r="F13" s="188"/>
      <c r="G13" s="341">
        <f t="shared" si="0"/>
        <v>0</v>
      </c>
      <c r="H13" s="188">
        <v>171433</v>
      </c>
      <c r="I13" s="188"/>
      <c r="J13" s="341">
        <f t="shared" si="1"/>
        <v>171433</v>
      </c>
      <c r="K13" s="188">
        <v>84001</v>
      </c>
      <c r="L13" s="188"/>
      <c r="M13" s="341">
        <f t="shared" si="2"/>
        <v>84001</v>
      </c>
      <c r="N13" s="188">
        <v>28497</v>
      </c>
      <c r="O13" s="188"/>
      <c r="P13" s="341">
        <f t="shared" si="3"/>
        <v>28497</v>
      </c>
      <c r="Q13" s="188">
        <v>1155</v>
      </c>
      <c r="R13" s="188"/>
      <c r="S13" s="341">
        <f t="shared" si="4"/>
        <v>1155</v>
      </c>
      <c r="T13" s="188"/>
      <c r="U13" s="188"/>
      <c r="V13" s="341">
        <f t="shared" si="5"/>
        <v>0</v>
      </c>
      <c r="W13" s="188"/>
      <c r="X13" s="188"/>
      <c r="Y13" s="341">
        <f t="shared" si="6"/>
        <v>0</v>
      </c>
      <c r="Z13" s="188"/>
      <c r="AA13" s="188"/>
      <c r="AB13" s="341">
        <f t="shared" si="7"/>
        <v>0</v>
      </c>
      <c r="AC13" s="180"/>
      <c r="AD13" s="180"/>
    </row>
    <row r="14" spans="1:30" ht="38.25" x14ac:dyDescent="0.2">
      <c r="A14" s="340" t="s">
        <v>227</v>
      </c>
      <c r="B14" s="207" t="s">
        <v>644</v>
      </c>
      <c r="C14" s="184" t="s">
        <v>517</v>
      </c>
      <c r="D14" s="181">
        <v>57872</v>
      </c>
      <c r="E14" s="181"/>
      <c r="F14" s="181"/>
      <c r="G14" s="341">
        <f t="shared" si="0"/>
        <v>0</v>
      </c>
      <c r="H14" s="181">
        <v>27000</v>
      </c>
      <c r="I14" s="181"/>
      <c r="J14" s="341">
        <f t="shared" si="1"/>
        <v>27000</v>
      </c>
      <c r="K14" s="181"/>
      <c r="L14" s="181"/>
      <c r="M14" s="341">
        <f t="shared" si="2"/>
        <v>0</v>
      </c>
      <c r="N14" s="181">
        <v>14847</v>
      </c>
      <c r="O14" s="181"/>
      <c r="P14" s="341">
        <f t="shared" si="3"/>
        <v>14847</v>
      </c>
      <c r="Q14" s="181">
        <v>16025</v>
      </c>
      <c r="R14" s="181"/>
      <c r="S14" s="341">
        <f t="shared" si="4"/>
        <v>16025</v>
      </c>
      <c r="T14" s="181"/>
      <c r="U14" s="181"/>
      <c r="V14" s="341">
        <f t="shared" si="5"/>
        <v>0</v>
      </c>
      <c r="W14" s="181"/>
      <c r="X14" s="181"/>
      <c r="Y14" s="341">
        <f t="shared" si="6"/>
        <v>0</v>
      </c>
      <c r="Z14" s="181"/>
      <c r="AA14" s="181"/>
      <c r="AB14" s="341">
        <f t="shared" si="7"/>
        <v>0</v>
      </c>
      <c r="AC14" s="180"/>
      <c r="AD14" s="180"/>
    </row>
    <row r="15" spans="1:30" x14ac:dyDescent="0.2">
      <c r="A15" s="342" t="s">
        <v>228</v>
      </c>
      <c r="B15" s="207" t="s">
        <v>629</v>
      </c>
      <c r="C15" s="184" t="s">
        <v>517</v>
      </c>
      <c r="D15" s="181">
        <v>187813</v>
      </c>
      <c r="E15" s="181"/>
      <c r="F15" s="181"/>
      <c r="G15" s="341">
        <f t="shared" si="0"/>
        <v>0</v>
      </c>
      <c r="H15" s="181">
        <v>129649</v>
      </c>
      <c r="I15" s="181"/>
      <c r="J15" s="341">
        <f t="shared" si="1"/>
        <v>129649</v>
      </c>
      <c r="K15" s="181"/>
      <c r="L15" s="181"/>
      <c r="M15" s="341">
        <f t="shared" si="2"/>
        <v>0</v>
      </c>
      <c r="N15" s="181">
        <v>55429</v>
      </c>
      <c r="O15" s="181"/>
      <c r="P15" s="341">
        <f t="shared" si="3"/>
        <v>55429</v>
      </c>
      <c r="Q15" s="181">
        <v>785</v>
      </c>
      <c r="R15" s="181"/>
      <c r="S15" s="341">
        <f t="shared" si="4"/>
        <v>785</v>
      </c>
      <c r="T15" s="181"/>
      <c r="U15" s="181"/>
      <c r="V15" s="341">
        <f t="shared" si="5"/>
        <v>0</v>
      </c>
      <c r="W15" s="181"/>
      <c r="X15" s="181"/>
      <c r="Y15" s="341">
        <f t="shared" si="6"/>
        <v>0</v>
      </c>
      <c r="Z15" s="181"/>
      <c r="AA15" s="181"/>
      <c r="AB15" s="341">
        <f t="shared" si="7"/>
        <v>0</v>
      </c>
      <c r="AC15" s="180"/>
      <c r="AD15" s="180"/>
    </row>
    <row r="16" spans="1:30" ht="38.25" x14ac:dyDescent="0.2">
      <c r="A16" s="340" t="s">
        <v>229</v>
      </c>
      <c r="B16" s="208" t="s">
        <v>687</v>
      </c>
      <c r="C16" s="183" t="s">
        <v>517</v>
      </c>
      <c r="D16" s="188">
        <v>233659</v>
      </c>
      <c r="E16" s="188"/>
      <c r="F16" s="188"/>
      <c r="G16" s="341">
        <f t="shared" si="0"/>
        <v>0</v>
      </c>
      <c r="H16" s="188"/>
      <c r="I16" s="188"/>
      <c r="J16" s="341">
        <f t="shared" si="1"/>
        <v>0</v>
      </c>
      <c r="K16" s="188"/>
      <c r="L16" s="188">
        <v>24211</v>
      </c>
      <c r="M16" s="341">
        <f t="shared" si="2"/>
        <v>24211</v>
      </c>
      <c r="N16" s="188"/>
      <c r="O16" s="188">
        <v>209448</v>
      </c>
      <c r="P16" s="341">
        <f t="shared" si="3"/>
        <v>209448</v>
      </c>
      <c r="Q16" s="188"/>
      <c r="R16" s="188"/>
      <c r="S16" s="341">
        <f t="shared" si="4"/>
        <v>0</v>
      </c>
      <c r="T16" s="188"/>
      <c r="U16" s="188"/>
      <c r="V16" s="341">
        <f t="shared" si="5"/>
        <v>0</v>
      </c>
      <c r="W16" s="188"/>
      <c r="X16" s="188"/>
      <c r="Y16" s="341">
        <f t="shared" si="6"/>
        <v>0</v>
      </c>
      <c r="Z16" s="188"/>
      <c r="AA16" s="188"/>
      <c r="AB16" s="341">
        <f t="shared" si="7"/>
        <v>0</v>
      </c>
      <c r="AC16" s="180"/>
      <c r="AD16" s="180"/>
    </row>
    <row r="17" spans="1:30" x14ac:dyDescent="0.2">
      <c r="A17" s="340" t="s">
        <v>0</v>
      </c>
      <c r="B17" s="208" t="s">
        <v>753</v>
      </c>
      <c r="C17" s="184" t="s">
        <v>517</v>
      </c>
      <c r="D17" s="188">
        <v>162897</v>
      </c>
      <c r="E17" s="188"/>
      <c r="F17" s="188"/>
      <c r="G17" s="341">
        <f t="shared" si="0"/>
        <v>0</v>
      </c>
      <c r="H17" s="188"/>
      <c r="I17" s="188"/>
      <c r="J17" s="341">
        <f t="shared" si="1"/>
        <v>0</v>
      </c>
      <c r="K17" s="188"/>
      <c r="L17" s="188"/>
      <c r="M17" s="341">
        <f t="shared" si="2"/>
        <v>0</v>
      </c>
      <c r="N17" s="188">
        <v>98909</v>
      </c>
      <c r="O17" s="188"/>
      <c r="P17" s="341">
        <f t="shared" si="3"/>
        <v>98909</v>
      </c>
      <c r="Q17" s="188">
        <v>61075</v>
      </c>
      <c r="R17" s="188"/>
      <c r="S17" s="341">
        <f t="shared" si="4"/>
        <v>61075</v>
      </c>
      <c r="T17" s="188"/>
      <c r="U17" s="188"/>
      <c r="V17" s="341">
        <f t="shared" si="5"/>
        <v>0</v>
      </c>
      <c r="W17" s="188"/>
      <c r="X17" s="188"/>
      <c r="Y17" s="341">
        <f t="shared" si="6"/>
        <v>0</v>
      </c>
      <c r="Z17" s="188"/>
      <c r="AA17" s="188"/>
      <c r="AB17" s="341">
        <f t="shared" si="7"/>
        <v>0</v>
      </c>
      <c r="AC17" s="180"/>
      <c r="AD17" s="180"/>
    </row>
    <row r="18" spans="1:30" ht="25.5" x14ac:dyDescent="0.2">
      <c r="A18" s="342" t="s">
        <v>1</v>
      </c>
      <c r="B18" s="208" t="s">
        <v>627</v>
      </c>
      <c r="C18" s="183" t="s">
        <v>25</v>
      </c>
      <c r="D18" s="188">
        <v>518089</v>
      </c>
      <c r="E18" s="343"/>
      <c r="F18" s="343"/>
      <c r="G18" s="341">
        <f t="shared" si="0"/>
        <v>0</v>
      </c>
      <c r="H18" s="343">
        <v>25900</v>
      </c>
      <c r="I18" s="343"/>
      <c r="J18" s="341">
        <f t="shared" si="1"/>
        <v>25900</v>
      </c>
      <c r="K18" s="343">
        <v>161758</v>
      </c>
      <c r="L18" s="343"/>
      <c r="M18" s="341">
        <f t="shared" si="2"/>
        <v>161758</v>
      </c>
      <c r="N18" s="343">
        <v>304442</v>
      </c>
      <c r="O18" s="343">
        <v>0</v>
      </c>
      <c r="P18" s="341">
        <f t="shared" si="3"/>
        <v>304442</v>
      </c>
      <c r="Q18" s="343">
        <v>25900</v>
      </c>
      <c r="R18" s="343"/>
      <c r="S18" s="341">
        <f t="shared" si="4"/>
        <v>25900</v>
      </c>
      <c r="T18" s="343"/>
      <c r="U18" s="343"/>
      <c r="V18" s="341">
        <f t="shared" si="5"/>
        <v>0</v>
      </c>
      <c r="W18" s="343"/>
      <c r="X18" s="343"/>
      <c r="Y18" s="341">
        <f t="shared" si="6"/>
        <v>0</v>
      </c>
      <c r="Z18" s="343"/>
      <c r="AA18" s="343"/>
      <c r="AB18" s="341">
        <f t="shared" si="7"/>
        <v>0</v>
      </c>
      <c r="AC18" s="180"/>
      <c r="AD18" s="180"/>
    </row>
    <row r="19" spans="1:30" ht="25.5" x14ac:dyDescent="0.2">
      <c r="A19" s="340" t="s">
        <v>2</v>
      </c>
      <c r="B19" s="207" t="s">
        <v>598</v>
      </c>
      <c r="C19" s="184" t="s">
        <v>25</v>
      </c>
      <c r="D19" s="181">
        <f>3399703+18464</f>
        <v>3418167</v>
      </c>
      <c r="E19" s="181"/>
      <c r="F19" s="181"/>
      <c r="G19" s="341">
        <f t="shared" si="0"/>
        <v>0</v>
      </c>
      <c r="H19" s="181"/>
      <c r="I19" s="181"/>
      <c r="J19" s="341">
        <f t="shared" si="1"/>
        <v>0</v>
      </c>
      <c r="K19" s="181">
        <v>225083</v>
      </c>
      <c r="L19" s="181"/>
      <c r="M19" s="341">
        <f t="shared" si="2"/>
        <v>225083</v>
      </c>
      <c r="N19" s="181"/>
      <c r="O19" s="181"/>
      <c r="P19" s="341">
        <f t="shared" si="3"/>
        <v>0</v>
      </c>
      <c r="Q19" s="181">
        <v>229083</v>
      </c>
      <c r="R19" s="181"/>
      <c r="S19" s="341">
        <f t="shared" si="4"/>
        <v>229083</v>
      </c>
      <c r="T19" s="181">
        <v>2828752</v>
      </c>
      <c r="U19" s="181"/>
      <c r="V19" s="341">
        <f t="shared" si="5"/>
        <v>2828752</v>
      </c>
      <c r="W19" s="181"/>
      <c r="X19" s="181"/>
      <c r="Y19" s="341">
        <f t="shared" si="6"/>
        <v>0</v>
      </c>
      <c r="Z19" s="181"/>
      <c r="AA19" s="181"/>
      <c r="AB19" s="341">
        <f t="shared" si="7"/>
        <v>0</v>
      </c>
      <c r="AC19" s="180"/>
      <c r="AD19" s="180"/>
    </row>
    <row r="20" spans="1:30" ht="15" customHeight="1" x14ac:dyDescent="0.2">
      <c r="A20" s="340" t="s">
        <v>3</v>
      </c>
      <c r="B20" s="207" t="s">
        <v>628</v>
      </c>
      <c r="C20" s="184" t="s">
        <v>25</v>
      </c>
      <c r="D20" s="181">
        <v>5370</v>
      </c>
      <c r="E20" s="181"/>
      <c r="F20" s="181"/>
      <c r="G20" s="341">
        <f t="shared" si="0"/>
        <v>0</v>
      </c>
      <c r="H20" s="181"/>
      <c r="I20" s="181"/>
      <c r="J20" s="341">
        <f t="shared" si="1"/>
        <v>0</v>
      </c>
      <c r="K20" s="181"/>
      <c r="L20" s="181"/>
      <c r="M20" s="341">
        <f t="shared" si="2"/>
        <v>0</v>
      </c>
      <c r="N20" s="181">
        <v>225</v>
      </c>
      <c r="O20" s="181"/>
      <c r="P20" s="341">
        <f t="shared" si="3"/>
        <v>225</v>
      </c>
      <c r="Q20" s="181">
        <v>4108</v>
      </c>
      <c r="R20" s="181"/>
      <c r="S20" s="341">
        <f t="shared" si="4"/>
        <v>4108</v>
      </c>
      <c r="T20" s="181">
        <v>1037</v>
      </c>
      <c r="U20" s="181"/>
      <c r="V20" s="341">
        <f t="shared" si="5"/>
        <v>1037</v>
      </c>
      <c r="W20" s="181"/>
      <c r="X20" s="181"/>
      <c r="Y20" s="341">
        <f t="shared" si="6"/>
        <v>0</v>
      </c>
      <c r="Z20" s="181"/>
      <c r="AA20" s="181"/>
      <c r="AB20" s="341">
        <f t="shared" si="7"/>
        <v>0</v>
      </c>
      <c r="AC20" s="180"/>
      <c r="AD20" s="180"/>
    </row>
    <row r="21" spans="1:30" ht="38.25" x14ac:dyDescent="0.2">
      <c r="A21" s="342" t="s">
        <v>4</v>
      </c>
      <c r="B21" s="207" t="s">
        <v>680</v>
      </c>
      <c r="C21" s="184" t="s">
        <v>25</v>
      </c>
      <c r="D21" s="181">
        <v>509000</v>
      </c>
      <c r="E21" s="181"/>
      <c r="F21" s="181"/>
      <c r="G21" s="341">
        <f t="shared" si="0"/>
        <v>0</v>
      </c>
      <c r="H21" s="181"/>
      <c r="I21" s="181"/>
      <c r="J21" s="341">
        <f t="shared" si="1"/>
        <v>0</v>
      </c>
      <c r="K21" s="181"/>
      <c r="L21" s="181">
        <v>509000</v>
      </c>
      <c r="M21" s="341">
        <f t="shared" si="2"/>
        <v>509000</v>
      </c>
      <c r="N21" s="181"/>
      <c r="O21" s="181"/>
      <c r="P21" s="341">
        <f t="shared" si="3"/>
        <v>0</v>
      </c>
      <c r="Q21" s="181"/>
      <c r="R21" s="181"/>
      <c r="S21" s="341">
        <f t="shared" si="4"/>
        <v>0</v>
      </c>
      <c r="T21" s="181"/>
      <c r="U21" s="181"/>
      <c r="V21" s="341">
        <f t="shared" si="5"/>
        <v>0</v>
      </c>
      <c r="W21" s="181"/>
      <c r="X21" s="181"/>
      <c r="Y21" s="341">
        <f t="shared" si="6"/>
        <v>0</v>
      </c>
      <c r="Z21" s="181"/>
      <c r="AA21" s="181"/>
      <c r="AB21" s="341">
        <f t="shared" si="7"/>
        <v>0</v>
      </c>
      <c r="AC21" s="180"/>
      <c r="AD21" s="180"/>
    </row>
    <row r="22" spans="1:30" ht="76.5" x14ac:dyDescent="0.2">
      <c r="A22" s="340" t="s">
        <v>5</v>
      </c>
      <c r="B22" s="207" t="s">
        <v>576</v>
      </c>
      <c r="C22" s="184" t="s">
        <v>25</v>
      </c>
      <c r="D22" s="181">
        <v>15138183</v>
      </c>
      <c r="E22" s="181"/>
      <c r="F22" s="181">
        <v>417000</v>
      </c>
      <c r="G22" s="341">
        <f t="shared" si="0"/>
        <v>417000</v>
      </c>
      <c r="H22" s="181"/>
      <c r="I22" s="181">
        <v>753631</v>
      </c>
      <c r="J22" s="341">
        <f t="shared" si="1"/>
        <v>753631</v>
      </c>
      <c r="K22" s="181"/>
      <c r="L22" s="181">
        <v>6725417</v>
      </c>
      <c r="M22" s="341">
        <f t="shared" si="2"/>
        <v>6725417</v>
      </c>
      <c r="N22" s="181"/>
      <c r="O22" s="181">
        <v>5145000</v>
      </c>
      <c r="P22" s="341">
        <f t="shared" si="3"/>
        <v>5145000</v>
      </c>
      <c r="Q22" s="181"/>
      <c r="R22" s="181">
        <f>384065+813070+900000</f>
        <v>2097135</v>
      </c>
      <c r="S22" s="341">
        <f t="shared" si="4"/>
        <v>2097135</v>
      </c>
      <c r="T22" s="181"/>
      <c r="U22" s="181"/>
      <c r="V22" s="341">
        <f t="shared" si="5"/>
        <v>0</v>
      </c>
      <c r="W22" s="181"/>
      <c r="X22" s="181"/>
      <c r="Y22" s="341">
        <f t="shared" si="6"/>
        <v>0</v>
      </c>
      <c r="Z22" s="181"/>
      <c r="AA22" s="181"/>
      <c r="AB22" s="341">
        <f t="shared" si="7"/>
        <v>0</v>
      </c>
      <c r="AC22" s="180"/>
      <c r="AD22" s="180"/>
    </row>
    <row r="23" spans="1:30" ht="76.5" x14ac:dyDescent="0.2">
      <c r="A23" s="340" t="s">
        <v>6</v>
      </c>
      <c r="B23" s="208" t="s">
        <v>555</v>
      </c>
      <c r="C23" s="183" t="s">
        <v>25</v>
      </c>
      <c r="D23" s="188">
        <v>4179217</v>
      </c>
      <c r="E23" s="188"/>
      <c r="F23" s="188"/>
      <c r="G23" s="341">
        <f t="shared" si="0"/>
        <v>0</v>
      </c>
      <c r="H23" s="188"/>
      <c r="I23" s="188"/>
      <c r="J23" s="341">
        <f t="shared" si="1"/>
        <v>0</v>
      </c>
      <c r="K23" s="188"/>
      <c r="L23" s="188">
        <v>2481047</v>
      </c>
      <c r="M23" s="341">
        <f t="shared" si="2"/>
        <v>2481047</v>
      </c>
      <c r="N23" s="188"/>
      <c r="O23" s="188"/>
      <c r="P23" s="341">
        <f t="shared" si="3"/>
        <v>0</v>
      </c>
      <c r="Q23" s="188"/>
      <c r="R23" s="188">
        <v>1580798</v>
      </c>
      <c r="S23" s="341">
        <f t="shared" si="4"/>
        <v>1580798</v>
      </c>
      <c r="T23" s="188"/>
      <c r="U23" s="188">
        <v>117372</v>
      </c>
      <c r="V23" s="341">
        <f t="shared" si="5"/>
        <v>117372</v>
      </c>
      <c r="W23" s="188"/>
      <c r="X23" s="188"/>
      <c r="Y23" s="341">
        <f t="shared" si="6"/>
        <v>0</v>
      </c>
      <c r="Z23" s="188"/>
      <c r="AA23" s="188"/>
      <c r="AB23" s="341">
        <f t="shared" si="7"/>
        <v>0</v>
      </c>
      <c r="AC23" s="180"/>
      <c r="AD23" s="180"/>
    </row>
    <row r="24" spans="1:30" x14ac:dyDescent="0.2">
      <c r="A24" s="342" t="s">
        <v>7</v>
      </c>
      <c r="B24" s="208" t="s">
        <v>602</v>
      </c>
      <c r="C24" s="183" t="s">
        <v>25</v>
      </c>
      <c r="D24" s="188">
        <v>15875000</v>
      </c>
      <c r="E24" s="188"/>
      <c r="F24" s="188"/>
      <c r="G24" s="341">
        <f t="shared" si="0"/>
        <v>0</v>
      </c>
      <c r="H24" s="188"/>
      <c r="I24" s="188">
        <v>7500000</v>
      </c>
      <c r="J24" s="341">
        <f t="shared" si="1"/>
        <v>7500000</v>
      </c>
      <c r="K24" s="188"/>
      <c r="L24" s="188"/>
      <c r="M24" s="341">
        <f t="shared" si="2"/>
        <v>0</v>
      </c>
      <c r="N24" s="188"/>
      <c r="O24" s="188"/>
      <c r="P24" s="341">
        <f t="shared" si="3"/>
        <v>0</v>
      </c>
      <c r="Q24" s="188"/>
      <c r="R24" s="188">
        <v>7740000</v>
      </c>
      <c r="S24" s="341">
        <f t="shared" si="4"/>
        <v>7740000</v>
      </c>
      <c r="T24" s="188"/>
      <c r="U24" s="188">
        <v>635000</v>
      </c>
      <c r="V24" s="341">
        <f t="shared" si="5"/>
        <v>635000</v>
      </c>
      <c r="W24" s="188"/>
      <c r="X24" s="188"/>
      <c r="Y24" s="341">
        <f t="shared" si="6"/>
        <v>0</v>
      </c>
      <c r="Z24" s="188"/>
      <c r="AA24" s="188"/>
      <c r="AB24" s="341">
        <f t="shared" si="7"/>
        <v>0</v>
      </c>
      <c r="AC24" s="180"/>
      <c r="AD24" s="180"/>
    </row>
    <row r="25" spans="1:30" ht="25.5" x14ac:dyDescent="0.2">
      <c r="A25" s="340" t="s">
        <v>8</v>
      </c>
      <c r="B25" s="207" t="s">
        <v>630</v>
      </c>
      <c r="C25" s="184" t="s">
        <v>25</v>
      </c>
      <c r="D25" s="181">
        <v>1661104</v>
      </c>
      <c r="E25" s="181"/>
      <c r="F25" s="181"/>
      <c r="G25" s="341">
        <f t="shared" si="0"/>
        <v>0</v>
      </c>
      <c r="H25" s="181"/>
      <c r="I25" s="181"/>
      <c r="J25" s="341">
        <f t="shared" si="1"/>
        <v>0</v>
      </c>
      <c r="K25" s="181">
        <v>50314</v>
      </c>
      <c r="L25" s="181"/>
      <c r="M25" s="341">
        <f t="shared" si="2"/>
        <v>50314</v>
      </c>
      <c r="N25" s="181">
        <v>0</v>
      </c>
      <c r="O25" s="181"/>
      <c r="P25" s="341">
        <f t="shared" si="3"/>
        <v>0</v>
      </c>
      <c r="Q25" s="181">
        <v>399035</v>
      </c>
      <c r="R25" s="181"/>
      <c r="S25" s="341">
        <f t="shared" si="4"/>
        <v>399035</v>
      </c>
      <c r="T25" s="181">
        <v>764021</v>
      </c>
      <c r="U25" s="181"/>
      <c r="V25" s="341">
        <f t="shared" si="5"/>
        <v>764021</v>
      </c>
      <c r="W25" s="181">
        <v>369234</v>
      </c>
      <c r="X25" s="181"/>
      <c r="Y25" s="341">
        <f t="shared" si="6"/>
        <v>369234</v>
      </c>
      <c r="Z25" s="181"/>
      <c r="AA25" s="181"/>
      <c r="AB25" s="341">
        <f t="shared" si="7"/>
        <v>0</v>
      </c>
      <c r="AC25" s="180"/>
      <c r="AD25" s="180"/>
    </row>
    <row r="26" spans="1:30" ht="25.5" x14ac:dyDescent="0.2">
      <c r="A26" s="340" t="s">
        <v>9</v>
      </c>
      <c r="B26" s="208" t="s">
        <v>603</v>
      </c>
      <c r="C26" s="183" t="s">
        <v>25</v>
      </c>
      <c r="D26" s="188">
        <v>1248410</v>
      </c>
      <c r="E26" s="188"/>
      <c r="F26" s="188"/>
      <c r="G26" s="341">
        <f t="shared" si="0"/>
        <v>0</v>
      </c>
      <c r="H26" s="188"/>
      <c r="I26" s="188"/>
      <c r="J26" s="341">
        <f t="shared" si="1"/>
        <v>0</v>
      </c>
      <c r="K26" s="188"/>
      <c r="L26" s="188"/>
      <c r="M26" s="341">
        <f t="shared" si="2"/>
        <v>0</v>
      </c>
      <c r="N26" s="188"/>
      <c r="O26" s="188"/>
      <c r="P26" s="341">
        <f t="shared" si="3"/>
        <v>0</v>
      </c>
      <c r="Q26" s="188">
        <v>313245</v>
      </c>
      <c r="R26" s="188"/>
      <c r="S26" s="341">
        <f t="shared" si="4"/>
        <v>313245</v>
      </c>
      <c r="T26" s="188">
        <v>935165</v>
      </c>
      <c r="U26" s="188"/>
      <c r="V26" s="341">
        <f t="shared" si="5"/>
        <v>935165</v>
      </c>
      <c r="W26" s="188"/>
      <c r="X26" s="188"/>
      <c r="Y26" s="341">
        <f t="shared" si="6"/>
        <v>0</v>
      </c>
      <c r="Z26" s="188"/>
      <c r="AA26" s="188"/>
      <c r="AB26" s="341">
        <f t="shared" si="7"/>
        <v>0</v>
      </c>
      <c r="AC26" s="180"/>
      <c r="AD26" s="180"/>
    </row>
    <row r="27" spans="1:30" x14ac:dyDescent="0.2">
      <c r="A27" s="342" t="s">
        <v>10</v>
      </c>
      <c r="B27" s="208" t="s">
        <v>827</v>
      </c>
      <c r="C27" s="183" t="s">
        <v>25</v>
      </c>
      <c r="D27" s="188">
        <v>115653</v>
      </c>
      <c r="E27" s="188"/>
      <c r="F27" s="188"/>
      <c r="G27" s="341">
        <f t="shared" si="0"/>
        <v>0</v>
      </c>
      <c r="H27" s="188"/>
      <c r="I27" s="188"/>
      <c r="J27" s="341">
        <f t="shared" si="1"/>
        <v>0</v>
      </c>
      <c r="K27" s="188"/>
      <c r="L27" s="188"/>
      <c r="M27" s="341">
        <f t="shared" si="2"/>
        <v>0</v>
      </c>
      <c r="N27" s="188">
        <v>108696</v>
      </c>
      <c r="O27" s="188"/>
      <c r="P27" s="341">
        <f t="shared" si="3"/>
        <v>108696</v>
      </c>
      <c r="Q27" s="188">
        <v>5715</v>
      </c>
      <c r="R27" s="188"/>
      <c r="S27" s="341">
        <f t="shared" si="4"/>
        <v>5715</v>
      </c>
      <c r="T27" s="188"/>
      <c r="U27" s="188"/>
      <c r="V27" s="341">
        <f t="shared" si="5"/>
        <v>0</v>
      </c>
      <c r="W27" s="188"/>
      <c r="X27" s="188"/>
      <c r="Y27" s="341">
        <f t="shared" si="6"/>
        <v>0</v>
      </c>
      <c r="Z27" s="188"/>
      <c r="AA27" s="188"/>
      <c r="AB27" s="341">
        <f t="shared" si="7"/>
        <v>0</v>
      </c>
      <c r="AC27" s="180"/>
      <c r="AD27" s="180"/>
    </row>
    <row r="28" spans="1:30" ht="25.5" x14ac:dyDescent="0.2">
      <c r="A28" s="340" t="s">
        <v>11</v>
      </c>
      <c r="B28" s="208" t="s">
        <v>600</v>
      </c>
      <c r="C28" s="183" t="s">
        <v>25</v>
      </c>
      <c r="D28" s="188">
        <f>149839-7724+34613</f>
        <v>176728</v>
      </c>
      <c r="E28" s="188"/>
      <c r="F28" s="188"/>
      <c r="G28" s="341">
        <f t="shared" si="0"/>
        <v>0</v>
      </c>
      <c r="H28" s="188"/>
      <c r="I28" s="188"/>
      <c r="J28" s="341">
        <f t="shared" si="1"/>
        <v>0</v>
      </c>
      <c r="K28" s="188">
        <v>48701</v>
      </c>
      <c r="L28" s="188"/>
      <c r="M28" s="341">
        <f t="shared" si="2"/>
        <v>48701</v>
      </c>
      <c r="N28" s="188">
        <f>89875+34613</f>
        <v>124488</v>
      </c>
      <c r="O28" s="188"/>
      <c r="P28" s="341">
        <f t="shared" si="3"/>
        <v>124488</v>
      </c>
      <c r="Q28" s="188">
        <f>11263-7724</f>
        <v>3539</v>
      </c>
      <c r="R28" s="188"/>
      <c r="S28" s="341">
        <f t="shared" si="4"/>
        <v>3539</v>
      </c>
      <c r="T28" s="188"/>
      <c r="U28" s="188"/>
      <c r="V28" s="341">
        <f t="shared" si="5"/>
        <v>0</v>
      </c>
      <c r="W28" s="188"/>
      <c r="X28" s="188"/>
      <c r="Y28" s="341">
        <f t="shared" si="6"/>
        <v>0</v>
      </c>
      <c r="Z28" s="188"/>
      <c r="AA28" s="188"/>
      <c r="AB28" s="341">
        <f t="shared" si="7"/>
        <v>0</v>
      </c>
      <c r="AC28" s="180"/>
      <c r="AD28" s="180"/>
    </row>
    <row r="29" spans="1:30" ht="25.5" x14ac:dyDescent="0.2">
      <c r="A29" s="340" t="s">
        <v>12</v>
      </c>
      <c r="B29" s="208" t="s">
        <v>688</v>
      </c>
      <c r="C29" s="183" t="s">
        <v>25</v>
      </c>
      <c r="D29" s="188">
        <v>800000</v>
      </c>
      <c r="E29" s="188"/>
      <c r="F29" s="188"/>
      <c r="G29" s="341">
        <f t="shared" si="0"/>
        <v>0</v>
      </c>
      <c r="H29" s="188"/>
      <c r="I29" s="188"/>
      <c r="J29" s="341">
        <f t="shared" si="1"/>
        <v>0</v>
      </c>
      <c r="K29" s="188"/>
      <c r="L29" s="188">
        <v>33000</v>
      </c>
      <c r="M29" s="341">
        <f t="shared" si="2"/>
        <v>33000</v>
      </c>
      <c r="N29" s="188"/>
      <c r="O29" s="188">
        <v>267000</v>
      </c>
      <c r="P29" s="341">
        <f t="shared" si="3"/>
        <v>267000</v>
      </c>
      <c r="Q29" s="188"/>
      <c r="R29" s="188">
        <v>500000</v>
      </c>
      <c r="S29" s="341">
        <f t="shared" si="4"/>
        <v>500000</v>
      </c>
      <c r="T29" s="188"/>
      <c r="U29" s="188"/>
      <c r="V29" s="341">
        <f t="shared" si="5"/>
        <v>0</v>
      </c>
      <c r="W29" s="188"/>
      <c r="X29" s="188"/>
      <c r="Y29" s="341">
        <f t="shared" si="6"/>
        <v>0</v>
      </c>
      <c r="Z29" s="188"/>
      <c r="AA29" s="188"/>
      <c r="AB29" s="341">
        <f t="shared" si="7"/>
        <v>0</v>
      </c>
      <c r="AC29" s="180"/>
      <c r="AD29" s="180"/>
    </row>
    <row r="30" spans="1:30" ht="38.25" x14ac:dyDescent="0.2">
      <c r="A30" s="342" t="s">
        <v>13</v>
      </c>
      <c r="B30" s="208" t="s">
        <v>699</v>
      </c>
      <c r="C30" s="183" t="s">
        <v>25</v>
      </c>
      <c r="D30" s="188">
        <v>731510</v>
      </c>
      <c r="E30" s="188"/>
      <c r="F30" s="188"/>
      <c r="G30" s="341">
        <f>SUM(E30:F30)</f>
        <v>0</v>
      </c>
      <c r="H30" s="188"/>
      <c r="I30" s="188"/>
      <c r="J30" s="341">
        <f>SUM(H30:I30)</f>
        <v>0</v>
      </c>
      <c r="K30" s="188"/>
      <c r="L30" s="188"/>
      <c r="M30" s="341">
        <f>SUM(K30:L30)</f>
        <v>0</v>
      </c>
      <c r="N30" s="188"/>
      <c r="O30" s="188"/>
      <c r="P30" s="341">
        <f>SUM(N30:O30)</f>
        <v>0</v>
      </c>
      <c r="Q30" s="188">
        <v>180600</v>
      </c>
      <c r="R30" s="188"/>
      <c r="S30" s="341">
        <f>SUM(Q30:R30)</f>
        <v>180600</v>
      </c>
      <c r="T30" s="188">
        <v>399650</v>
      </c>
      <c r="U30" s="188"/>
      <c r="V30" s="341">
        <f>SUM(T30:U30)</f>
        <v>399650</v>
      </c>
      <c r="W30" s="188"/>
      <c r="X30" s="188"/>
      <c r="Y30" s="341">
        <f>SUM(W30:X30)</f>
        <v>0</v>
      </c>
      <c r="Z30" s="188"/>
      <c r="AA30" s="188"/>
      <c r="AB30" s="341">
        <f>SUM(Z30:AA30)</f>
        <v>0</v>
      </c>
      <c r="AC30" s="180"/>
      <c r="AD30" s="180"/>
    </row>
    <row r="31" spans="1:30" ht="25.5" x14ac:dyDescent="0.2">
      <c r="A31" s="340" t="s">
        <v>14</v>
      </c>
      <c r="B31" s="208" t="s">
        <v>695</v>
      </c>
      <c r="C31" s="184" t="s">
        <v>25</v>
      </c>
      <c r="D31" s="188">
        <v>10657</v>
      </c>
      <c r="E31" s="188"/>
      <c r="F31" s="188"/>
      <c r="G31" s="341">
        <f t="shared" si="0"/>
        <v>0</v>
      </c>
      <c r="H31" s="188"/>
      <c r="I31" s="188"/>
      <c r="J31" s="341">
        <f t="shared" si="1"/>
        <v>0</v>
      </c>
      <c r="K31" s="188"/>
      <c r="L31" s="188"/>
      <c r="M31" s="341">
        <f t="shared" si="2"/>
        <v>0</v>
      </c>
      <c r="N31" s="188"/>
      <c r="O31" s="188"/>
      <c r="P31" s="341">
        <f t="shared" si="3"/>
        <v>0</v>
      </c>
      <c r="Q31" s="188">
        <v>10657</v>
      </c>
      <c r="R31" s="188"/>
      <c r="S31" s="341">
        <f t="shared" si="4"/>
        <v>10657</v>
      </c>
      <c r="T31" s="188"/>
      <c r="U31" s="188"/>
      <c r="V31" s="341">
        <f t="shared" si="5"/>
        <v>0</v>
      </c>
      <c r="W31" s="188"/>
      <c r="X31" s="188"/>
      <c r="Y31" s="341">
        <f t="shared" si="6"/>
        <v>0</v>
      </c>
      <c r="Z31" s="188"/>
      <c r="AA31" s="188"/>
      <c r="AB31" s="341">
        <f t="shared" ref="AB31:AB32" si="8">SUM(Z31:AA31)</f>
        <v>0</v>
      </c>
      <c r="AC31" s="180"/>
      <c r="AD31" s="180"/>
    </row>
    <row r="32" spans="1:30" ht="51" x14ac:dyDescent="0.2">
      <c r="A32" s="340" t="s">
        <v>15</v>
      </c>
      <c r="B32" s="208" t="s">
        <v>610</v>
      </c>
      <c r="C32" s="184" t="s">
        <v>25</v>
      </c>
      <c r="D32" s="188">
        <v>200000</v>
      </c>
      <c r="E32" s="188"/>
      <c r="F32" s="188"/>
      <c r="G32" s="341">
        <f t="shared" si="0"/>
        <v>0</v>
      </c>
      <c r="H32" s="188"/>
      <c r="I32" s="188"/>
      <c r="J32" s="341">
        <f t="shared" si="1"/>
        <v>0</v>
      </c>
      <c r="K32" s="188"/>
      <c r="L32" s="188">
        <v>200000</v>
      </c>
      <c r="M32" s="341">
        <f t="shared" si="2"/>
        <v>200000</v>
      </c>
      <c r="N32" s="188"/>
      <c r="O32" s="188"/>
      <c r="P32" s="341">
        <f t="shared" si="3"/>
        <v>0</v>
      </c>
      <c r="Q32" s="188"/>
      <c r="R32" s="188"/>
      <c r="S32" s="341">
        <f t="shared" si="4"/>
        <v>0</v>
      </c>
      <c r="T32" s="188"/>
      <c r="U32" s="188"/>
      <c r="V32" s="341">
        <f t="shared" si="5"/>
        <v>0</v>
      </c>
      <c r="W32" s="188"/>
      <c r="X32" s="188"/>
      <c r="Y32" s="341">
        <f t="shared" si="6"/>
        <v>0</v>
      </c>
      <c r="Z32" s="188"/>
      <c r="AA32" s="188"/>
      <c r="AB32" s="341">
        <f t="shared" si="8"/>
        <v>0</v>
      </c>
      <c r="AC32" s="180"/>
      <c r="AD32" s="180"/>
    </row>
    <row r="33" spans="1:30" ht="38.25" x14ac:dyDescent="0.2">
      <c r="A33" s="342" t="s">
        <v>16</v>
      </c>
      <c r="B33" s="208" t="s">
        <v>689</v>
      </c>
      <c r="C33" s="183" t="s">
        <v>25</v>
      </c>
      <c r="D33" s="188">
        <v>400000</v>
      </c>
      <c r="E33" s="188"/>
      <c r="F33" s="188"/>
      <c r="G33" s="341">
        <f>SUM(E33:F33)</f>
        <v>0</v>
      </c>
      <c r="H33" s="188"/>
      <c r="I33" s="188"/>
      <c r="J33" s="341">
        <f>SUM(H33:I33)</f>
        <v>0</v>
      </c>
      <c r="K33" s="188"/>
      <c r="L33" s="188"/>
      <c r="M33" s="341">
        <f>SUM(K33:L33)</f>
        <v>0</v>
      </c>
      <c r="N33" s="188"/>
      <c r="O33" s="188">
        <v>400000</v>
      </c>
      <c r="P33" s="341">
        <f>SUM(N33:O33)</f>
        <v>400000</v>
      </c>
      <c r="Q33" s="188"/>
      <c r="R33" s="188"/>
      <c r="S33" s="341">
        <f>SUM(Q33:R33)</f>
        <v>0</v>
      </c>
      <c r="T33" s="188"/>
      <c r="U33" s="188"/>
      <c r="V33" s="341">
        <f>SUM(T33:U33)</f>
        <v>0</v>
      </c>
      <c r="W33" s="188"/>
      <c r="X33" s="188"/>
      <c r="Y33" s="341">
        <f>SUM(W33:X33)</f>
        <v>0</v>
      </c>
      <c r="Z33" s="188"/>
      <c r="AA33" s="188"/>
      <c r="AB33" s="341">
        <f>SUM(Z33:AA33)</f>
        <v>0</v>
      </c>
      <c r="AC33" s="180"/>
      <c r="AD33" s="180"/>
    </row>
    <row r="34" spans="1:30" ht="51" x14ac:dyDescent="0.2">
      <c r="A34" s="340" t="s">
        <v>17</v>
      </c>
      <c r="B34" s="208" t="s">
        <v>832</v>
      </c>
      <c r="C34" s="183" t="s">
        <v>25</v>
      </c>
      <c r="D34" s="188">
        <v>74756</v>
      </c>
      <c r="E34" s="188"/>
      <c r="F34" s="188"/>
      <c r="G34" s="341">
        <f t="shared" si="0"/>
        <v>0</v>
      </c>
      <c r="H34" s="188"/>
      <c r="I34" s="188"/>
      <c r="J34" s="341">
        <f t="shared" si="1"/>
        <v>0</v>
      </c>
      <c r="K34" s="188"/>
      <c r="L34" s="188"/>
      <c r="M34" s="341">
        <f t="shared" si="2"/>
        <v>0</v>
      </c>
      <c r="N34" s="188"/>
      <c r="O34" s="188"/>
      <c r="P34" s="341">
        <f t="shared" si="3"/>
        <v>0</v>
      </c>
      <c r="Q34" s="188">
        <v>69000</v>
      </c>
      <c r="R34" s="188"/>
      <c r="S34" s="341">
        <f t="shared" si="4"/>
        <v>69000</v>
      </c>
      <c r="T34" s="188"/>
      <c r="U34" s="188"/>
      <c r="V34" s="341">
        <f t="shared" si="5"/>
        <v>0</v>
      </c>
      <c r="W34" s="188"/>
      <c r="X34" s="188"/>
      <c r="Y34" s="341">
        <f t="shared" si="6"/>
        <v>0</v>
      </c>
      <c r="Z34" s="188"/>
      <c r="AA34" s="188"/>
      <c r="AB34" s="341">
        <f t="shared" ref="AB34:AB48" si="9">SUM(Z34:AA34)</f>
        <v>0</v>
      </c>
      <c r="AC34" s="180"/>
      <c r="AD34" s="180"/>
    </row>
    <row r="35" spans="1:30" ht="25.5" x14ac:dyDescent="0.2">
      <c r="A35" s="340" t="s">
        <v>18</v>
      </c>
      <c r="B35" s="208" t="s">
        <v>755</v>
      </c>
      <c r="C35" s="183" t="s">
        <v>25</v>
      </c>
      <c r="D35" s="188">
        <v>116807</v>
      </c>
      <c r="E35" s="188"/>
      <c r="F35" s="188"/>
      <c r="G35" s="341">
        <f t="shared" si="0"/>
        <v>0</v>
      </c>
      <c r="H35" s="188"/>
      <c r="I35" s="188"/>
      <c r="J35" s="341">
        <f t="shared" si="1"/>
        <v>0</v>
      </c>
      <c r="K35" s="188"/>
      <c r="L35" s="188"/>
      <c r="M35" s="341">
        <f t="shared" si="2"/>
        <v>0</v>
      </c>
      <c r="N35" s="188"/>
      <c r="O35" s="188"/>
      <c r="P35" s="341">
        <f t="shared" si="3"/>
        <v>0</v>
      </c>
      <c r="Q35" s="188">
        <v>90238</v>
      </c>
      <c r="R35" s="188"/>
      <c r="S35" s="341">
        <f t="shared" si="4"/>
        <v>90238</v>
      </c>
      <c r="T35" s="188"/>
      <c r="U35" s="188"/>
      <c r="V35" s="341">
        <f t="shared" si="5"/>
        <v>0</v>
      </c>
      <c r="W35" s="188"/>
      <c r="X35" s="188"/>
      <c r="Y35" s="341">
        <f t="shared" si="6"/>
        <v>0</v>
      </c>
      <c r="Z35" s="188"/>
      <c r="AA35" s="188"/>
      <c r="AB35" s="341">
        <f t="shared" si="9"/>
        <v>0</v>
      </c>
      <c r="AC35" s="180"/>
      <c r="AD35" s="180"/>
    </row>
    <row r="36" spans="1:30" ht="38.25" x14ac:dyDescent="0.2">
      <c r="A36" s="342" t="s">
        <v>19</v>
      </c>
      <c r="B36" s="208" t="s">
        <v>906</v>
      </c>
      <c r="C36" s="183" t="s">
        <v>25</v>
      </c>
      <c r="D36" s="188">
        <f>375512+26445+79334</f>
        <v>481291</v>
      </c>
      <c r="E36" s="188"/>
      <c r="F36" s="188"/>
      <c r="G36" s="341">
        <f t="shared" si="0"/>
        <v>0</v>
      </c>
      <c r="H36" s="188"/>
      <c r="I36" s="188"/>
      <c r="J36" s="341">
        <f t="shared" si="1"/>
        <v>0</v>
      </c>
      <c r="K36" s="188"/>
      <c r="L36" s="188"/>
      <c r="M36" s="341">
        <f t="shared" si="2"/>
        <v>0</v>
      </c>
      <c r="N36" s="188">
        <v>6971</v>
      </c>
      <c r="O36" s="188"/>
      <c r="P36" s="341">
        <f t="shared" si="3"/>
        <v>6971</v>
      </c>
      <c r="Q36" s="188">
        <v>105220</v>
      </c>
      <c r="R36" s="188"/>
      <c r="S36" s="341">
        <f t="shared" si="4"/>
        <v>105220</v>
      </c>
      <c r="T36" s="188">
        <v>263321</v>
      </c>
      <c r="U36" s="188"/>
      <c r="V36" s="341">
        <f t="shared" si="5"/>
        <v>263321</v>
      </c>
      <c r="W36" s="188"/>
      <c r="X36" s="188"/>
      <c r="Y36" s="341">
        <f t="shared" si="6"/>
        <v>0</v>
      </c>
      <c r="Z36" s="188"/>
      <c r="AA36" s="188"/>
      <c r="AB36" s="341">
        <f t="shared" si="9"/>
        <v>0</v>
      </c>
      <c r="AC36" s="180"/>
      <c r="AD36" s="180"/>
    </row>
    <row r="37" spans="1:30" ht="25.5" x14ac:dyDescent="0.2">
      <c r="A37" s="340" t="s">
        <v>20</v>
      </c>
      <c r="B37" s="208" t="s">
        <v>831</v>
      </c>
      <c r="C37" s="183" t="s">
        <v>25</v>
      </c>
      <c r="D37" s="188">
        <v>192360</v>
      </c>
      <c r="E37" s="188"/>
      <c r="F37" s="188"/>
      <c r="G37" s="341">
        <f t="shared" si="0"/>
        <v>0</v>
      </c>
      <c r="H37" s="188"/>
      <c r="I37" s="188"/>
      <c r="J37" s="341">
        <f t="shared" si="1"/>
        <v>0</v>
      </c>
      <c r="K37" s="188"/>
      <c r="L37" s="188"/>
      <c r="M37" s="341">
        <f t="shared" si="2"/>
        <v>0</v>
      </c>
      <c r="N37" s="188">
        <v>4700</v>
      </c>
      <c r="O37" s="188"/>
      <c r="P37" s="341">
        <f t="shared" si="3"/>
        <v>4700</v>
      </c>
      <c r="Q37" s="188">
        <v>187660</v>
      </c>
      <c r="R37" s="188"/>
      <c r="S37" s="341">
        <f t="shared" si="4"/>
        <v>187660</v>
      </c>
      <c r="T37" s="188"/>
      <c r="U37" s="188"/>
      <c r="V37" s="341">
        <f t="shared" si="5"/>
        <v>0</v>
      </c>
      <c r="W37" s="188"/>
      <c r="X37" s="188"/>
      <c r="Y37" s="341">
        <f t="shared" si="6"/>
        <v>0</v>
      </c>
      <c r="Z37" s="188"/>
      <c r="AA37" s="188"/>
      <c r="AB37" s="341">
        <f t="shared" si="9"/>
        <v>0</v>
      </c>
      <c r="AC37" s="180"/>
      <c r="AD37" s="180"/>
    </row>
    <row r="38" spans="1:30" x14ac:dyDescent="0.2">
      <c r="A38" s="340" t="s">
        <v>21</v>
      </c>
      <c r="B38" s="208" t="s">
        <v>693</v>
      </c>
      <c r="C38" s="183" t="s">
        <v>25</v>
      </c>
      <c r="D38" s="188">
        <v>288025</v>
      </c>
      <c r="E38" s="188"/>
      <c r="F38" s="188"/>
      <c r="G38" s="341">
        <f t="shared" si="0"/>
        <v>0</v>
      </c>
      <c r="H38" s="188"/>
      <c r="I38" s="188"/>
      <c r="J38" s="341">
        <f t="shared" si="1"/>
        <v>0</v>
      </c>
      <c r="K38" s="188"/>
      <c r="L38" s="188"/>
      <c r="M38" s="341">
        <f t="shared" si="2"/>
        <v>0</v>
      </c>
      <c r="N38" s="188"/>
      <c r="O38" s="188"/>
      <c r="P38" s="341">
        <f t="shared" si="3"/>
        <v>0</v>
      </c>
      <c r="Q38" s="188">
        <v>136800</v>
      </c>
      <c r="R38" s="188"/>
      <c r="S38" s="341">
        <f t="shared" si="4"/>
        <v>136800</v>
      </c>
      <c r="T38" s="188">
        <v>149803</v>
      </c>
      <c r="U38" s="188"/>
      <c r="V38" s="341">
        <f t="shared" si="5"/>
        <v>149803</v>
      </c>
      <c r="W38" s="188"/>
      <c r="X38" s="188"/>
      <c r="Y38" s="341">
        <f t="shared" si="6"/>
        <v>0</v>
      </c>
      <c r="Z38" s="188"/>
      <c r="AA38" s="188"/>
      <c r="AB38" s="341">
        <f t="shared" si="9"/>
        <v>0</v>
      </c>
      <c r="AC38" s="180"/>
      <c r="AD38" s="180"/>
    </row>
    <row r="39" spans="1:30" ht="38.25" x14ac:dyDescent="0.2">
      <c r="A39" s="342" t="s">
        <v>754</v>
      </c>
      <c r="B39" s="208" t="s">
        <v>760</v>
      </c>
      <c r="C39" s="183" t="s">
        <v>25</v>
      </c>
      <c r="D39" s="188">
        <v>425480</v>
      </c>
      <c r="E39" s="188"/>
      <c r="F39" s="188"/>
      <c r="G39" s="341">
        <f t="shared" si="0"/>
        <v>0</v>
      </c>
      <c r="H39" s="188"/>
      <c r="I39" s="188"/>
      <c r="J39" s="341">
        <f t="shared" si="1"/>
        <v>0</v>
      </c>
      <c r="K39" s="188"/>
      <c r="L39" s="188"/>
      <c r="M39" s="341">
        <f t="shared" si="2"/>
        <v>0</v>
      </c>
      <c r="N39" s="188"/>
      <c r="O39" s="188">
        <v>425480</v>
      </c>
      <c r="P39" s="341">
        <f t="shared" si="3"/>
        <v>425480</v>
      </c>
      <c r="Q39" s="188"/>
      <c r="R39" s="188"/>
      <c r="S39" s="341">
        <f t="shared" si="4"/>
        <v>0</v>
      </c>
      <c r="T39" s="188"/>
      <c r="U39" s="188"/>
      <c r="V39" s="341">
        <f t="shared" si="5"/>
        <v>0</v>
      </c>
      <c r="W39" s="188"/>
      <c r="X39" s="188"/>
      <c r="Y39" s="341">
        <f t="shared" si="6"/>
        <v>0</v>
      </c>
      <c r="Z39" s="188"/>
      <c r="AA39" s="188"/>
      <c r="AB39" s="341">
        <f t="shared" si="9"/>
        <v>0</v>
      </c>
      <c r="AC39" s="180"/>
      <c r="AD39" s="180"/>
    </row>
    <row r="40" spans="1:30" x14ac:dyDescent="0.2">
      <c r="A40" s="340" t="s">
        <v>756</v>
      </c>
      <c r="B40" s="208" t="s">
        <v>834</v>
      </c>
      <c r="C40" s="183" t="s">
        <v>25</v>
      </c>
      <c r="D40" s="188">
        <v>327668</v>
      </c>
      <c r="E40" s="188"/>
      <c r="F40" s="188"/>
      <c r="G40" s="341">
        <f t="shared" si="0"/>
        <v>0</v>
      </c>
      <c r="H40" s="188"/>
      <c r="I40" s="188"/>
      <c r="J40" s="341">
        <f t="shared" si="1"/>
        <v>0</v>
      </c>
      <c r="K40" s="188"/>
      <c r="L40" s="188"/>
      <c r="M40" s="341">
        <f t="shared" si="2"/>
        <v>0</v>
      </c>
      <c r="N40" s="188"/>
      <c r="O40" s="188"/>
      <c r="P40" s="341">
        <f t="shared" si="3"/>
        <v>0</v>
      </c>
      <c r="Q40" s="188">
        <v>130824</v>
      </c>
      <c r="R40" s="188"/>
      <c r="S40" s="341">
        <f t="shared" si="4"/>
        <v>130824</v>
      </c>
      <c r="T40" s="188">
        <v>130824</v>
      </c>
      <c r="U40" s="188"/>
      <c r="V40" s="341">
        <f t="shared" si="5"/>
        <v>130824</v>
      </c>
      <c r="W40" s="188"/>
      <c r="X40" s="188"/>
      <c r="Y40" s="341">
        <f t="shared" si="6"/>
        <v>0</v>
      </c>
      <c r="Z40" s="188"/>
      <c r="AA40" s="188"/>
      <c r="AB40" s="341">
        <f t="shared" si="9"/>
        <v>0</v>
      </c>
      <c r="AC40" s="180"/>
      <c r="AD40" s="180"/>
    </row>
    <row r="41" spans="1:30" ht="25.5" x14ac:dyDescent="0.2">
      <c r="A41" s="340" t="s">
        <v>757</v>
      </c>
      <c r="B41" s="208" t="s">
        <v>697</v>
      </c>
      <c r="C41" s="183" t="s">
        <v>25</v>
      </c>
      <c r="D41" s="188">
        <v>151721</v>
      </c>
      <c r="E41" s="188"/>
      <c r="F41" s="188"/>
      <c r="G41" s="341">
        <f t="shared" si="0"/>
        <v>0</v>
      </c>
      <c r="H41" s="188"/>
      <c r="I41" s="188"/>
      <c r="J41" s="341">
        <f t="shared" si="1"/>
        <v>0</v>
      </c>
      <c r="K41" s="188"/>
      <c r="L41" s="188"/>
      <c r="M41" s="341">
        <f t="shared" si="2"/>
        <v>0</v>
      </c>
      <c r="N41" s="188"/>
      <c r="O41" s="188"/>
      <c r="P41" s="341">
        <f t="shared" si="3"/>
        <v>0</v>
      </c>
      <c r="Q41" s="188">
        <v>151721</v>
      </c>
      <c r="R41" s="188"/>
      <c r="S41" s="341">
        <f t="shared" si="4"/>
        <v>151721</v>
      </c>
      <c r="T41" s="188"/>
      <c r="U41" s="188"/>
      <c r="V41" s="341">
        <f t="shared" si="5"/>
        <v>0</v>
      </c>
      <c r="W41" s="188"/>
      <c r="X41" s="188"/>
      <c r="Y41" s="341">
        <f t="shared" si="6"/>
        <v>0</v>
      </c>
      <c r="Z41" s="188"/>
      <c r="AA41" s="188"/>
      <c r="AB41" s="341">
        <f t="shared" si="9"/>
        <v>0</v>
      </c>
      <c r="AC41" s="180"/>
      <c r="AD41" s="180"/>
    </row>
    <row r="42" spans="1:30" ht="25.5" x14ac:dyDescent="0.2">
      <c r="A42" s="342" t="s">
        <v>758</v>
      </c>
      <c r="B42" s="208" t="s">
        <v>830</v>
      </c>
      <c r="C42" s="183" t="s">
        <v>25</v>
      </c>
      <c r="D42" s="188">
        <v>372508</v>
      </c>
      <c r="E42" s="188"/>
      <c r="F42" s="188"/>
      <c r="G42" s="341">
        <f t="shared" si="0"/>
        <v>0</v>
      </c>
      <c r="H42" s="188"/>
      <c r="I42" s="188"/>
      <c r="J42" s="341">
        <f t="shared" si="1"/>
        <v>0</v>
      </c>
      <c r="K42" s="188"/>
      <c r="L42" s="188"/>
      <c r="M42" s="341">
        <f t="shared" si="2"/>
        <v>0</v>
      </c>
      <c r="N42" s="188"/>
      <c r="O42" s="188"/>
      <c r="P42" s="341">
        <f t="shared" si="3"/>
        <v>0</v>
      </c>
      <c r="Q42" s="188">
        <v>5882</v>
      </c>
      <c r="R42" s="188"/>
      <c r="S42" s="341">
        <f t="shared" si="4"/>
        <v>5882</v>
      </c>
      <c r="T42" s="188">
        <v>366626</v>
      </c>
      <c r="U42" s="188"/>
      <c r="V42" s="341">
        <f t="shared" si="5"/>
        <v>366626</v>
      </c>
      <c r="W42" s="188"/>
      <c r="X42" s="188"/>
      <c r="Y42" s="341">
        <f t="shared" si="6"/>
        <v>0</v>
      </c>
      <c r="Z42" s="188"/>
      <c r="AA42" s="188"/>
      <c r="AB42" s="341">
        <f t="shared" si="9"/>
        <v>0</v>
      </c>
      <c r="AC42" s="180"/>
      <c r="AD42" s="180"/>
    </row>
    <row r="43" spans="1:30" ht="25.5" x14ac:dyDescent="0.2">
      <c r="A43" s="340" t="s">
        <v>759</v>
      </c>
      <c r="B43" s="208" t="s">
        <v>698</v>
      </c>
      <c r="C43" s="183" t="s">
        <v>25</v>
      </c>
      <c r="D43" s="188">
        <v>905772</v>
      </c>
      <c r="E43" s="188"/>
      <c r="F43" s="188"/>
      <c r="G43" s="341">
        <f t="shared" si="0"/>
        <v>0</v>
      </c>
      <c r="H43" s="188"/>
      <c r="I43" s="188"/>
      <c r="J43" s="341">
        <f t="shared" si="1"/>
        <v>0</v>
      </c>
      <c r="K43" s="188"/>
      <c r="L43" s="188"/>
      <c r="M43" s="341">
        <f t="shared" si="2"/>
        <v>0</v>
      </c>
      <c r="N43" s="188"/>
      <c r="O43" s="188"/>
      <c r="P43" s="341">
        <f t="shared" si="3"/>
        <v>0</v>
      </c>
      <c r="Q43" s="188">
        <v>19432</v>
      </c>
      <c r="R43" s="188"/>
      <c r="S43" s="341">
        <f t="shared" si="4"/>
        <v>19432</v>
      </c>
      <c r="T43" s="188">
        <v>886340</v>
      </c>
      <c r="U43" s="188"/>
      <c r="V43" s="341">
        <f t="shared" si="5"/>
        <v>886340</v>
      </c>
      <c r="W43" s="188"/>
      <c r="X43" s="188"/>
      <c r="Y43" s="341">
        <f t="shared" si="6"/>
        <v>0</v>
      </c>
      <c r="Z43" s="188"/>
      <c r="AA43" s="188"/>
      <c r="AB43" s="341">
        <f t="shared" si="9"/>
        <v>0</v>
      </c>
      <c r="AC43" s="180"/>
      <c r="AD43" s="180"/>
    </row>
    <row r="44" spans="1:30" x14ac:dyDescent="0.2">
      <c r="A44" s="340" t="s">
        <v>761</v>
      </c>
      <c r="B44" s="208" t="s">
        <v>696</v>
      </c>
      <c r="C44" s="183" t="s">
        <v>25</v>
      </c>
      <c r="D44" s="188">
        <v>185648</v>
      </c>
      <c r="E44" s="188"/>
      <c r="F44" s="188"/>
      <c r="G44" s="341">
        <f t="shared" si="0"/>
        <v>0</v>
      </c>
      <c r="H44" s="188"/>
      <c r="I44" s="188"/>
      <c r="J44" s="341">
        <f t="shared" si="1"/>
        <v>0</v>
      </c>
      <c r="K44" s="188"/>
      <c r="L44" s="188"/>
      <c r="M44" s="341">
        <f t="shared" si="2"/>
        <v>0</v>
      </c>
      <c r="N44" s="188">
        <v>117585</v>
      </c>
      <c r="O44" s="188"/>
      <c r="P44" s="341">
        <f t="shared" si="3"/>
        <v>117585</v>
      </c>
      <c r="Q44" s="188">
        <v>68063</v>
      </c>
      <c r="R44" s="188"/>
      <c r="S44" s="341">
        <f t="shared" si="4"/>
        <v>68063</v>
      </c>
      <c r="T44" s="188"/>
      <c r="U44" s="188"/>
      <c r="V44" s="341">
        <f t="shared" si="5"/>
        <v>0</v>
      </c>
      <c r="W44" s="188"/>
      <c r="X44" s="188"/>
      <c r="Y44" s="341">
        <f t="shared" si="6"/>
        <v>0</v>
      </c>
      <c r="Z44" s="188"/>
      <c r="AA44" s="188"/>
      <c r="AB44" s="341">
        <f t="shared" si="9"/>
        <v>0</v>
      </c>
      <c r="AC44" s="180"/>
      <c r="AD44" s="180"/>
    </row>
    <row r="45" spans="1:30" ht="63.75" x14ac:dyDescent="0.2">
      <c r="A45" s="342" t="s">
        <v>903</v>
      </c>
      <c r="B45" s="208" t="s">
        <v>685</v>
      </c>
      <c r="C45" s="183" t="s">
        <v>25</v>
      </c>
      <c r="D45" s="188">
        <v>88509</v>
      </c>
      <c r="E45" s="188"/>
      <c r="F45" s="188"/>
      <c r="G45" s="341">
        <f t="shared" si="0"/>
        <v>0</v>
      </c>
      <c r="H45" s="188"/>
      <c r="I45" s="188"/>
      <c r="J45" s="341">
        <f t="shared" si="1"/>
        <v>0</v>
      </c>
      <c r="K45" s="188"/>
      <c r="L45" s="188"/>
      <c r="M45" s="341">
        <f t="shared" si="2"/>
        <v>0</v>
      </c>
      <c r="N45" s="188"/>
      <c r="O45" s="188"/>
      <c r="P45" s="341">
        <f t="shared" si="3"/>
        <v>0</v>
      </c>
      <c r="Q45" s="188"/>
      <c r="R45" s="188">
        <v>88509</v>
      </c>
      <c r="S45" s="341">
        <f t="shared" si="4"/>
        <v>88509</v>
      </c>
      <c r="T45" s="188"/>
      <c r="U45" s="188"/>
      <c r="V45" s="341">
        <f t="shared" si="5"/>
        <v>0</v>
      </c>
      <c r="W45" s="188"/>
      <c r="X45" s="188"/>
      <c r="Y45" s="341">
        <f t="shared" si="6"/>
        <v>0</v>
      </c>
      <c r="Z45" s="188"/>
      <c r="AA45" s="188"/>
      <c r="AB45" s="341">
        <f t="shared" si="9"/>
        <v>0</v>
      </c>
      <c r="AC45" s="180"/>
      <c r="AD45" s="180"/>
    </row>
    <row r="46" spans="1:30" x14ac:dyDescent="0.2">
      <c r="A46" s="340" t="s">
        <v>762</v>
      </c>
      <c r="B46" s="208" t="s">
        <v>902</v>
      </c>
      <c r="C46" s="183" t="s">
        <v>25</v>
      </c>
      <c r="D46" s="188">
        <v>38597</v>
      </c>
      <c r="E46" s="188"/>
      <c r="F46" s="188"/>
      <c r="G46" s="341">
        <f t="shared" si="0"/>
        <v>0</v>
      </c>
      <c r="H46" s="188"/>
      <c r="I46" s="188"/>
      <c r="J46" s="341">
        <f t="shared" si="1"/>
        <v>0</v>
      </c>
      <c r="K46" s="188"/>
      <c r="L46" s="188"/>
      <c r="M46" s="341">
        <f t="shared" si="2"/>
        <v>0</v>
      </c>
      <c r="N46" s="188">
        <v>2306</v>
      </c>
      <c r="O46" s="188"/>
      <c r="P46" s="341">
        <f t="shared" si="3"/>
        <v>2306</v>
      </c>
      <c r="Q46" s="188">
        <v>11987</v>
      </c>
      <c r="R46" s="188"/>
      <c r="S46" s="341">
        <f t="shared" si="4"/>
        <v>11987</v>
      </c>
      <c r="T46" s="188">
        <v>13472</v>
      </c>
      <c r="U46" s="188"/>
      <c r="V46" s="341">
        <f t="shared" si="5"/>
        <v>13472</v>
      </c>
      <c r="W46" s="188">
        <v>9567</v>
      </c>
      <c r="X46" s="188"/>
      <c r="Y46" s="341">
        <f t="shared" si="6"/>
        <v>9567</v>
      </c>
      <c r="Z46" s="188">
        <v>1265</v>
      </c>
      <c r="AA46" s="188"/>
      <c r="AB46" s="341">
        <f t="shared" si="9"/>
        <v>1265</v>
      </c>
      <c r="AC46" s="180"/>
      <c r="AD46" s="180"/>
    </row>
    <row r="47" spans="1:30" x14ac:dyDescent="0.2">
      <c r="A47" s="340" t="s">
        <v>763</v>
      </c>
      <c r="B47" s="208" t="s">
        <v>797</v>
      </c>
      <c r="C47" s="183" t="s">
        <v>25</v>
      </c>
      <c r="D47" s="188">
        <v>62164</v>
      </c>
      <c r="E47" s="188"/>
      <c r="F47" s="188"/>
      <c r="G47" s="341">
        <f t="shared" si="0"/>
        <v>0</v>
      </c>
      <c r="H47" s="188"/>
      <c r="I47" s="188"/>
      <c r="J47" s="341">
        <f t="shared" si="1"/>
        <v>0</v>
      </c>
      <c r="K47" s="188"/>
      <c r="L47" s="188"/>
      <c r="M47" s="341">
        <f t="shared" si="2"/>
        <v>0</v>
      </c>
      <c r="N47" s="188"/>
      <c r="O47" s="188">
        <v>50000</v>
      </c>
      <c r="P47" s="341">
        <f t="shared" si="3"/>
        <v>50000</v>
      </c>
      <c r="Q47" s="188"/>
      <c r="R47" s="188"/>
      <c r="S47" s="341">
        <f t="shared" si="4"/>
        <v>0</v>
      </c>
      <c r="T47" s="188"/>
      <c r="U47" s="188"/>
      <c r="V47" s="341">
        <f t="shared" si="5"/>
        <v>0</v>
      </c>
      <c r="W47" s="188"/>
      <c r="X47" s="188"/>
      <c r="Y47" s="341">
        <f t="shared" si="6"/>
        <v>0</v>
      </c>
      <c r="Z47" s="188"/>
      <c r="AA47" s="188"/>
      <c r="AB47" s="341">
        <f t="shared" si="9"/>
        <v>0</v>
      </c>
      <c r="AC47" s="180"/>
      <c r="AD47" s="180"/>
    </row>
    <row r="48" spans="1:30" ht="76.5" x14ac:dyDescent="0.2">
      <c r="A48" s="342" t="s">
        <v>764</v>
      </c>
      <c r="B48" s="208" t="s">
        <v>681</v>
      </c>
      <c r="C48" s="183" t="s">
        <v>25</v>
      </c>
      <c r="D48" s="188">
        <v>2462775</v>
      </c>
      <c r="E48" s="188"/>
      <c r="F48" s="188"/>
      <c r="G48" s="341">
        <f t="shared" si="0"/>
        <v>0</v>
      </c>
      <c r="H48" s="188"/>
      <c r="I48" s="188"/>
      <c r="J48" s="341">
        <f t="shared" si="1"/>
        <v>0</v>
      </c>
      <c r="K48" s="188"/>
      <c r="L48" s="188"/>
      <c r="M48" s="341">
        <f t="shared" si="2"/>
        <v>0</v>
      </c>
      <c r="N48" s="188"/>
      <c r="O48" s="188">
        <v>918200</v>
      </c>
      <c r="P48" s="341">
        <f t="shared" si="3"/>
        <v>918200</v>
      </c>
      <c r="Q48" s="188"/>
      <c r="R48" s="188">
        <v>1544575</v>
      </c>
      <c r="S48" s="341">
        <f t="shared" si="4"/>
        <v>1544575</v>
      </c>
      <c r="T48" s="188"/>
      <c r="U48" s="188"/>
      <c r="V48" s="341">
        <f t="shared" si="5"/>
        <v>0</v>
      </c>
      <c r="W48" s="188"/>
      <c r="X48" s="188"/>
      <c r="Y48" s="341">
        <f t="shared" si="6"/>
        <v>0</v>
      </c>
      <c r="Z48" s="188"/>
      <c r="AA48" s="188"/>
      <c r="AB48" s="341">
        <f t="shared" si="9"/>
        <v>0</v>
      </c>
      <c r="AC48" s="180"/>
      <c r="AD48" s="180"/>
    </row>
    <row r="49" spans="1:30" ht="76.5" x14ac:dyDescent="0.2">
      <c r="A49" s="342" t="s">
        <v>765</v>
      </c>
      <c r="B49" s="208" t="s">
        <v>682</v>
      </c>
      <c r="C49" s="183" t="s">
        <v>25</v>
      </c>
      <c r="D49" s="188">
        <v>65000</v>
      </c>
      <c r="E49" s="188"/>
      <c r="F49" s="188"/>
      <c r="G49" s="341">
        <f>SUM(E49:F49)</f>
        <v>0</v>
      </c>
      <c r="H49" s="188"/>
      <c r="I49" s="188"/>
      <c r="J49" s="341">
        <f>SUM(H49:I49)</f>
        <v>0</v>
      </c>
      <c r="K49" s="188"/>
      <c r="L49" s="188"/>
      <c r="M49" s="341">
        <f>SUM(K49:L49)</f>
        <v>0</v>
      </c>
      <c r="N49" s="188"/>
      <c r="O49" s="188"/>
      <c r="P49" s="341">
        <f>SUM(N49:O49)</f>
        <v>0</v>
      </c>
      <c r="Q49" s="188"/>
      <c r="R49" s="188">
        <v>65000</v>
      </c>
      <c r="S49" s="341">
        <f>SUM(Q49:R49)</f>
        <v>65000</v>
      </c>
      <c r="T49" s="188"/>
      <c r="U49" s="188"/>
      <c r="V49" s="341">
        <f>SUM(T49:U49)</f>
        <v>0</v>
      </c>
      <c r="W49" s="188"/>
      <c r="X49" s="188"/>
      <c r="Y49" s="341">
        <f>SUM(W49:X49)</f>
        <v>0</v>
      </c>
      <c r="Z49" s="188"/>
      <c r="AA49" s="188"/>
      <c r="AB49" s="341">
        <f>SUM(Z49:AA49)</f>
        <v>0</v>
      </c>
      <c r="AC49" s="180"/>
      <c r="AD49" s="180"/>
    </row>
    <row r="50" spans="1:30" ht="13.5" thickBot="1" x14ac:dyDescent="0.25">
      <c r="A50" s="342" t="s">
        <v>766</v>
      </c>
      <c r="B50" s="208" t="s">
        <v>686</v>
      </c>
      <c r="C50" s="183" t="s">
        <v>650</v>
      </c>
      <c r="D50" s="188">
        <v>2000000</v>
      </c>
      <c r="E50" s="188"/>
      <c r="F50" s="188"/>
      <c r="G50" s="341">
        <f>SUM(E50:F50)</f>
        <v>0</v>
      </c>
      <c r="H50" s="188"/>
      <c r="I50" s="188"/>
      <c r="J50" s="341">
        <f>SUM(H50:I50)</f>
        <v>0</v>
      </c>
      <c r="K50" s="188"/>
      <c r="L50" s="188"/>
      <c r="M50" s="341">
        <f>SUM(K50:L50)</f>
        <v>0</v>
      </c>
      <c r="N50" s="188"/>
      <c r="O50" s="188"/>
      <c r="P50" s="341">
        <f>SUM(N50:O50)</f>
        <v>0</v>
      </c>
      <c r="Q50" s="188">
        <v>200000</v>
      </c>
      <c r="R50" s="188"/>
      <c r="S50" s="341">
        <f>SUM(Q50:R50)</f>
        <v>200000</v>
      </c>
      <c r="T50" s="188">
        <v>900000</v>
      </c>
      <c r="U50" s="188"/>
      <c r="V50" s="341">
        <f>SUM(T50:U50)</f>
        <v>900000</v>
      </c>
      <c r="W50" s="188">
        <v>900000</v>
      </c>
      <c r="X50" s="188"/>
      <c r="Y50" s="341">
        <f>SUM(W50:X50)</f>
        <v>900000</v>
      </c>
      <c r="Z50" s="188"/>
      <c r="AA50" s="188"/>
      <c r="AB50" s="341">
        <f>SUM(Z50:AA50)</f>
        <v>0</v>
      </c>
      <c r="AC50" s="180"/>
      <c r="AD50" s="180"/>
    </row>
    <row r="51" spans="1:30" s="338" customFormat="1" ht="13.5" thickBot="1" x14ac:dyDescent="0.25">
      <c r="A51" s="344"/>
      <c r="B51" s="130" t="s">
        <v>167</v>
      </c>
      <c r="C51" s="130"/>
      <c r="D51" s="345">
        <f t="shared" ref="D51:AB51" si="10">SUM(D8:D50)</f>
        <v>55572366</v>
      </c>
      <c r="E51" s="345">
        <f t="shared" si="10"/>
        <v>0</v>
      </c>
      <c r="F51" s="345">
        <f t="shared" si="10"/>
        <v>417000</v>
      </c>
      <c r="G51" s="345">
        <f t="shared" si="10"/>
        <v>417000</v>
      </c>
      <c r="H51" s="345">
        <f t="shared" si="10"/>
        <v>901860</v>
      </c>
      <c r="I51" s="345">
        <f t="shared" si="10"/>
        <v>8253631</v>
      </c>
      <c r="J51" s="345">
        <f t="shared" si="10"/>
        <v>9155491</v>
      </c>
      <c r="K51" s="345">
        <f t="shared" si="10"/>
        <v>902837</v>
      </c>
      <c r="L51" s="345">
        <f t="shared" si="10"/>
        <v>9972675</v>
      </c>
      <c r="M51" s="345">
        <f t="shared" si="10"/>
        <v>10875512</v>
      </c>
      <c r="N51" s="345">
        <f t="shared" si="10"/>
        <v>1290959</v>
      </c>
      <c r="O51" s="345">
        <f t="shared" si="10"/>
        <v>7415128</v>
      </c>
      <c r="P51" s="345">
        <f t="shared" si="10"/>
        <v>8706087</v>
      </c>
      <c r="Q51" s="345">
        <f t="shared" si="10"/>
        <v>2536155</v>
      </c>
      <c r="R51" s="345">
        <f t="shared" si="10"/>
        <v>13616017</v>
      </c>
      <c r="S51" s="345">
        <f t="shared" si="10"/>
        <v>16152172</v>
      </c>
      <c r="T51" s="345">
        <f t="shared" si="10"/>
        <v>7639011</v>
      </c>
      <c r="U51" s="345">
        <f t="shared" si="10"/>
        <v>752372</v>
      </c>
      <c r="V51" s="345">
        <f t="shared" si="10"/>
        <v>8391383</v>
      </c>
      <c r="W51" s="345">
        <f t="shared" si="10"/>
        <v>1278801</v>
      </c>
      <c r="X51" s="345">
        <f t="shared" si="10"/>
        <v>0</v>
      </c>
      <c r="Y51" s="345">
        <f t="shared" si="10"/>
        <v>1278801</v>
      </c>
      <c r="Z51" s="345">
        <f t="shared" si="10"/>
        <v>1265</v>
      </c>
      <c r="AA51" s="345">
        <f t="shared" si="10"/>
        <v>0</v>
      </c>
      <c r="AB51" s="345">
        <f t="shared" si="10"/>
        <v>1265</v>
      </c>
      <c r="AC51" s="180"/>
      <c r="AD51" s="180"/>
    </row>
    <row r="52" spans="1:30" s="338" customFormat="1" x14ac:dyDescent="0.2">
      <c r="A52" s="346"/>
      <c r="B52" s="217"/>
      <c r="C52" s="217"/>
      <c r="D52" s="347"/>
      <c r="E52" s="347"/>
      <c r="F52" s="347"/>
      <c r="G52" s="347"/>
      <c r="H52" s="347"/>
      <c r="I52" s="347"/>
      <c r="J52" s="347"/>
      <c r="K52" s="347"/>
      <c r="L52" s="347"/>
      <c r="M52" s="347"/>
      <c r="N52" s="347"/>
      <c r="O52" s="347"/>
      <c r="P52" s="347"/>
      <c r="Q52" s="347"/>
      <c r="R52" s="347"/>
      <c r="S52" s="347"/>
      <c r="T52" s="347"/>
      <c r="U52" s="347"/>
      <c r="V52" s="347"/>
      <c r="W52" s="347"/>
      <c r="X52" s="347"/>
      <c r="Y52" s="347"/>
      <c r="Z52" s="347"/>
      <c r="AA52" s="347"/>
      <c r="AB52" s="347"/>
      <c r="AC52" s="180"/>
      <c r="AD52" s="180"/>
    </row>
    <row r="53" spans="1:30" ht="27" customHeight="1" x14ac:dyDescent="0.2">
      <c r="A53" s="1097" t="s">
        <v>645</v>
      </c>
      <c r="B53" s="1097"/>
      <c r="C53" s="84"/>
      <c r="D53" s="83"/>
      <c r="E53" s="83"/>
      <c r="F53" s="83"/>
      <c r="G53" s="83"/>
      <c r="H53" s="83"/>
      <c r="I53" s="83"/>
      <c r="J53" s="83"/>
      <c r="K53" s="83"/>
      <c r="L53" s="83"/>
      <c r="M53" s="83"/>
      <c r="N53" s="83"/>
      <c r="O53" s="83"/>
      <c r="P53" s="83"/>
      <c r="Q53" s="83"/>
      <c r="R53" s="83"/>
      <c r="S53" s="83"/>
      <c r="T53" s="83"/>
      <c r="U53" s="83"/>
      <c r="V53" s="83"/>
      <c r="W53" s="83"/>
      <c r="X53" s="83"/>
      <c r="Y53" s="83"/>
      <c r="Z53" s="83"/>
      <c r="AA53" s="83"/>
      <c r="AB53" s="83"/>
    </row>
    <row r="54" spans="1:30" ht="13.15" customHeight="1" x14ac:dyDescent="0.2">
      <c r="B54" s="182"/>
      <c r="D54" s="83"/>
      <c r="E54" s="83"/>
      <c r="F54" s="83"/>
      <c r="G54" s="83"/>
      <c r="H54" s="83"/>
      <c r="I54" s="83"/>
      <c r="J54" s="83"/>
      <c r="K54" s="83"/>
      <c r="L54" s="83"/>
      <c r="M54" s="83"/>
      <c r="N54" s="83"/>
      <c r="O54" s="83"/>
      <c r="P54" s="83"/>
      <c r="Q54" s="83"/>
      <c r="R54" s="83"/>
      <c r="S54" s="83"/>
      <c r="T54" s="83"/>
      <c r="U54" s="83"/>
      <c r="V54" s="83"/>
      <c r="W54" s="83"/>
      <c r="X54" s="83"/>
      <c r="Y54" s="83"/>
      <c r="Z54" s="83"/>
      <c r="AA54" s="83"/>
      <c r="AB54" s="83"/>
    </row>
  </sheetData>
  <mergeCells count="13">
    <mergeCell ref="A53:B53"/>
    <mergeCell ref="K6:M6"/>
    <mergeCell ref="N6:P6"/>
    <mergeCell ref="Q6:S6"/>
    <mergeCell ref="T6:V6"/>
    <mergeCell ref="W6:Y6"/>
    <mergeCell ref="Z6:AB6"/>
    <mergeCell ref="A6:A7"/>
    <mergeCell ref="B6:B7"/>
    <mergeCell ref="C6:C7"/>
    <mergeCell ref="D6:D7"/>
    <mergeCell ref="E6:G6"/>
    <mergeCell ref="H6:J6"/>
  </mergeCells>
  <printOptions horizontalCentered="1"/>
  <pageMargins left="0.19685039370078741" right="0.15748031496062992" top="0.70866141732283472" bottom="0.43307086614173229" header="0.27559055118110237" footer="0.15748031496062992"/>
  <pageSetup paperSize="9" scale="70" orientation="landscape" r:id="rId1"/>
  <headerFooter alignWithMargins="0">
    <oddHeader>&amp;C&amp;"Times New Roman,Félkövér dőlt"
Európai uniós és hazai forrásból megvalósuló projektek 
támogatástartalmának bemutatása 2015-2022. évekre (eFt-ban)</oddHeader>
    <oddFooter>&amp;L&amp;11 &amp;X16&amp;XMódosította a  13/2019.(V.20.) önkormányzati rendelet 6.§ (16) bekezdése, hatályos 2019. május 21-től.</oddFooter>
  </headerFooter>
  <rowBreaks count="1" manualBreakCount="1">
    <brk id="28" max="16383" man="1"/>
  </rowBreaks>
  <colBreaks count="1" manualBreakCount="1">
    <brk id="16"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H31"/>
  <sheetViews>
    <sheetView zoomScaleNormal="100" workbookViewId="0">
      <selection activeCell="C35" sqref="C35"/>
    </sheetView>
  </sheetViews>
  <sheetFormatPr defaultColWidth="8" defaultRowHeight="15.75" x14ac:dyDescent="0.25"/>
  <cols>
    <col min="1" max="1" width="36" style="12" bestFit="1" customWidth="1"/>
    <col min="2" max="2" width="28.125" style="12" customWidth="1"/>
    <col min="3" max="3" width="18.125" style="47" customWidth="1"/>
    <col min="4" max="4" width="17.375" style="47" customWidth="1"/>
    <col min="5" max="5" width="16.5" style="47" customWidth="1"/>
    <col min="6" max="6" width="18.25" style="47" customWidth="1"/>
    <col min="7" max="16384" width="8" style="12"/>
  </cols>
  <sheetData>
    <row r="1" spans="1:8" s="6" customFormat="1" ht="32.25" thickTop="1" x14ac:dyDescent="0.25">
      <c r="A1" s="1" t="s">
        <v>165</v>
      </c>
      <c r="B1" s="2" t="s">
        <v>177</v>
      </c>
      <c r="C1" s="3" t="s">
        <v>178</v>
      </c>
      <c r="D1" s="4" t="s">
        <v>179</v>
      </c>
      <c r="E1" s="4" t="s">
        <v>180</v>
      </c>
      <c r="F1" s="5" t="s">
        <v>181</v>
      </c>
    </row>
    <row r="2" spans="1:8" x14ac:dyDescent="0.25">
      <c r="A2" s="7" t="s">
        <v>182</v>
      </c>
      <c r="B2" s="8"/>
      <c r="C2" s="9"/>
      <c r="D2" s="10"/>
      <c r="E2" s="9"/>
      <c r="F2" s="11"/>
    </row>
    <row r="3" spans="1:8" s="19" customFormat="1" x14ac:dyDescent="0.25">
      <c r="A3" s="13" t="s">
        <v>183</v>
      </c>
      <c r="B3" s="14"/>
      <c r="C3" s="15"/>
      <c r="D3" s="16"/>
      <c r="E3" s="15"/>
      <c r="F3" s="17"/>
      <c r="G3" s="18"/>
      <c r="H3" s="18"/>
    </row>
    <row r="4" spans="1:8" s="26" customFormat="1" ht="31.5" x14ac:dyDescent="0.25">
      <c r="A4" s="20" t="s">
        <v>184</v>
      </c>
      <c r="B4" s="21" t="s">
        <v>185</v>
      </c>
      <c r="C4" s="22"/>
      <c r="D4" s="23">
        <v>13234</v>
      </c>
      <c r="E4" s="22"/>
      <c r="F4" s="24">
        <f>SUM(C4:E4)</f>
        <v>13234</v>
      </c>
      <c r="G4" s="25"/>
      <c r="H4" s="25"/>
    </row>
    <row r="5" spans="1:8" s="26" customFormat="1" ht="31.5" x14ac:dyDescent="0.25">
      <c r="A5" s="20" t="s">
        <v>186</v>
      </c>
      <c r="B5" s="27" t="s">
        <v>590</v>
      </c>
      <c r="C5" s="22"/>
      <c r="D5" s="22">
        <v>29770</v>
      </c>
      <c r="E5" s="22"/>
      <c r="F5" s="24">
        <f>SUM(C5:E5)</f>
        <v>29770</v>
      </c>
      <c r="G5" s="25"/>
      <c r="H5" s="25"/>
    </row>
    <row r="6" spans="1:8" s="26" customFormat="1" x14ac:dyDescent="0.25">
      <c r="A6" s="20" t="s">
        <v>340</v>
      </c>
      <c r="B6" s="27" t="s">
        <v>341</v>
      </c>
      <c r="C6" s="22"/>
      <c r="D6" s="22"/>
      <c r="E6" s="22">
        <v>164</v>
      </c>
      <c r="F6" s="24">
        <f>SUM(C6:E6)</f>
        <v>164</v>
      </c>
      <c r="G6" s="25"/>
      <c r="H6" s="25"/>
    </row>
    <row r="7" spans="1:8" s="19" customFormat="1" x14ac:dyDescent="0.25">
      <c r="A7" s="13" t="s">
        <v>187</v>
      </c>
      <c r="B7" s="14"/>
      <c r="C7" s="15">
        <f>SUM(C4:C4)</f>
        <v>0</v>
      </c>
      <c r="D7" s="15">
        <f>SUM(D4:D6)</f>
        <v>43004</v>
      </c>
      <c r="E7" s="15">
        <f>SUM(E4:E6)</f>
        <v>164</v>
      </c>
      <c r="F7" s="28">
        <f>SUM(F4:F6)</f>
        <v>43168</v>
      </c>
      <c r="G7" s="18"/>
      <c r="H7" s="18"/>
    </row>
    <row r="8" spans="1:8" s="19" customFormat="1" x14ac:dyDescent="0.25">
      <c r="A8" s="13" t="s">
        <v>188</v>
      </c>
      <c r="B8" s="14"/>
      <c r="C8" s="15"/>
      <c r="D8" s="15"/>
      <c r="E8" s="15"/>
      <c r="F8" s="28"/>
      <c r="G8" s="18"/>
      <c r="H8" s="18"/>
    </row>
    <row r="9" spans="1:8" s="26" customFormat="1" x14ac:dyDescent="0.25">
      <c r="A9" s="20" t="s">
        <v>189</v>
      </c>
      <c r="B9" s="21" t="s">
        <v>190</v>
      </c>
      <c r="C9" s="22"/>
      <c r="D9" s="22">
        <v>28594</v>
      </c>
      <c r="E9" s="22"/>
      <c r="F9" s="24">
        <f>SUM(C9:E9)</f>
        <v>28594</v>
      </c>
      <c r="G9" s="25"/>
      <c r="H9" s="25"/>
    </row>
    <row r="10" spans="1:8" s="19" customFormat="1" x14ac:dyDescent="0.25">
      <c r="A10" s="13" t="s">
        <v>191</v>
      </c>
      <c r="B10" s="14"/>
      <c r="C10" s="15">
        <f>SUM(C9)</f>
        <v>0</v>
      </c>
      <c r="D10" s="15">
        <f>SUM(D9)</f>
        <v>28594</v>
      </c>
      <c r="E10" s="15">
        <f>SUM(E9)</f>
        <v>0</v>
      </c>
      <c r="F10" s="28">
        <f>SUM(F9)</f>
        <v>28594</v>
      </c>
      <c r="G10" s="18"/>
      <c r="H10" s="18"/>
    </row>
    <row r="11" spans="1:8" s="19" customFormat="1" x14ac:dyDescent="0.25">
      <c r="A11" s="13" t="s">
        <v>192</v>
      </c>
      <c r="B11" s="14"/>
      <c r="C11" s="15"/>
      <c r="D11" s="16"/>
      <c r="E11" s="15"/>
      <c r="F11" s="17"/>
      <c r="G11" s="18"/>
      <c r="H11" s="18"/>
    </row>
    <row r="12" spans="1:8" s="26" customFormat="1" ht="31.5" x14ac:dyDescent="0.25">
      <c r="A12" s="20" t="s">
        <v>193</v>
      </c>
      <c r="B12" s="27" t="s">
        <v>194</v>
      </c>
      <c r="C12" s="22"/>
      <c r="D12" s="23">
        <v>6290</v>
      </c>
      <c r="E12" s="22"/>
      <c r="F12" s="24">
        <f>SUM(C12:E12)</f>
        <v>6290</v>
      </c>
      <c r="G12" s="25"/>
      <c r="H12" s="25"/>
    </row>
    <row r="13" spans="1:8" s="26" customFormat="1" ht="31.5" x14ac:dyDescent="0.25">
      <c r="A13" s="20" t="s">
        <v>195</v>
      </c>
      <c r="B13" s="27" t="s">
        <v>196</v>
      </c>
      <c r="C13" s="22"/>
      <c r="D13" s="23">
        <v>0</v>
      </c>
      <c r="E13" s="22"/>
      <c r="F13" s="24">
        <f>SUM(C13:E13)</f>
        <v>0</v>
      </c>
      <c r="G13" s="25"/>
      <c r="H13" s="25"/>
    </row>
    <row r="14" spans="1:8" s="26" customFormat="1" ht="31.5" x14ac:dyDescent="0.25">
      <c r="A14" s="20" t="s">
        <v>197</v>
      </c>
      <c r="B14" s="27" t="s">
        <v>198</v>
      </c>
      <c r="C14" s="22"/>
      <c r="D14" s="23">
        <v>13477</v>
      </c>
      <c r="E14" s="22"/>
      <c r="F14" s="24">
        <f>SUM(C14:E14)</f>
        <v>13477</v>
      </c>
      <c r="G14" s="25"/>
      <c r="H14" s="25"/>
    </row>
    <row r="15" spans="1:8" s="26" customFormat="1" ht="31.5" x14ac:dyDescent="0.25">
      <c r="A15" s="20" t="s">
        <v>199</v>
      </c>
      <c r="B15" s="27" t="s">
        <v>200</v>
      </c>
      <c r="C15" s="22"/>
      <c r="D15" s="23">
        <v>974</v>
      </c>
      <c r="E15" s="22"/>
      <c r="F15" s="24">
        <f>SUM(C15:E15)</f>
        <v>974</v>
      </c>
      <c r="G15" s="25"/>
      <c r="H15" s="25"/>
    </row>
    <row r="16" spans="1:8" s="26" customFormat="1" ht="31.5" x14ac:dyDescent="0.25">
      <c r="A16" s="20" t="s">
        <v>201</v>
      </c>
      <c r="B16" s="27" t="s">
        <v>202</v>
      </c>
      <c r="C16" s="22"/>
      <c r="D16" s="23">
        <v>928</v>
      </c>
      <c r="E16" s="22"/>
      <c r="F16" s="24">
        <f>SUM(C16:E16)</f>
        <v>928</v>
      </c>
      <c r="G16" s="25"/>
      <c r="H16" s="25"/>
    </row>
    <row r="17" spans="1:8" s="19" customFormat="1" x14ac:dyDescent="0.25">
      <c r="A17" s="13" t="s">
        <v>203</v>
      </c>
      <c r="B17" s="14"/>
      <c r="C17" s="15">
        <f>SUM(C12:C16)</f>
        <v>0</v>
      </c>
      <c r="D17" s="15">
        <f>SUM(D12:D16)</f>
        <v>21669</v>
      </c>
      <c r="E17" s="15">
        <f>SUM(E12:E16)</f>
        <v>0</v>
      </c>
      <c r="F17" s="28">
        <f>SUM(F12:F16)</f>
        <v>21669</v>
      </c>
      <c r="G17" s="18"/>
      <c r="H17" s="18"/>
    </row>
    <row r="18" spans="1:8" x14ac:dyDescent="0.25">
      <c r="A18" s="29" t="s">
        <v>204</v>
      </c>
      <c r="B18" s="30"/>
      <c r="C18" s="31">
        <f>SUM(C17+C7+C10)</f>
        <v>0</v>
      </c>
      <c r="D18" s="31">
        <f>SUM(D17+D7+D10)</f>
        <v>93267</v>
      </c>
      <c r="E18" s="31">
        <f>SUM(E17+E7+E10)</f>
        <v>164</v>
      </c>
      <c r="F18" s="32">
        <f>SUM(F17+F7+F10)</f>
        <v>93431</v>
      </c>
    </row>
    <row r="19" spans="1:8" x14ac:dyDescent="0.25">
      <c r="A19" s="33" t="s">
        <v>205</v>
      </c>
      <c r="B19" s="34"/>
      <c r="C19" s="10" t="s">
        <v>206</v>
      </c>
      <c r="D19" s="10"/>
      <c r="E19" s="10"/>
      <c r="F19" s="11"/>
    </row>
    <row r="20" spans="1:8" ht="33.75" customHeight="1" x14ac:dyDescent="0.25">
      <c r="A20" s="7" t="s">
        <v>207</v>
      </c>
      <c r="B20" s="35" t="s">
        <v>208</v>
      </c>
      <c r="C20" s="23"/>
      <c r="D20" s="23">
        <v>9296</v>
      </c>
      <c r="E20" s="23"/>
      <c r="F20" s="11">
        <f t="shared" ref="F20:F26" si="0">SUM(C20:E20)</f>
        <v>9296</v>
      </c>
    </row>
    <row r="21" spans="1:8" ht="31.5" x14ac:dyDescent="0.25">
      <c r="A21" s="7" t="s">
        <v>209</v>
      </c>
      <c r="B21" s="21" t="s">
        <v>210</v>
      </c>
      <c r="C21" s="22"/>
      <c r="D21" s="22">
        <v>957</v>
      </c>
      <c r="E21" s="22"/>
      <c r="F21" s="11">
        <f t="shared" si="0"/>
        <v>957</v>
      </c>
    </row>
    <row r="22" spans="1:8" ht="31.5" x14ac:dyDescent="0.25">
      <c r="A22" s="7" t="s">
        <v>211</v>
      </c>
      <c r="B22" s="21" t="s">
        <v>212</v>
      </c>
      <c r="C22" s="22"/>
      <c r="D22" s="22">
        <v>16471</v>
      </c>
      <c r="E22" s="22"/>
      <c r="F22" s="11">
        <f t="shared" si="0"/>
        <v>16471</v>
      </c>
    </row>
    <row r="23" spans="1:8" ht="31.5" x14ac:dyDescent="0.25">
      <c r="A23" s="7" t="s">
        <v>213</v>
      </c>
      <c r="B23" s="21" t="s">
        <v>214</v>
      </c>
      <c r="C23" s="22"/>
      <c r="D23" s="22">
        <v>1687</v>
      </c>
      <c r="E23" s="22"/>
      <c r="F23" s="11">
        <f t="shared" si="0"/>
        <v>1687</v>
      </c>
    </row>
    <row r="24" spans="1:8" x14ac:dyDescent="0.25">
      <c r="A24" s="7" t="s">
        <v>542</v>
      </c>
      <c r="B24" s="21" t="s">
        <v>541</v>
      </c>
      <c r="C24" s="22"/>
      <c r="D24" s="22">
        <v>1722</v>
      </c>
      <c r="E24" s="22"/>
      <c r="F24" s="11">
        <f t="shared" si="0"/>
        <v>1722</v>
      </c>
    </row>
    <row r="25" spans="1:8" ht="31.5" x14ac:dyDescent="0.25">
      <c r="A25" s="7" t="s">
        <v>215</v>
      </c>
      <c r="B25" s="27" t="s">
        <v>216</v>
      </c>
      <c r="C25" s="22">
        <v>53324</v>
      </c>
      <c r="D25" s="22"/>
      <c r="E25" s="22"/>
      <c r="F25" s="11">
        <f t="shared" si="0"/>
        <v>53324</v>
      </c>
    </row>
    <row r="26" spans="1:8" x14ac:dyDescent="0.25">
      <c r="A26" s="20" t="s">
        <v>340</v>
      </c>
      <c r="B26" s="27" t="s">
        <v>341</v>
      </c>
      <c r="C26" s="22"/>
      <c r="D26" s="22"/>
      <c r="E26" s="22">
        <v>83</v>
      </c>
      <c r="F26" s="11">
        <f t="shared" si="0"/>
        <v>83</v>
      </c>
    </row>
    <row r="27" spans="1:8" x14ac:dyDescent="0.25">
      <c r="A27" s="36" t="s">
        <v>217</v>
      </c>
      <c r="B27" s="37"/>
      <c r="C27" s="31">
        <f>SUM(C20:C26)</f>
        <v>53324</v>
      </c>
      <c r="D27" s="31">
        <f>SUM(D20:D26)</f>
        <v>30133</v>
      </c>
      <c r="E27" s="38">
        <f>E26</f>
        <v>83</v>
      </c>
      <c r="F27" s="32">
        <f>SUM(F20:F26)</f>
        <v>83540</v>
      </c>
    </row>
    <row r="28" spans="1:8" x14ac:dyDescent="0.25">
      <c r="A28" s="39" t="s">
        <v>218</v>
      </c>
      <c r="B28" s="37"/>
      <c r="C28" s="23"/>
      <c r="D28" s="23"/>
      <c r="E28" s="40">
        <v>0</v>
      </c>
      <c r="F28" s="41">
        <f>SUM(C28:E28)</f>
        <v>0</v>
      </c>
    </row>
    <row r="29" spans="1:8" ht="31.5" x14ac:dyDescent="0.25">
      <c r="A29" s="42" t="s">
        <v>219</v>
      </c>
      <c r="B29" s="37"/>
      <c r="C29" s="23"/>
      <c r="D29" s="23"/>
      <c r="E29" s="31">
        <v>0</v>
      </c>
      <c r="F29" s="32">
        <f>SUM(C29:E29)</f>
        <v>0</v>
      </c>
    </row>
    <row r="30" spans="1:8" ht="16.5" thickBot="1" x14ac:dyDescent="0.3">
      <c r="A30" s="43" t="s">
        <v>167</v>
      </c>
      <c r="B30" s="44"/>
      <c r="C30" s="45">
        <f>SUM(C29+C28+C27+C18)</f>
        <v>53324</v>
      </c>
      <c r="D30" s="45">
        <f>SUM(D29+D28+D27+D18)</f>
        <v>123400</v>
      </c>
      <c r="E30" s="45">
        <f>SUM(E29+E28+E27+E18)</f>
        <v>247</v>
      </c>
      <c r="F30" s="46">
        <f>SUM(F29+F28+F27+F18)</f>
        <v>176971</v>
      </c>
    </row>
    <row r="31" spans="1:8" ht="16.5" thickTop="1" x14ac:dyDescent="0.25"/>
  </sheetData>
  <phoneticPr fontId="29" type="noConversion"/>
  <printOptions horizontalCentered="1"/>
  <pageMargins left="0.51181102362204722" right="0.27559055118110237" top="1.4960629921259843" bottom="0.39370078740157483" header="0.43307086614173229" footer="0.19685039370078741"/>
  <pageSetup paperSize="9" scale="95" orientation="landscape" r:id="rId1"/>
  <headerFooter alignWithMargins="0">
    <oddHeader>&amp;C&amp;"Times New Roman CE,Félkövér"
Kimutatás a közvetett támogatásokról eFt-ban&amp;R&amp;"Times New Roman CE,Félkövér"20. melléklet
&amp;11 az 5/2019.(II.15.) önkormányzati rendelethez</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E2107"/>
  <sheetViews>
    <sheetView zoomScaleNormal="100" workbookViewId="0">
      <selection activeCell="C35" sqref="C35"/>
    </sheetView>
  </sheetViews>
  <sheetFormatPr defaultRowHeight="15.75" x14ac:dyDescent="0.25"/>
  <cols>
    <col min="1" max="1" width="39.25" customWidth="1"/>
    <col min="2" max="2" width="11.625" customWidth="1"/>
    <col min="3" max="3" width="11.75" customWidth="1"/>
    <col min="4" max="4" width="11.5" customWidth="1"/>
    <col min="5" max="5" width="11.875" customWidth="1"/>
  </cols>
  <sheetData>
    <row r="1" spans="1:5" x14ac:dyDescent="0.25">
      <c r="A1" s="1098" t="s">
        <v>812</v>
      </c>
      <c r="B1" s="1098"/>
      <c r="C1" s="1098"/>
      <c r="D1" s="1098"/>
      <c r="E1" s="1098"/>
    </row>
    <row r="2" spans="1:5" x14ac:dyDescent="0.25">
      <c r="A2" s="1098" t="s">
        <v>451</v>
      </c>
      <c r="B2" s="1098"/>
      <c r="C2" s="1098"/>
      <c r="D2" s="1098"/>
      <c r="E2" s="1098"/>
    </row>
    <row r="3" spans="1:5" x14ac:dyDescent="0.25">
      <c r="A3" s="113"/>
      <c r="B3" s="114"/>
      <c r="C3" s="114"/>
      <c r="D3" s="114"/>
      <c r="E3" s="114"/>
    </row>
    <row r="4" spans="1:5" ht="16.5" thickBot="1" x14ac:dyDescent="0.3">
      <c r="A4" s="113"/>
      <c r="B4" s="114"/>
      <c r="C4" s="114"/>
      <c r="D4" s="114"/>
      <c r="E4" s="114"/>
    </row>
    <row r="5" spans="1:5" ht="33" customHeight="1" thickTop="1" thickBot="1" x14ac:dyDescent="0.3">
      <c r="A5" s="163" t="s">
        <v>454</v>
      </c>
      <c r="B5" s="164" t="s">
        <v>452</v>
      </c>
      <c r="C5" s="164" t="s">
        <v>453</v>
      </c>
      <c r="D5" s="164" t="s">
        <v>432</v>
      </c>
      <c r="E5" s="164" t="s">
        <v>433</v>
      </c>
    </row>
    <row r="6" spans="1:5" ht="16.5" customHeight="1" thickTop="1" x14ac:dyDescent="0.25">
      <c r="A6" s="165" t="s">
        <v>393</v>
      </c>
      <c r="B6" s="128">
        <v>9100</v>
      </c>
      <c r="C6" s="128">
        <v>1401</v>
      </c>
      <c r="D6" s="128"/>
      <c r="E6" s="128"/>
    </row>
    <row r="7" spans="1:5" ht="16.5" customHeight="1" thickBot="1" x14ac:dyDescent="0.3">
      <c r="A7" s="166" t="s">
        <v>394</v>
      </c>
      <c r="B7" s="128">
        <v>3420</v>
      </c>
      <c r="C7" s="128">
        <v>545</v>
      </c>
      <c r="D7" s="128">
        <v>9634</v>
      </c>
      <c r="E7" s="128">
        <v>2601</v>
      </c>
    </row>
    <row r="8" spans="1:5" ht="17.25" customHeight="1" thickTop="1" thickBot="1" x14ac:dyDescent="0.3">
      <c r="A8" s="210" t="s">
        <v>455</v>
      </c>
      <c r="B8" s="112">
        <f>SUM(B6:B7)</f>
        <v>12520</v>
      </c>
      <c r="C8" s="112">
        <f t="shared" ref="C8:E8" si="0">SUM(C6:C7)</f>
        <v>1946</v>
      </c>
      <c r="D8" s="112">
        <f t="shared" si="0"/>
        <v>9634</v>
      </c>
      <c r="E8" s="112">
        <f t="shared" si="0"/>
        <v>2601</v>
      </c>
    </row>
    <row r="9" spans="1:5" ht="16.5" customHeight="1" thickTop="1" x14ac:dyDescent="0.25">
      <c r="A9" s="211" t="s">
        <v>396</v>
      </c>
      <c r="B9" s="212">
        <v>5262</v>
      </c>
      <c r="C9" s="128">
        <v>519</v>
      </c>
      <c r="D9" s="128">
        <v>3450</v>
      </c>
      <c r="E9" s="128">
        <v>932</v>
      </c>
    </row>
    <row r="10" spans="1:5" ht="16.5" customHeight="1" x14ac:dyDescent="0.25">
      <c r="A10" s="213" t="s">
        <v>566</v>
      </c>
      <c r="B10" s="212">
        <v>5268</v>
      </c>
      <c r="C10" s="128">
        <v>664</v>
      </c>
      <c r="D10" s="128">
        <v>3477</v>
      </c>
      <c r="E10" s="128">
        <v>939</v>
      </c>
    </row>
    <row r="11" spans="1:5" ht="16.5" customHeight="1" x14ac:dyDescent="0.25">
      <c r="A11" s="214" t="s">
        <v>397</v>
      </c>
      <c r="B11" s="212">
        <v>2887</v>
      </c>
      <c r="C11" s="128">
        <v>779</v>
      </c>
      <c r="D11" s="128">
        <v>3427</v>
      </c>
      <c r="E11" s="128">
        <v>925</v>
      </c>
    </row>
    <row r="12" spans="1:5" ht="16.5" customHeight="1" x14ac:dyDescent="0.25">
      <c r="A12" s="213" t="s">
        <v>513</v>
      </c>
      <c r="B12" s="212">
        <v>1745</v>
      </c>
      <c r="C12" s="128">
        <v>471</v>
      </c>
      <c r="D12" s="128">
        <v>1438</v>
      </c>
      <c r="E12" s="128">
        <v>388</v>
      </c>
    </row>
    <row r="13" spans="1:5" ht="16.5" customHeight="1" x14ac:dyDescent="0.25">
      <c r="A13" s="214" t="s">
        <v>575</v>
      </c>
      <c r="B13" s="212">
        <v>6946</v>
      </c>
      <c r="C13" s="128">
        <v>612</v>
      </c>
      <c r="D13" s="128">
        <v>4274</v>
      </c>
      <c r="E13" s="128">
        <v>1154</v>
      </c>
    </row>
    <row r="14" spans="1:5" ht="16.5" customHeight="1" thickBot="1" x14ac:dyDescent="0.3">
      <c r="A14" s="215" t="s">
        <v>591</v>
      </c>
      <c r="B14" s="212">
        <v>3900</v>
      </c>
      <c r="C14" s="128">
        <v>431</v>
      </c>
      <c r="D14" s="128">
        <v>3637</v>
      </c>
      <c r="E14" s="128">
        <v>982</v>
      </c>
    </row>
    <row r="15" spans="1:5" ht="17.25" customHeight="1" thickTop="1" thickBot="1" x14ac:dyDescent="0.3">
      <c r="A15" s="216" t="s">
        <v>398</v>
      </c>
      <c r="B15" s="112">
        <f>SUM(B9:B14)</f>
        <v>26008</v>
      </c>
      <c r="C15" s="112">
        <f t="shared" ref="C15:E15" si="1">SUM(C9:C14)</f>
        <v>3476</v>
      </c>
      <c r="D15" s="112">
        <f t="shared" si="1"/>
        <v>19703</v>
      </c>
      <c r="E15" s="112">
        <f t="shared" si="1"/>
        <v>5320</v>
      </c>
    </row>
    <row r="16" spans="1:5" ht="16.5" customHeight="1" thickTop="1" x14ac:dyDescent="0.25">
      <c r="A16" s="168" t="s">
        <v>399</v>
      </c>
      <c r="B16" s="128">
        <v>11796</v>
      </c>
      <c r="C16" s="128">
        <v>1184</v>
      </c>
      <c r="D16" s="128">
        <v>33957</v>
      </c>
      <c r="E16" s="128">
        <v>9168</v>
      </c>
    </row>
    <row r="17" spans="1:5" ht="16.5" customHeight="1" x14ac:dyDescent="0.25">
      <c r="A17" s="168" t="s">
        <v>592</v>
      </c>
      <c r="B17" s="128">
        <v>9121</v>
      </c>
      <c r="C17" s="128">
        <v>1011</v>
      </c>
      <c r="D17" s="128">
        <v>34104</v>
      </c>
      <c r="E17" s="128">
        <v>9208</v>
      </c>
    </row>
    <row r="18" spans="1:5" ht="16.5" customHeight="1" x14ac:dyDescent="0.25">
      <c r="A18" s="168" t="s">
        <v>593</v>
      </c>
      <c r="B18" s="128">
        <v>13270</v>
      </c>
      <c r="C18" s="128">
        <v>3583</v>
      </c>
      <c r="D18" s="128">
        <v>55133</v>
      </c>
      <c r="E18" s="128">
        <v>14886</v>
      </c>
    </row>
    <row r="19" spans="1:5" ht="16.5" customHeight="1" x14ac:dyDescent="0.25">
      <c r="A19" s="168" t="s">
        <v>400</v>
      </c>
      <c r="B19" s="128">
        <v>5704</v>
      </c>
      <c r="C19" s="128">
        <v>1134</v>
      </c>
      <c r="D19" s="128">
        <v>33764</v>
      </c>
      <c r="E19" s="128">
        <v>9116</v>
      </c>
    </row>
    <row r="20" spans="1:5" ht="16.5" customHeight="1" x14ac:dyDescent="0.25">
      <c r="A20" s="168" t="s">
        <v>401</v>
      </c>
      <c r="B20" s="128">
        <v>12000</v>
      </c>
      <c r="C20" s="128">
        <v>1360</v>
      </c>
      <c r="D20" s="128">
        <v>31563</v>
      </c>
      <c r="E20" s="128">
        <v>8522</v>
      </c>
    </row>
    <row r="21" spans="1:5" ht="16.5" customHeight="1" x14ac:dyDescent="0.25">
      <c r="A21" s="168" t="s">
        <v>402</v>
      </c>
      <c r="B21" s="128">
        <v>8904</v>
      </c>
      <c r="C21" s="128">
        <v>2404</v>
      </c>
      <c r="D21" s="128">
        <v>26531</v>
      </c>
      <c r="E21" s="128">
        <v>7163</v>
      </c>
    </row>
    <row r="22" spans="1:5" ht="16.5" customHeight="1" x14ac:dyDescent="0.25">
      <c r="A22" s="168" t="s">
        <v>31</v>
      </c>
      <c r="B22" s="128">
        <v>8993</v>
      </c>
      <c r="C22" s="128">
        <v>1520</v>
      </c>
      <c r="D22" s="128">
        <v>42809</v>
      </c>
      <c r="E22" s="128">
        <v>11558</v>
      </c>
    </row>
    <row r="23" spans="1:5" ht="16.5" customHeight="1" x14ac:dyDescent="0.25">
      <c r="A23" s="168" t="s">
        <v>514</v>
      </c>
      <c r="B23" s="128">
        <v>11780</v>
      </c>
      <c r="C23" s="128">
        <v>1205</v>
      </c>
      <c r="D23" s="128">
        <v>30690</v>
      </c>
      <c r="E23" s="128">
        <v>8286</v>
      </c>
    </row>
    <row r="24" spans="1:5" ht="16.5" customHeight="1" x14ac:dyDescent="0.25">
      <c r="A24" s="168" t="s">
        <v>403</v>
      </c>
      <c r="B24" s="128">
        <v>2887</v>
      </c>
      <c r="C24" s="128">
        <v>779</v>
      </c>
      <c r="D24" s="128">
        <v>9324</v>
      </c>
      <c r="E24" s="128">
        <v>2517</v>
      </c>
    </row>
    <row r="25" spans="1:5" ht="16.5" customHeight="1" x14ac:dyDescent="0.25">
      <c r="A25" s="168" t="s">
        <v>515</v>
      </c>
      <c r="B25" s="128">
        <v>11676</v>
      </c>
      <c r="C25" s="128">
        <v>1613</v>
      </c>
      <c r="D25" s="128">
        <v>39689</v>
      </c>
      <c r="E25" s="128">
        <v>10716</v>
      </c>
    </row>
    <row r="26" spans="1:5" ht="16.5" customHeight="1" x14ac:dyDescent="0.25">
      <c r="A26" s="168" t="s">
        <v>404</v>
      </c>
      <c r="B26" s="128">
        <v>10758</v>
      </c>
      <c r="C26" s="128">
        <v>1858</v>
      </c>
      <c r="D26" s="128">
        <v>38929</v>
      </c>
      <c r="E26" s="128">
        <v>10511</v>
      </c>
    </row>
    <row r="27" spans="1:5" ht="16.5" customHeight="1" thickBot="1" x14ac:dyDescent="0.3">
      <c r="A27" s="168" t="s">
        <v>32</v>
      </c>
      <c r="B27" s="128">
        <v>7980</v>
      </c>
      <c r="C27" s="128">
        <v>842</v>
      </c>
      <c r="D27" s="128">
        <v>37464</v>
      </c>
      <c r="E27" s="128">
        <v>10115</v>
      </c>
    </row>
    <row r="28" spans="1:5" ht="17.25" customHeight="1" thickTop="1" thickBot="1" x14ac:dyDescent="0.3">
      <c r="A28" s="167" t="s">
        <v>405</v>
      </c>
      <c r="B28" s="112">
        <f>SUM(B16:B27)</f>
        <v>114869</v>
      </c>
      <c r="C28" s="112">
        <f t="shared" ref="C28:E28" si="2">SUM(C16:C27)</f>
        <v>18493</v>
      </c>
      <c r="D28" s="112">
        <f t="shared" si="2"/>
        <v>413957</v>
      </c>
      <c r="E28" s="112">
        <f t="shared" si="2"/>
        <v>111766</v>
      </c>
    </row>
    <row r="29" spans="1:5" ht="17.25" thickTop="1" thickBot="1" x14ac:dyDescent="0.3">
      <c r="A29" s="167" t="s">
        <v>431</v>
      </c>
      <c r="B29" s="112">
        <f>B28+B15+B8</f>
        <v>153397</v>
      </c>
      <c r="C29" s="112">
        <f t="shared" ref="C29:E29" si="3">C28+C15+C8</f>
        <v>23915</v>
      </c>
      <c r="D29" s="112">
        <f t="shared" si="3"/>
        <v>443294</v>
      </c>
      <c r="E29" s="112">
        <f t="shared" si="3"/>
        <v>119687</v>
      </c>
    </row>
    <row r="30" spans="1:5" ht="16.5" customHeight="1" thickTop="1" x14ac:dyDescent="0.25">
      <c r="A30" s="168" t="s">
        <v>33</v>
      </c>
      <c r="B30" s="128">
        <v>45900</v>
      </c>
      <c r="C30" s="128">
        <v>11513</v>
      </c>
      <c r="D30" s="128">
        <v>204116</v>
      </c>
      <c r="E30" s="128">
        <v>55111</v>
      </c>
    </row>
    <row r="31" spans="1:5" ht="34.5" customHeight="1" x14ac:dyDescent="0.25">
      <c r="A31" s="168" t="s">
        <v>561</v>
      </c>
      <c r="B31" s="128">
        <v>1840</v>
      </c>
      <c r="C31" s="128">
        <v>288</v>
      </c>
      <c r="D31" s="128"/>
      <c r="E31" s="128"/>
    </row>
    <row r="32" spans="1:5" ht="16.5" customHeight="1" thickBot="1" x14ac:dyDescent="0.3">
      <c r="A32" s="168" t="s">
        <v>407</v>
      </c>
      <c r="B32" s="128">
        <v>21972</v>
      </c>
      <c r="C32" s="128">
        <v>5793</v>
      </c>
      <c r="D32" s="128">
        <v>17360</v>
      </c>
      <c r="E32" s="128">
        <v>4687</v>
      </c>
    </row>
    <row r="33" spans="1:5" ht="17.25" customHeight="1" thickTop="1" thickBot="1" x14ac:dyDescent="0.3">
      <c r="A33" s="167" t="s">
        <v>408</v>
      </c>
      <c r="B33" s="112">
        <f>SUM(B30:B32)</f>
        <v>69712</v>
      </c>
      <c r="C33" s="112">
        <f t="shared" ref="C33:E33" si="4">SUM(C30:C32)</f>
        <v>17594</v>
      </c>
      <c r="D33" s="112">
        <f t="shared" si="4"/>
        <v>221476</v>
      </c>
      <c r="E33" s="112">
        <f t="shared" si="4"/>
        <v>59798</v>
      </c>
    </row>
    <row r="34" spans="1:5" ht="17.25" thickTop="1" thickBot="1" x14ac:dyDescent="0.3">
      <c r="A34" s="167" t="s">
        <v>434</v>
      </c>
      <c r="B34" s="112">
        <v>46313</v>
      </c>
      <c r="C34" s="112">
        <v>0</v>
      </c>
      <c r="D34" s="112">
        <v>818417</v>
      </c>
      <c r="E34" s="112">
        <v>220974</v>
      </c>
    </row>
    <row r="35" spans="1:5" ht="16.5" customHeight="1" thickTop="1" x14ac:dyDescent="0.25">
      <c r="A35" s="165" t="s">
        <v>410</v>
      </c>
      <c r="B35" s="128">
        <v>2889</v>
      </c>
      <c r="C35" s="128">
        <v>274</v>
      </c>
      <c r="D35" s="128"/>
      <c r="E35" s="128"/>
    </row>
    <row r="36" spans="1:5" ht="16.5" customHeight="1" x14ac:dyDescent="0.25">
      <c r="A36" s="165" t="s">
        <v>258</v>
      </c>
      <c r="B36" s="128">
        <v>13971</v>
      </c>
      <c r="C36" s="128">
        <v>1530</v>
      </c>
      <c r="D36" s="128"/>
      <c r="E36" s="128"/>
    </row>
    <row r="37" spans="1:5" ht="16.5" customHeight="1" x14ac:dyDescent="0.25">
      <c r="A37" s="165" t="s">
        <v>411</v>
      </c>
      <c r="B37" s="128">
        <v>38334</v>
      </c>
      <c r="C37" s="128">
        <v>6764</v>
      </c>
      <c r="D37" s="128"/>
      <c r="E37" s="128"/>
    </row>
    <row r="38" spans="1:5" ht="16.5" customHeight="1" x14ac:dyDescent="0.25">
      <c r="A38" s="165" t="s">
        <v>844</v>
      </c>
      <c r="B38" s="128">
        <v>1156</v>
      </c>
      <c r="C38" s="128">
        <v>312</v>
      </c>
      <c r="D38" s="128"/>
      <c r="E38" s="128"/>
    </row>
    <row r="39" spans="1:5" ht="16.5" customHeight="1" x14ac:dyDescent="0.25">
      <c r="A39" s="165" t="s">
        <v>516</v>
      </c>
      <c r="B39" s="118">
        <v>6366</v>
      </c>
      <c r="C39" s="118">
        <v>1719</v>
      </c>
      <c r="D39" s="118"/>
      <c r="E39" s="118"/>
    </row>
    <row r="40" spans="1:5" ht="16.5" customHeight="1" x14ac:dyDescent="0.25">
      <c r="A40" s="165" t="s">
        <v>412</v>
      </c>
      <c r="B40" s="128">
        <v>44960</v>
      </c>
      <c r="C40" s="128">
        <v>7386</v>
      </c>
      <c r="D40" s="128"/>
      <c r="E40" s="128"/>
    </row>
    <row r="41" spans="1:5" x14ac:dyDescent="0.25">
      <c r="A41" s="165" t="s">
        <v>845</v>
      </c>
      <c r="B41" s="128">
        <v>50</v>
      </c>
      <c r="C41" s="128">
        <v>14</v>
      </c>
      <c r="D41" s="128"/>
      <c r="E41" s="128"/>
    </row>
    <row r="42" spans="1:5" ht="16.5" thickBot="1" x14ac:dyDescent="0.3">
      <c r="A42" s="165" t="s">
        <v>413</v>
      </c>
      <c r="B42" s="128">
        <v>14723</v>
      </c>
      <c r="C42" s="128">
        <v>2227</v>
      </c>
      <c r="D42" s="128"/>
      <c r="E42" s="128"/>
    </row>
    <row r="43" spans="1:5" ht="17.25" thickTop="1" thickBot="1" x14ac:dyDescent="0.3">
      <c r="A43" s="110" t="s">
        <v>414</v>
      </c>
      <c r="B43" s="112">
        <f>SUM(B35:B42)</f>
        <v>122449</v>
      </c>
      <c r="C43" s="112">
        <f t="shared" ref="C43:E43" si="5">SUM(C35:C42)</f>
        <v>20226</v>
      </c>
      <c r="D43" s="112">
        <f t="shared" si="5"/>
        <v>0</v>
      </c>
      <c r="E43" s="112">
        <f t="shared" si="5"/>
        <v>0</v>
      </c>
    </row>
    <row r="44" spans="1:5" ht="17.25" thickTop="1" thickBot="1" x14ac:dyDescent="0.3">
      <c r="A44" s="169" t="s">
        <v>415</v>
      </c>
      <c r="B44" s="129">
        <f>B43+B34+B33+B29</f>
        <v>391871</v>
      </c>
      <c r="C44" s="129">
        <f t="shared" ref="C44:E44" si="6">C43+C34+C33+C29</f>
        <v>61735</v>
      </c>
      <c r="D44" s="129">
        <f t="shared" si="6"/>
        <v>1483187</v>
      </c>
      <c r="E44" s="129">
        <f t="shared" si="6"/>
        <v>400459</v>
      </c>
    </row>
    <row r="45" spans="1:5" ht="17.25" thickTop="1" thickBot="1" x14ac:dyDescent="0.3">
      <c r="A45" s="192" t="s">
        <v>34</v>
      </c>
      <c r="B45" s="193">
        <v>54076</v>
      </c>
      <c r="C45" s="193">
        <v>8524</v>
      </c>
      <c r="D45" s="193"/>
      <c r="E45" s="193"/>
    </row>
    <row r="46" spans="1:5" ht="17.25" thickTop="1" thickBot="1" x14ac:dyDescent="0.3">
      <c r="A46" s="110" t="s">
        <v>450</v>
      </c>
      <c r="B46" s="112">
        <f>B45+B44</f>
        <v>445947</v>
      </c>
      <c r="C46" s="112">
        <f t="shared" ref="C46:E46" si="7">C45+C44</f>
        <v>70259</v>
      </c>
      <c r="D46" s="112">
        <f t="shared" si="7"/>
        <v>1483187</v>
      </c>
      <c r="E46" s="112">
        <f t="shared" si="7"/>
        <v>400459</v>
      </c>
    </row>
    <row r="47" spans="1:5" ht="16.5" thickTop="1" x14ac:dyDescent="0.25">
      <c r="A47" s="113"/>
      <c r="B47" s="114"/>
      <c r="C47" s="114"/>
      <c r="D47" s="114"/>
      <c r="E47" s="114"/>
    </row>
    <row r="48" spans="1:5" x14ac:dyDescent="0.25">
      <c r="A48" s="113"/>
      <c r="B48" s="114"/>
      <c r="C48" s="114"/>
      <c r="D48" s="114"/>
      <c r="E48" s="114"/>
    </row>
    <row r="49" spans="1:5" x14ac:dyDescent="0.25">
      <c r="A49" s="113"/>
      <c r="B49" s="114"/>
      <c r="C49" s="114"/>
      <c r="D49" s="114"/>
      <c r="E49" s="114"/>
    </row>
    <row r="50" spans="1:5" x14ac:dyDescent="0.25">
      <c r="A50" s="113"/>
      <c r="B50" s="114"/>
      <c r="C50" s="114"/>
      <c r="D50" s="114"/>
      <c r="E50" s="114"/>
    </row>
    <row r="51" spans="1:5" x14ac:dyDescent="0.25">
      <c r="A51" s="113"/>
      <c r="B51" s="114"/>
      <c r="C51" s="114"/>
      <c r="D51" s="114"/>
      <c r="E51" s="114"/>
    </row>
    <row r="52" spans="1:5" x14ac:dyDescent="0.25">
      <c r="A52" s="113"/>
      <c r="B52" s="114"/>
      <c r="C52" s="114"/>
      <c r="D52" s="114"/>
      <c r="E52" s="114"/>
    </row>
    <row r="53" spans="1:5" x14ac:dyDescent="0.25">
      <c r="A53" s="113"/>
      <c r="B53" s="114"/>
      <c r="C53" s="114"/>
      <c r="D53" s="114"/>
      <c r="E53" s="114"/>
    </row>
    <row r="54" spans="1:5" x14ac:dyDescent="0.25">
      <c r="A54" s="113"/>
      <c r="B54" s="114"/>
      <c r="C54" s="114"/>
      <c r="D54" s="114"/>
      <c r="E54" s="114"/>
    </row>
    <row r="55" spans="1:5" x14ac:dyDescent="0.25">
      <c r="A55" s="113"/>
      <c r="B55" s="114"/>
      <c r="C55" s="114"/>
      <c r="D55" s="114"/>
      <c r="E55" s="114"/>
    </row>
    <row r="56" spans="1:5" x14ac:dyDescent="0.25">
      <c r="A56" s="113"/>
      <c r="B56" s="114"/>
      <c r="C56" s="114"/>
      <c r="D56" s="114"/>
      <c r="E56" s="114"/>
    </row>
    <row r="57" spans="1:5" x14ac:dyDescent="0.25">
      <c r="A57" s="113"/>
      <c r="B57" s="114"/>
      <c r="C57" s="114"/>
      <c r="D57" s="114"/>
      <c r="E57" s="114"/>
    </row>
    <row r="58" spans="1:5" x14ac:dyDescent="0.25">
      <c r="A58" s="113"/>
      <c r="B58" s="114"/>
      <c r="C58" s="114"/>
      <c r="D58" s="114"/>
      <c r="E58" s="114"/>
    </row>
    <row r="59" spans="1:5" x14ac:dyDescent="0.25">
      <c r="A59" s="113"/>
      <c r="B59" s="114"/>
      <c r="C59" s="114"/>
      <c r="D59" s="114"/>
      <c r="E59" s="114"/>
    </row>
    <row r="60" spans="1:5" x14ac:dyDescent="0.25">
      <c r="A60" s="113"/>
      <c r="B60" s="114"/>
      <c r="C60" s="114"/>
      <c r="D60" s="114"/>
      <c r="E60" s="114"/>
    </row>
    <row r="61" spans="1:5" x14ac:dyDescent="0.25">
      <c r="A61" s="113"/>
      <c r="B61" s="114"/>
      <c r="C61" s="114"/>
      <c r="D61" s="114"/>
      <c r="E61" s="114"/>
    </row>
    <row r="62" spans="1:5" x14ac:dyDescent="0.25">
      <c r="A62" s="113"/>
      <c r="B62" s="114"/>
      <c r="C62" s="114"/>
      <c r="D62" s="114"/>
      <c r="E62" s="114"/>
    </row>
    <row r="63" spans="1:5" x14ac:dyDescent="0.25">
      <c r="A63" s="113"/>
      <c r="B63" s="114"/>
      <c r="C63" s="114"/>
      <c r="D63" s="114"/>
      <c r="E63" s="114"/>
    </row>
    <row r="64" spans="1:5" x14ac:dyDescent="0.25">
      <c r="A64" s="113"/>
      <c r="B64" s="114"/>
      <c r="C64" s="114"/>
      <c r="D64" s="114"/>
      <c r="E64" s="114"/>
    </row>
    <row r="65" spans="1:5" x14ac:dyDescent="0.25">
      <c r="A65" s="113"/>
      <c r="B65" s="114"/>
      <c r="C65" s="114"/>
      <c r="D65" s="114"/>
      <c r="E65" s="114"/>
    </row>
    <row r="66" spans="1:5" x14ac:dyDescent="0.25">
      <c r="A66" s="113"/>
      <c r="B66" s="114"/>
      <c r="C66" s="114"/>
      <c r="D66" s="114"/>
      <c r="E66" s="114"/>
    </row>
    <row r="67" spans="1:5" x14ac:dyDescent="0.25">
      <c r="A67" s="113"/>
      <c r="B67" s="114"/>
      <c r="C67" s="114"/>
      <c r="D67" s="114"/>
      <c r="E67" s="114"/>
    </row>
    <row r="68" spans="1:5" x14ac:dyDescent="0.25">
      <c r="A68" s="113"/>
      <c r="B68" s="114"/>
      <c r="C68" s="114"/>
      <c r="D68" s="114"/>
      <c r="E68" s="114"/>
    </row>
    <row r="69" spans="1:5" x14ac:dyDescent="0.25">
      <c r="A69" s="113"/>
      <c r="B69" s="114"/>
      <c r="C69" s="114"/>
      <c r="D69" s="114"/>
      <c r="E69" s="114"/>
    </row>
    <row r="70" spans="1:5" x14ac:dyDescent="0.25">
      <c r="A70" s="113"/>
      <c r="B70" s="114"/>
      <c r="C70" s="114"/>
      <c r="D70" s="114"/>
      <c r="E70" s="114"/>
    </row>
    <row r="71" spans="1:5" x14ac:dyDescent="0.25">
      <c r="A71" s="113"/>
      <c r="B71" s="114"/>
      <c r="C71" s="114"/>
      <c r="D71" s="114"/>
      <c r="E71" s="114"/>
    </row>
    <row r="72" spans="1:5" x14ac:dyDescent="0.25">
      <c r="A72" s="113"/>
      <c r="B72" s="114"/>
      <c r="C72" s="114"/>
      <c r="D72" s="114"/>
      <c r="E72" s="114"/>
    </row>
    <row r="73" spans="1:5" x14ac:dyDescent="0.25">
      <c r="A73" s="113"/>
      <c r="B73" s="114"/>
      <c r="C73" s="114"/>
      <c r="D73" s="114"/>
      <c r="E73" s="114"/>
    </row>
    <row r="74" spans="1:5" x14ac:dyDescent="0.25">
      <c r="A74" s="113"/>
      <c r="B74" s="114"/>
      <c r="C74" s="114"/>
      <c r="D74" s="114"/>
      <c r="E74" s="114"/>
    </row>
    <row r="75" spans="1:5" x14ac:dyDescent="0.25">
      <c r="A75" s="113"/>
      <c r="B75" s="114"/>
      <c r="C75" s="114"/>
      <c r="D75" s="114"/>
      <c r="E75" s="114"/>
    </row>
    <row r="76" spans="1:5" x14ac:dyDescent="0.25">
      <c r="A76" s="113"/>
      <c r="B76" s="114"/>
      <c r="C76" s="114"/>
      <c r="D76" s="114"/>
      <c r="E76" s="114"/>
    </row>
    <row r="77" spans="1:5" x14ac:dyDescent="0.25">
      <c r="A77" s="113"/>
      <c r="B77" s="114"/>
      <c r="C77" s="114"/>
      <c r="D77" s="114"/>
      <c r="E77" s="114"/>
    </row>
    <row r="78" spans="1:5" x14ac:dyDescent="0.25">
      <c r="A78" s="113"/>
      <c r="B78" s="114"/>
      <c r="C78" s="114"/>
      <c r="D78" s="114"/>
      <c r="E78" s="114"/>
    </row>
    <row r="79" spans="1:5" x14ac:dyDescent="0.25">
      <c r="A79" s="113"/>
      <c r="B79" s="114"/>
      <c r="C79" s="114"/>
      <c r="D79" s="114"/>
      <c r="E79" s="114"/>
    </row>
    <row r="80" spans="1:5" x14ac:dyDescent="0.25">
      <c r="A80" s="113"/>
      <c r="B80" s="114"/>
      <c r="C80" s="114"/>
      <c r="D80" s="114"/>
      <c r="E80" s="114"/>
    </row>
    <row r="81" spans="1:5" x14ac:dyDescent="0.25">
      <c r="A81" s="113"/>
      <c r="B81" s="114"/>
      <c r="C81" s="114"/>
      <c r="D81" s="114"/>
      <c r="E81" s="114"/>
    </row>
    <row r="82" spans="1:5" x14ac:dyDescent="0.25">
      <c r="A82" s="113"/>
      <c r="B82" s="114"/>
      <c r="C82" s="114"/>
      <c r="D82" s="114"/>
      <c r="E82" s="114"/>
    </row>
    <row r="83" spans="1:5" x14ac:dyDescent="0.25">
      <c r="A83" s="113"/>
      <c r="B83" s="114"/>
      <c r="C83" s="114"/>
      <c r="D83" s="114"/>
      <c r="E83" s="114"/>
    </row>
    <row r="84" spans="1:5" x14ac:dyDescent="0.25">
      <c r="A84" s="113"/>
      <c r="B84" s="114"/>
      <c r="C84" s="114"/>
      <c r="D84" s="114"/>
      <c r="E84" s="114"/>
    </row>
    <row r="85" spans="1:5" x14ac:dyDescent="0.25">
      <c r="A85" s="113"/>
      <c r="B85" s="114"/>
      <c r="C85" s="114"/>
      <c r="D85" s="114"/>
      <c r="E85" s="114"/>
    </row>
    <row r="86" spans="1:5" x14ac:dyDescent="0.25">
      <c r="A86" s="113"/>
      <c r="B86" s="114"/>
      <c r="C86" s="114"/>
      <c r="D86" s="114"/>
      <c r="E86" s="114"/>
    </row>
    <row r="87" spans="1:5" x14ac:dyDescent="0.25">
      <c r="A87" s="113"/>
      <c r="B87" s="114"/>
      <c r="C87" s="114"/>
      <c r="D87" s="114"/>
      <c r="E87" s="114"/>
    </row>
    <row r="88" spans="1:5" x14ac:dyDescent="0.25">
      <c r="A88" s="113"/>
      <c r="B88" s="114"/>
      <c r="C88" s="114"/>
      <c r="D88" s="114"/>
      <c r="E88" s="114"/>
    </row>
    <row r="89" spans="1:5" x14ac:dyDescent="0.25">
      <c r="A89" s="113"/>
      <c r="B89" s="114"/>
      <c r="C89" s="114"/>
      <c r="D89" s="114"/>
      <c r="E89" s="114"/>
    </row>
    <row r="90" spans="1:5" x14ac:dyDescent="0.25">
      <c r="A90" s="113"/>
      <c r="B90" s="114"/>
      <c r="C90" s="114"/>
      <c r="D90" s="114"/>
      <c r="E90" s="114"/>
    </row>
    <row r="91" spans="1:5" x14ac:dyDescent="0.25">
      <c r="A91" s="113"/>
      <c r="B91" s="114"/>
      <c r="C91" s="114"/>
      <c r="D91" s="114"/>
      <c r="E91" s="114"/>
    </row>
    <row r="92" spans="1:5" x14ac:dyDescent="0.25">
      <c r="A92" s="113"/>
      <c r="B92" s="114"/>
      <c r="C92" s="114"/>
      <c r="D92" s="114"/>
      <c r="E92" s="114"/>
    </row>
    <row r="93" spans="1:5" x14ac:dyDescent="0.25">
      <c r="A93" s="113"/>
      <c r="B93" s="114"/>
      <c r="C93" s="114"/>
      <c r="D93" s="114"/>
      <c r="E93" s="114"/>
    </row>
    <row r="94" spans="1:5" x14ac:dyDescent="0.25">
      <c r="A94" s="113"/>
      <c r="B94" s="114"/>
      <c r="C94" s="114"/>
      <c r="D94" s="114"/>
      <c r="E94" s="114"/>
    </row>
    <row r="95" spans="1:5" x14ac:dyDescent="0.25">
      <c r="A95" s="113"/>
      <c r="B95" s="114"/>
      <c r="C95" s="114"/>
      <c r="D95" s="114"/>
      <c r="E95" s="114"/>
    </row>
    <row r="96" spans="1:5" x14ac:dyDescent="0.25">
      <c r="A96" s="113"/>
      <c r="B96" s="114"/>
      <c r="C96" s="114"/>
      <c r="D96" s="114"/>
      <c r="E96" s="114"/>
    </row>
    <row r="97" spans="1:5" x14ac:dyDescent="0.25">
      <c r="A97" s="113"/>
      <c r="B97" s="114"/>
      <c r="C97" s="114"/>
      <c r="D97" s="114"/>
      <c r="E97" s="114"/>
    </row>
    <row r="98" spans="1:5" x14ac:dyDescent="0.25">
      <c r="A98" s="113"/>
      <c r="B98" s="114"/>
      <c r="C98" s="114"/>
      <c r="D98" s="114"/>
      <c r="E98" s="114"/>
    </row>
    <row r="99" spans="1:5" x14ac:dyDescent="0.25">
      <c r="A99" s="113"/>
      <c r="B99" s="114"/>
      <c r="C99" s="114"/>
      <c r="D99" s="114"/>
      <c r="E99" s="114"/>
    </row>
    <row r="100" spans="1:5" x14ac:dyDescent="0.25">
      <c r="A100" s="113"/>
      <c r="B100" s="114"/>
      <c r="C100" s="114"/>
      <c r="D100" s="114"/>
      <c r="E100" s="114"/>
    </row>
    <row r="101" spans="1:5" x14ac:dyDescent="0.25">
      <c r="A101" s="113"/>
      <c r="B101" s="114"/>
      <c r="C101" s="114"/>
      <c r="D101" s="114"/>
      <c r="E101" s="114"/>
    </row>
    <row r="102" spans="1:5" x14ac:dyDescent="0.25">
      <c r="A102" s="113"/>
      <c r="B102" s="114"/>
      <c r="C102" s="114"/>
      <c r="D102" s="114"/>
      <c r="E102" s="114"/>
    </row>
    <row r="103" spans="1:5" x14ac:dyDescent="0.25">
      <c r="A103" s="113"/>
      <c r="B103" s="114"/>
      <c r="C103" s="114"/>
      <c r="D103" s="114"/>
      <c r="E103" s="114"/>
    </row>
    <row r="104" spans="1:5" x14ac:dyDescent="0.25">
      <c r="A104" s="113"/>
      <c r="B104" s="114"/>
      <c r="C104" s="114"/>
      <c r="D104" s="114"/>
      <c r="E104" s="114"/>
    </row>
    <row r="105" spans="1:5" x14ac:dyDescent="0.25">
      <c r="A105" s="113"/>
      <c r="B105" s="114"/>
      <c r="C105" s="114"/>
      <c r="D105" s="114"/>
      <c r="E105" s="114"/>
    </row>
    <row r="106" spans="1:5" x14ac:dyDescent="0.25">
      <c r="A106" s="113"/>
      <c r="B106" s="114"/>
      <c r="C106" s="114"/>
      <c r="D106" s="114"/>
      <c r="E106" s="114"/>
    </row>
    <row r="107" spans="1:5" x14ac:dyDescent="0.25">
      <c r="A107" s="113"/>
      <c r="B107" s="114"/>
      <c r="C107" s="114"/>
      <c r="D107" s="114"/>
      <c r="E107" s="114"/>
    </row>
    <row r="108" spans="1:5" x14ac:dyDescent="0.25">
      <c r="A108" s="113"/>
      <c r="B108" s="114"/>
      <c r="C108" s="114"/>
      <c r="D108" s="114"/>
      <c r="E108" s="114"/>
    </row>
    <row r="109" spans="1:5" x14ac:dyDescent="0.25">
      <c r="A109" s="113"/>
      <c r="B109" s="114"/>
      <c r="C109" s="114"/>
      <c r="D109" s="114"/>
      <c r="E109" s="114"/>
    </row>
    <row r="110" spans="1:5" x14ac:dyDescent="0.25">
      <c r="A110" s="113"/>
      <c r="B110" s="114"/>
      <c r="C110" s="114"/>
      <c r="D110" s="114"/>
      <c r="E110" s="114"/>
    </row>
    <row r="111" spans="1:5" x14ac:dyDescent="0.25">
      <c r="A111" s="113"/>
      <c r="B111" s="114"/>
      <c r="C111" s="114"/>
      <c r="D111" s="114"/>
      <c r="E111" s="114"/>
    </row>
    <row r="112" spans="1:5" x14ac:dyDescent="0.25">
      <c r="A112" s="113"/>
      <c r="B112" s="114"/>
      <c r="C112" s="114"/>
      <c r="D112" s="114"/>
      <c r="E112" s="114"/>
    </row>
    <row r="113" spans="1:5" x14ac:dyDescent="0.25">
      <c r="A113" s="113"/>
      <c r="B113" s="114"/>
      <c r="C113" s="114"/>
      <c r="D113" s="114"/>
      <c r="E113" s="114"/>
    </row>
    <row r="114" spans="1:5" x14ac:dyDescent="0.25">
      <c r="A114" s="113"/>
      <c r="B114" s="114"/>
      <c r="C114" s="114"/>
      <c r="D114" s="114"/>
      <c r="E114" s="114"/>
    </row>
    <row r="115" spans="1:5" x14ac:dyDescent="0.25">
      <c r="A115" s="113"/>
      <c r="B115" s="114"/>
      <c r="C115" s="114"/>
      <c r="D115" s="114"/>
      <c r="E115" s="114"/>
    </row>
    <row r="116" spans="1:5" x14ac:dyDescent="0.25">
      <c r="A116" s="113"/>
      <c r="B116" s="114"/>
      <c r="C116" s="114"/>
      <c r="D116" s="114"/>
      <c r="E116" s="114"/>
    </row>
    <row r="117" spans="1:5" x14ac:dyDescent="0.25">
      <c r="A117" s="113"/>
      <c r="B117" s="114"/>
      <c r="C117" s="114"/>
      <c r="D117" s="114"/>
      <c r="E117" s="114"/>
    </row>
    <row r="118" spans="1:5" x14ac:dyDescent="0.25">
      <c r="A118" s="113"/>
      <c r="B118" s="114"/>
      <c r="C118" s="114"/>
      <c r="D118" s="114"/>
      <c r="E118" s="114"/>
    </row>
    <row r="119" spans="1:5" x14ac:dyDescent="0.25">
      <c r="A119" s="113"/>
      <c r="B119" s="114"/>
      <c r="C119" s="114"/>
      <c r="D119" s="114"/>
      <c r="E119" s="114"/>
    </row>
    <row r="120" spans="1:5" x14ac:dyDescent="0.25">
      <c r="A120" s="113"/>
      <c r="B120" s="114"/>
      <c r="C120" s="114"/>
      <c r="D120" s="114"/>
      <c r="E120" s="114"/>
    </row>
    <row r="121" spans="1:5" x14ac:dyDescent="0.25">
      <c r="A121" s="113"/>
      <c r="B121" s="114"/>
      <c r="C121" s="114"/>
      <c r="D121" s="114"/>
      <c r="E121" s="114"/>
    </row>
    <row r="122" spans="1:5" x14ac:dyDescent="0.25">
      <c r="A122" s="113"/>
      <c r="B122" s="114"/>
      <c r="C122" s="114"/>
      <c r="D122" s="114"/>
      <c r="E122" s="114"/>
    </row>
    <row r="123" spans="1:5" x14ac:dyDescent="0.25">
      <c r="A123" s="113"/>
      <c r="B123" s="114"/>
      <c r="C123" s="114"/>
      <c r="D123" s="114"/>
      <c r="E123" s="114"/>
    </row>
    <row r="124" spans="1:5" x14ac:dyDescent="0.25">
      <c r="A124" s="113"/>
      <c r="B124" s="114"/>
      <c r="C124" s="114"/>
      <c r="D124" s="114"/>
      <c r="E124" s="114"/>
    </row>
    <row r="125" spans="1:5" x14ac:dyDescent="0.25">
      <c r="A125" s="113"/>
      <c r="B125" s="114"/>
      <c r="C125" s="114"/>
      <c r="D125" s="114"/>
      <c r="E125" s="114"/>
    </row>
    <row r="126" spans="1:5" x14ac:dyDescent="0.25">
      <c r="A126" s="113"/>
      <c r="B126" s="114"/>
      <c r="C126" s="114"/>
      <c r="D126" s="114"/>
      <c r="E126" s="114"/>
    </row>
    <row r="127" spans="1:5" x14ac:dyDescent="0.25">
      <c r="A127" s="113"/>
      <c r="B127" s="114"/>
      <c r="C127" s="114"/>
      <c r="D127" s="114"/>
      <c r="E127" s="114"/>
    </row>
    <row r="128" spans="1:5" x14ac:dyDescent="0.25">
      <c r="A128" s="113"/>
      <c r="B128" s="114"/>
      <c r="C128" s="114"/>
      <c r="D128" s="114"/>
      <c r="E128" s="114"/>
    </row>
    <row r="129" spans="1:5" x14ac:dyDescent="0.25">
      <c r="A129" s="113"/>
      <c r="B129" s="114"/>
      <c r="C129" s="114"/>
      <c r="D129" s="114"/>
      <c r="E129" s="114"/>
    </row>
    <row r="130" spans="1:5" x14ac:dyDescent="0.25">
      <c r="A130" s="113"/>
      <c r="B130" s="114"/>
      <c r="C130" s="114"/>
      <c r="D130" s="114"/>
      <c r="E130" s="114"/>
    </row>
    <row r="131" spans="1:5" x14ac:dyDescent="0.25">
      <c r="A131" s="113"/>
      <c r="B131" s="114"/>
      <c r="C131" s="114"/>
      <c r="D131" s="114"/>
      <c r="E131" s="114"/>
    </row>
    <row r="132" spans="1:5" x14ac:dyDescent="0.25">
      <c r="A132" s="113"/>
      <c r="B132" s="114"/>
      <c r="C132" s="114"/>
      <c r="D132" s="114"/>
      <c r="E132" s="114"/>
    </row>
    <row r="133" spans="1:5" x14ac:dyDescent="0.25">
      <c r="A133" s="113"/>
      <c r="B133" s="114"/>
      <c r="C133" s="114"/>
      <c r="D133" s="114"/>
      <c r="E133" s="114"/>
    </row>
    <row r="134" spans="1:5" x14ac:dyDescent="0.25">
      <c r="A134" s="113"/>
      <c r="B134" s="114"/>
      <c r="C134" s="114"/>
      <c r="D134" s="114"/>
      <c r="E134" s="114"/>
    </row>
    <row r="135" spans="1:5" x14ac:dyDescent="0.25">
      <c r="A135" s="113"/>
      <c r="B135" s="114"/>
      <c r="C135" s="114"/>
      <c r="D135" s="114"/>
      <c r="E135" s="114"/>
    </row>
    <row r="136" spans="1:5" x14ac:dyDescent="0.25">
      <c r="A136" s="113"/>
      <c r="B136" s="114"/>
      <c r="C136" s="114"/>
      <c r="D136" s="114"/>
      <c r="E136" s="114"/>
    </row>
    <row r="137" spans="1:5" x14ac:dyDescent="0.25">
      <c r="A137" s="113"/>
      <c r="B137" s="114"/>
      <c r="C137" s="114"/>
      <c r="D137" s="114"/>
      <c r="E137" s="114"/>
    </row>
    <row r="138" spans="1:5" x14ac:dyDescent="0.25">
      <c r="A138" s="113"/>
      <c r="B138" s="114"/>
      <c r="C138" s="114"/>
      <c r="D138" s="114"/>
      <c r="E138" s="114"/>
    </row>
    <row r="139" spans="1:5" x14ac:dyDescent="0.25">
      <c r="A139" s="113"/>
      <c r="B139" s="114"/>
      <c r="C139" s="114"/>
      <c r="D139" s="114"/>
      <c r="E139" s="114"/>
    </row>
    <row r="140" spans="1:5" x14ac:dyDescent="0.25">
      <c r="A140" s="113"/>
      <c r="B140" s="114"/>
      <c r="C140" s="114"/>
      <c r="D140" s="114"/>
      <c r="E140" s="114"/>
    </row>
    <row r="141" spans="1:5" x14ac:dyDescent="0.25">
      <c r="A141" s="113"/>
      <c r="B141" s="114"/>
      <c r="C141" s="114"/>
      <c r="D141" s="114"/>
      <c r="E141" s="114"/>
    </row>
    <row r="142" spans="1:5" x14ac:dyDescent="0.25">
      <c r="A142" s="113"/>
      <c r="B142" s="114"/>
      <c r="C142" s="114"/>
      <c r="D142" s="114"/>
      <c r="E142" s="114"/>
    </row>
    <row r="143" spans="1:5" x14ac:dyDescent="0.25">
      <c r="A143" s="113"/>
      <c r="B143" s="114"/>
      <c r="C143" s="114"/>
      <c r="D143" s="114"/>
      <c r="E143" s="114"/>
    </row>
    <row r="144" spans="1:5" x14ac:dyDescent="0.25">
      <c r="A144" s="113"/>
      <c r="B144" s="114"/>
      <c r="C144" s="114"/>
      <c r="D144" s="114"/>
      <c r="E144" s="114"/>
    </row>
    <row r="145" spans="1:5" x14ac:dyDescent="0.25">
      <c r="A145" s="113"/>
      <c r="B145" s="114"/>
      <c r="C145" s="114"/>
      <c r="D145" s="114"/>
      <c r="E145" s="114"/>
    </row>
    <row r="146" spans="1:5" x14ac:dyDescent="0.25">
      <c r="A146" s="113"/>
      <c r="B146" s="114"/>
      <c r="C146" s="114"/>
      <c r="D146" s="114"/>
      <c r="E146" s="114"/>
    </row>
    <row r="147" spans="1:5" x14ac:dyDescent="0.25">
      <c r="A147" s="113"/>
      <c r="B147" s="114"/>
      <c r="C147" s="114"/>
      <c r="D147" s="114"/>
      <c r="E147" s="114"/>
    </row>
    <row r="148" spans="1:5" x14ac:dyDescent="0.25">
      <c r="A148" s="113"/>
      <c r="B148" s="114"/>
      <c r="C148" s="114"/>
      <c r="D148" s="114"/>
      <c r="E148" s="114"/>
    </row>
    <row r="149" spans="1:5" x14ac:dyDescent="0.25">
      <c r="A149" s="113"/>
      <c r="B149" s="114"/>
      <c r="C149" s="114"/>
      <c r="D149" s="114"/>
      <c r="E149" s="114"/>
    </row>
    <row r="150" spans="1:5" x14ac:dyDescent="0.25">
      <c r="A150" s="113"/>
      <c r="B150" s="114"/>
      <c r="C150" s="114"/>
      <c r="D150" s="114"/>
      <c r="E150" s="114"/>
    </row>
    <row r="151" spans="1:5" x14ac:dyDescent="0.25">
      <c r="A151" s="113"/>
      <c r="B151" s="114"/>
      <c r="C151" s="114"/>
      <c r="D151" s="114"/>
      <c r="E151" s="114"/>
    </row>
    <row r="152" spans="1:5" x14ac:dyDescent="0.25">
      <c r="A152" s="113"/>
      <c r="B152" s="114"/>
      <c r="C152" s="114"/>
      <c r="D152" s="114"/>
      <c r="E152" s="114"/>
    </row>
    <row r="153" spans="1:5" x14ac:dyDescent="0.25">
      <c r="A153" s="113"/>
      <c r="B153" s="114"/>
      <c r="C153" s="114"/>
      <c r="D153" s="114"/>
      <c r="E153" s="114"/>
    </row>
    <row r="154" spans="1:5" x14ac:dyDescent="0.25">
      <c r="A154" s="113"/>
      <c r="B154" s="114"/>
      <c r="C154" s="114"/>
      <c r="D154" s="114"/>
      <c r="E154" s="114"/>
    </row>
    <row r="155" spans="1:5" x14ac:dyDescent="0.25">
      <c r="A155" s="113"/>
      <c r="B155" s="114"/>
      <c r="C155" s="114"/>
      <c r="D155" s="114"/>
      <c r="E155" s="114"/>
    </row>
    <row r="156" spans="1:5" x14ac:dyDescent="0.25">
      <c r="A156" s="113"/>
      <c r="B156" s="114"/>
      <c r="C156" s="114"/>
      <c r="D156" s="114"/>
      <c r="E156" s="114"/>
    </row>
    <row r="157" spans="1:5" x14ac:dyDescent="0.25">
      <c r="A157" s="113"/>
      <c r="B157" s="114"/>
      <c r="C157" s="114"/>
      <c r="D157" s="114"/>
      <c r="E157" s="114"/>
    </row>
    <row r="158" spans="1:5" x14ac:dyDescent="0.25">
      <c r="A158" s="113"/>
      <c r="B158" s="114"/>
      <c r="C158" s="114"/>
      <c r="D158" s="114"/>
      <c r="E158" s="114"/>
    </row>
    <row r="159" spans="1:5" x14ac:dyDescent="0.25">
      <c r="A159" s="113"/>
      <c r="B159" s="114"/>
      <c r="C159" s="114"/>
      <c r="D159" s="114"/>
      <c r="E159" s="114"/>
    </row>
    <row r="160" spans="1:5" x14ac:dyDescent="0.25">
      <c r="A160" s="113"/>
      <c r="B160" s="114"/>
      <c r="C160" s="114"/>
      <c r="D160" s="114"/>
      <c r="E160" s="114"/>
    </row>
    <row r="161" spans="1:5" x14ac:dyDescent="0.25">
      <c r="A161" s="113"/>
      <c r="B161" s="114"/>
      <c r="C161" s="114"/>
      <c r="D161" s="114"/>
      <c r="E161" s="114"/>
    </row>
    <row r="162" spans="1:5" x14ac:dyDescent="0.25">
      <c r="A162" s="113"/>
      <c r="B162" s="114"/>
      <c r="C162" s="114"/>
      <c r="D162" s="114"/>
      <c r="E162" s="114"/>
    </row>
    <row r="163" spans="1:5" x14ac:dyDescent="0.25">
      <c r="A163" s="113"/>
      <c r="B163" s="114"/>
      <c r="C163" s="114"/>
      <c r="D163" s="114"/>
      <c r="E163" s="114"/>
    </row>
    <row r="164" spans="1:5" x14ac:dyDescent="0.25">
      <c r="A164" s="113"/>
      <c r="B164" s="114"/>
      <c r="C164" s="114"/>
      <c r="D164" s="114"/>
      <c r="E164" s="114"/>
    </row>
    <row r="165" spans="1:5" x14ac:dyDescent="0.25">
      <c r="A165" s="113"/>
      <c r="B165" s="114"/>
      <c r="C165" s="114"/>
      <c r="D165" s="114"/>
      <c r="E165" s="114"/>
    </row>
    <row r="166" spans="1:5" x14ac:dyDescent="0.25">
      <c r="A166" s="113"/>
      <c r="B166" s="114"/>
      <c r="C166" s="114"/>
      <c r="D166" s="114"/>
      <c r="E166" s="114"/>
    </row>
    <row r="167" spans="1:5" x14ac:dyDescent="0.25">
      <c r="A167" s="113"/>
      <c r="B167" s="114"/>
      <c r="C167" s="114"/>
      <c r="D167" s="114"/>
      <c r="E167" s="114"/>
    </row>
    <row r="168" spans="1:5" x14ac:dyDescent="0.25">
      <c r="A168" s="113"/>
      <c r="B168" s="114"/>
      <c r="C168" s="114"/>
      <c r="D168" s="114"/>
      <c r="E168" s="114"/>
    </row>
    <row r="169" spans="1:5" x14ac:dyDescent="0.25">
      <c r="A169" s="113"/>
      <c r="B169" s="114"/>
      <c r="C169" s="114"/>
      <c r="D169" s="114"/>
      <c r="E169" s="114"/>
    </row>
    <row r="170" spans="1:5" x14ac:dyDescent="0.25">
      <c r="A170" s="113"/>
      <c r="B170" s="114"/>
      <c r="C170" s="114"/>
      <c r="D170" s="114"/>
      <c r="E170" s="114"/>
    </row>
    <row r="171" spans="1:5" x14ac:dyDescent="0.25">
      <c r="A171" s="113"/>
      <c r="B171" s="114"/>
      <c r="C171" s="114"/>
      <c r="D171" s="114"/>
      <c r="E171" s="114"/>
    </row>
    <row r="172" spans="1:5" x14ac:dyDescent="0.25">
      <c r="A172" s="113"/>
      <c r="B172" s="114"/>
      <c r="C172" s="114"/>
      <c r="D172" s="114"/>
      <c r="E172" s="114"/>
    </row>
    <row r="173" spans="1:5" x14ac:dyDescent="0.25">
      <c r="A173" s="113"/>
      <c r="B173" s="114"/>
      <c r="C173" s="114"/>
      <c r="D173" s="114"/>
      <c r="E173" s="114"/>
    </row>
    <row r="174" spans="1:5" x14ac:dyDescent="0.25">
      <c r="A174" s="113"/>
      <c r="B174" s="114"/>
      <c r="C174" s="114"/>
      <c r="D174" s="114"/>
      <c r="E174" s="114"/>
    </row>
    <row r="175" spans="1:5" x14ac:dyDescent="0.25">
      <c r="A175" s="113"/>
      <c r="B175" s="114"/>
      <c r="C175" s="114"/>
      <c r="D175" s="114"/>
      <c r="E175" s="114"/>
    </row>
    <row r="176" spans="1:5" x14ac:dyDescent="0.25">
      <c r="A176" s="113"/>
      <c r="B176" s="114"/>
      <c r="C176" s="114"/>
      <c r="D176" s="114"/>
      <c r="E176" s="114"/>
    </row>
    <row r="177" spans="1:5" x14ac:dyDescent="0.25">
      <c r="A177" s="113"/>
      <c r="B177" s="114"/>
      <c r="C177" s="114"/>
      <c r="D177" s="114"/>
      <c r="E177" s="114"/>
    </row>
    <row r="178" spans="1:5" x14ac:dyDescent="0.25">
      <c r="A178" s="113"/>
      <c r="B178" s="114"/>
      <c r="C178" s="114"/>
      <c r="D178" s="114"/>
      <c r="E178" s="114"/>
    </row>
    <row r="179" spans="1:5" x14ac:dyDescent="0.25">
      <c r="A179" s="113"/>
      <c r="B179" s="114"/>
      <c r="C179" s="114"/>
      <c r="D179" s="114"/>
      <c r="E179" s="114"/>
    </row>
    <row r="180" spans="1:5" x14ac:dyDescent="0.25">
      <c r="A180" s="113"/>
      <c r="B180" s="114"/>
      <c r="C180" s="114"/>
      <c r="D180" s="114"/>
      <c r="E180" s="114"/>
    </row>
    <row r="181" spans="1:5" x14ac:dyDescent="0.25">
      <c r="A181" s="113"/>
      <c r="B181" s="114"/>
      <c r="C181" s="114"/>
      <c r="D181" s="114"/>
      <c r="E181" s="114"/>
    </row>
    <row r="182" spans="1:5" x14ac:dyDescent="0.25">
      <c r="A182" s="113"/>
      <c r="B182" s="114"/>
      <c r="C182" s="114"/>
      <c r="D182" s="114"/>
      <c r="E182" s="114"/>
    </row>
    <row r="183" spans="1:5" x14ac:dyDescent="0.25">
      <c r="A183" s="113"/>
      <c r="B183" s="114"/>
      <c r="C183" s="114"/>
      <c r="D183" s="114"/>
      <c r="E183" s="114"/>
    </row>
    <row r="184" spans="1:5" x14ac:dyDescent="0.25">
      <c r="A184" s="113"/>
      <c r="B184" s="114"/>
      <c r="C184" s="114"/>
      <c r="D184" s="114"/>
      <c r="E184" s="114"/>
    </row>
    <row r="185" spans="1:5" x14ac:dyDescent="0.25">
      <c r="A185" s="113"/>
      <c r="B185" s="114"/>
      <c r="C185" s="114"/>
      <c r="D185" s="114"/>
      <c r="E185" s="114"/>
    </row>
    <row r="186" spans="1:5" x14ac:dyDescent="0.25">
      <c r="A186" s="113"/>
      <c r="B186" s="114"/>
      <c r="C186" s="114"/>
      <c r="D186" s="114"/>
      <c r="E186" s="114"/>
    </row>
    <row r="187" spans="1:5" x14ac:dyDescent="0.25">
      <c r="A187" s="113"/>
      <c r="B187" s="114"/>
      <c r="C187" s="114"/>
      <c r="D187" s="114"/>
      <c r="E187" s="114"/>
    </row>
    <row r="188" spans="1:5" x14ac:dyDescent="0.25">
      <c r="A188" s="113"/>
      <c r="B188" s="114"/>
      <c r="C188" s="114"/>
      <c r="D188" s="114"/>
      <c r="E188" s="114"/>
    </row>
    <row r="189" spans="1:5" x14ac:dyDescent="0.25">
      <c r="A189" s="113"/>
      <c r="B189" s="114"/>
      <c r="C189" s="114"/>
      <c r="D189" s="114"/>
      <c r="E189" s="114"/>
    </row>
    <row r="190" spans="1:5" x14ac:dyDescent="0.25">
      <c r="A190" s="113"/>
      <c r="B190" s="114"/>
      <c r="C190" s="114"/>
      <c r="D190" s="114"/>
      <c r="E190" s="114"/>
    </row>
    <row r="191" spans="1:5" x14ac:dyDescent="0.25">
      <c r="A191" s="113"/>
      <c r="B191" s="114"/>
      <c r="C191" s="114"/>
      <c r="D191" s="114"/>
      <c r="E191" s="114"/>
    </row>
    <row r="192" spans="1:5" x14ac:dyDescent="0.25">
      <c r="A192" s="113"/>
      <c r="B192" s="114"/>
      <c r="C192" s="114"/>
      <c r="D192" s="114"/>
      <c r="E192" s="114"/>
    </row>
    <row r="193" spans="1:5" x14ac:dyDescent="0.25">
      <c r="A193" s="113"/>
      <c r="B193" s="114"/>
      <c r="C193" s="114"/>
      <c r="D193" s="114"/>
      <c r="E193" s="114"/>
    </row>
    <row r="194" spans="1:5" x14ac:dyDescent="0.25">
      <c r="A194" s="113"/>
      <c r="B194" s="114"/>
      <c r="C194" s="114"/>
      <c r="D194" s="114"/>
      <c r="E194" s="114"/>
    </row>
    <row r="195" spans="1:5" x14ac:dyDescent="0.25">
      <c r="A195" s="113"/>
      <c r="B195" s="114"/>
      <c r="C195" s="114"/>
      <c r="D195" s="114"/>
      <c r="E195" s="114"/>
    </row>
    <row r="196" spans="1:5" x14ac:dyDescent="0.25">
      <c r="A196" s="113"/>
      <c r="B196" s="114"/>
      <c r="C196" s="114"/>
      <c r="D196" s="114"/>
      <c r="E196" s="114"/>
    </row>
    <row r="197" spans="1:5" x14ac:dyDescent="0.25">
      <c r="A197" s="113"/>
      <c r="B197" s="114"/>
      <c r="C197" s="114"/>
      <c r="D197" s="114"/>
      <c r="E197" s="114"/>
    </row>
    <row r="198" spans="1:5" x14ac:dyDescent="0.25">
      <c r="A198" s="113"/>
      <c r="B198" s="114"/>
      <c r="C198" s="114"/>
      <c r="D198" s="114"/>
      <c r="E198" s="114"/>
    </row>
    <row r="199" spans="1:5" x14ac:dyDescent="0.25">
      <c r="A199" s="113"/>
      <c r="B199" s="114"/>
      <c r="C199" s="114"/>
      <c r="D199" s="114"/>
      <c r="E199" s="114"/>
    </row>
    <row r="200" spans="1:5" x14ac:dyDescent="0.25">
      <c r="A200" s="113"/>
      <c r="B200" s="114"/>
      <c r="C200" s="114"/>
      <c r="D200" s="114"/>
      <c r="E200" s="114"/>
    </row>
    <row r="201" spans="1:5" x14ac:dyDescent="0.25">
      <c r="A201" s="113"/>
      <c r="B201" s="114"/>
      <c r="C201" s="114"/>
      <c r="D201" s="114"/>
      <c r="E201" s="114"/>
    </row>
    <row r="202" spans="1:5" x14ac:dyDescent="0.25">
      <c r="A202" s="113"/>
      <c r="B202" s="114"/>
      <c r="C202" s="114"/>
      <c r="D202" s="114"/>
      <c r="E202" s="114"/>
    </row>
    <row r="203" spans="1:5" x14ac:dyDescent="0.25">
      <c r="A203" s="113"/>
      <c r="B203" s="114"/>
      <c r="C203" s="114"/>
      <c r="D203" s="114"/>
      <c r="E203" s="114"/>
    </row>
    <row r="204" spans="1:5" x14ac:dyDescent="0.25">
      <c r="A204" s="113"/>
      <c r="B204" s="114"/>
      <c r="C204" s="114"/>
      <c r="D204" s="114"/>
      <c r="E204" s="114"/>
    </row>
    <row r="205" spans="1:5" x14ac:dyDescent="0.25">
      <c r="A205" s="113"/>
      <c r="B205" s="114"/>
      <c r="C205" s="114"/>
      <c r="D205" s="114"/>
      <c r="E205" s="114"/>
    </row>
    <row r="206" spans="1:5" x14ac:dyDescent="0.25">
      <c r="A206" s="113"/>
      <c r="B206" s="114"/>
      <c r="C206" s="114"/>
      <c r="D206" s="114"/>
      <c r="E206" s="114"/>
    </row>
    <row r="207" spans="1:5" x14ac:dyDescent="0.25">
      <c r="A207" s="113"/>
      <c r="B207" s="114"/>
      <c r="C207" s="114"/>
      <c r="D207" s="114"/>
      <c r="E207" s="114"/>
    </row>
    <row r="208" spans="1:5" x14ac:dyDescent="0.25">
      <c r="A208" s="113"/>
      <c r="B208" s="114"/>
      <c r="C208" s="114"/>
      <c r="D208" s="114"/>
      <c r="E208" s="114"/>
    </row>
    <row r="209" spans="1:5" x14ac:dyDescent="0.25">
      <c r="A209" s="113"/>
      <c r="B209" s="114"/>
      <c r="C209" s="114"/>
      <c r="D209" s="114"/>
      <c r="E209" s="114"/>
    </row>
    <row r="210" spans="1:5" x14ac:dyDescent="0.25">
      <c r="A210" s="113"/>
      <c r="B210" s="114"/>
      <c r="C210" s="114"/>
      <c r="D210" s="114"/>
      <c r="E210" s="114"/>
    </row>
    <row r="211" spans="1:5" x14ac:dyDescent="0.25">
      <c r="A211" s="113"/>
      <c r="B211" s="114"/>
      <c r="C211" s="114"/>
      <c r="D211" s="114"/>
      <c r="E211" s="114"/>
    </row>
    <row r="212" spans="1:5" x14ac:dyDescent="0.25">
      <c r="A212" s="113"/>
      <c r="B212" s="114"/>
      <c r="C212" s="114"/>
      <c r="D212" s="114"/>
      <c r="E212" s="114"/>
    </row>
    <row r="213" spans="1:5" x14ac:dyDescent="0.25">
      <c r="A213" s="113"/>
      <c r="B213" s="114"/>
      <c r="C213" s="114"/>
      <c r="D213" s="114"/>
      <c r="E213" s="114"/>
    </row>
    <row r="214" spans="1:5" x14ac:dyDescent="0.25">
      <c r="A214" s="113"/>
      <c r="B214" s="114"/>
      <c r="C214" s="114"/>
      <c r="D214" s="114"/>
      <c r="E214" s="114"/>
    </row>
    <row r="215" spans="1:5" x14ac:dyDescent="0.25">
      <c r="A215" s="113"/>
      <c r="B215" s="114"/>
      <c r="C215" s="114"/>
      <c r="D215" s="114"/>
      <c r="E215" s="114"/>
    </row>
    <row r="216" spans="1:5" x14ac:dyDescent="0.25">
      <c r="A216" s="113"/>
      <c r="B216" s="114"/>
      <c r="C216" s="114"/>
      <c r="D216" s="114"/>
      <c r="E216" s="114"/>
    </row>
    <row r="217" spans="1:5" x14ac:dyDescent="0.25">
      <c r="A217" s="113"/>
      <c r="B217" s="114"/>
      <c r="C217" s="114"/>
      <c r="D217" s="114"/>
      <c r="E217" s="114"/>
    </row>
    <row r="218" spans="1:5" x14ac:dyDescent="0.25">
      <c r="A218" s="113"/>
      <c r="B218" s="114"/>
      <c r="C218" s="114"/>
      <c r="D218" s="114"/>
      <c r="E218" s="114"/>
    </row>
    <row r="219" spans="1:5" x14ac:dyDescent="0.25">
      <c r="A219" s="113"/>
      <c r="B219" s="114"/>
      <c r="C219" s="114"/>
      <c r="D219" s="114"/>
      <c r="E219" s="114"/>
    </row>
    <row r="220" spans="1:5" x14ac:dyDescent="0.25">
      <c r="A220" s="113"/>
      <c r="B220" s="114"/>
      <c r="C220" s="114"/>
      <c r="D220" s="114"/>
      <c r="E220" s="114"/>
    </row>
    <row r="221" spans="1:5" x14ac:dyDescent="0.25">
      <c r="A221" s="113"/>
      <c r="B221" s="114"/>
      <c r="C221" s="114"/>
      <c r="D221" s="114"/>
      <c r="E221" s="114"/>
    </row>
    <row r="222" spans="1:5" x14ac:dyDescent="0.25">
      <c r="A222" s="113"/>
      <c r="B222" s="114"/>
      <c r="C222" s="114"/>
      <c r="D222" s="114"/>
      <c r="E222" s="114"/>
    </row>
    <row r="223" spans="1:5" x14ac:dyDescent="0.25">
      <c r="A223" s="113"/>
      <c r="B223" s="114"/>
      <c r="C223" s="114"/>
      <c r="D223" s="114"/>
      <c r="E223" s="114"/>
    </row>
    <row r="224" spans="1:5" x14ac:dyDescent="0.25">
      <c r="A224" s="113"/>
      <c r="B224" s="114"/>
      <c r="C224" s="114"/>
      <c r="D224" s="114"/>
      <c r="E224" s="114"/>
    </row>
    <row r="225" spans="1:5" x14ac:dyDescent="0.25">
      <c r="A225" s="113"/>
      <c r="B225" s="114"/>
      <c r="C225" s="114"/>
      <c r="D225" s="114"/>
      <c r="E225" s="114"/>
    </row>
    <row r="226" spans="1:5" x14ac:dyDescent="0.25">
      <c r="A226" s="113"/>
      <c r="B226" s="114"/>
      <c r="C226" s="114"/>
      <c r="D226" s="114"/>
      <c r="E226" s="114"/>
    </row>
    <row r="227" spans="1:5" x14ac:dyDescent="0.25">
      <c r="A227" s="113"/>
      <c r="B227" s="114"/>
      <c r="C227" s="114"/>
      <c r="D227" s="114"/>
      <c r="E227" s="114"/>
    </row>
    <row r="228" spans="1:5" x14ac:dyDescent="0.25">
      <c r="A228" s="113"/>
      <c r="B228" s="114"/>
      <c r="C228" s="114"/>
      <c r="D228" s="114"/>
      <c r="E228" s="114"/>
    </row>
    <row r="229" spans="1:5" x14ac:dyDescent="0.25">
      <c r="A229" s="113"/>
      <c r="B229" s="114"/>
      <c r="C229" s="114"/>
      <c r="D229" s="114"/>
      <c r="E229" s="114"/>
    </row>
    <row r="230" spans="1:5" x14ac:dyDescent="0.25">
      <c r="A230" s="113"/>
      <c r="B230" s="114"/>
      <c r="C230" s="114"/>
      <c r="D230" s="114"/>
      <c r="E230" s="114"/>
    </row>
    <row r="231" spans="1:5" x14ac:dyDescent="0.25">
      <c r="A231" s="113"/>
      <c r="B231" s="114"/>
      <c r="C231" s="114"/>
      <c r="D231" s="114"/>
      <c r="E231" s="114"/>
    </row>
    <row r="232" spans="1:5" x14ac:dyDescent="0.25">
      <c r="A232" s="113"/>
      <c r="B232" s="114"/>
      <c r="C232" s="114"/>
      <c r="D232" s="114"/>
      <c r="E232" s="114"/>
    </row>
    <row r="233" spans="1:5" x14ac:dyDescent="0.25">
      <c r="A233" s="113"/>
      <c r="B233" s="114"/>
      <c r="C233" s="114"/>
      <c r="D233" s="114"/>
      <c r="E233" s="114"/>
    </row>
    <row r="234" spans="1:5" x14ac:dyDescent="0.25">
      <c r="A234" s="113"/>
      <c r="B234" s="114"/>
      <c r="C234" s="114"/>
      <c r="D234" s="114"/>
      <c r="E234" s="114"/>
    </row>
    <row r="235" spans="1:5" x14ac:dyDescent="0.25">
      <c r="A235" s="113"/>
      <c r="B235" s="114"/>
      <c r="C235" s="114"/>
      <c r="D235" s="114"/>
      <c r="E235" s="114"/>
    </row>
    <row r="236" spans="1:5" x14ac:dyDescent="0.25">
      <c r="A236" s="113"/>
      <c r="B236" s="114"/>
      <c r="C236" s="114"/>
      <c r="D236" s="114"/>
      <c r="E236" s="114"/>
    </row>
    <row r="237" spans="1:5" x14ac:dyDescent="0.25">
      <c r="A237" s="113"/>
      <c r="B237" s="114"/>
      <c r="C237" s="114"/>
      <c r="D237" s="114"/>
      <c r="E237" s="114"/>
    </row>
    <row r="238" spans="1:5" x14ac:dyDescent="0.25">
      <c r="A238" s="113"/>
      <c r="B238" s="114"/>
      <c r="C238" s="114"/>
      <c r="D238" s="114"/>
      <c r="E238" s="114"/>
    </row>
    <row r="239" spans="1:5" x14ac:dyDescent="0.25">
      <c r="A239" s="113"/>
      <c r="B239" s="114"/>
      <c r="C239" s="114"/>
      <c r="D239" s="114"/>
      <c r="E239" s="114"/>
    </row>
    <row r="240" spans="1:5" x14ac:dyDescent="0.25">
      <c r="A240" s="113"/>
      <c r="B240" s="114"/>
      <c r="C240" s="114"/>
      <c r="D240" s="114"/>
      <c r="E240" s="114"/>
    </row>
    <row r="241" spans="1:5" x14ac:dyDescent="0.25">
      <c r="A241" s="113"/>
      <c r="B241" s="114"/>
      <c r="C241" s="114"/>
      <c r="D241" s="114"/>
      <c r="E241" s="114"/>
    </row>
    <row r="242" spans="1:5" x14ac:dyDescent="0.25">
      <c r="A242" s="113"/>
      <c r="B242" s="114"/>
      <c r="C242" s="114"/>
      <c r="D242" s="114"/>
      <c r="E242" s="114"/>
    </row>
    <row r="243" spans="1:5" x14ac:dyDescent="0.25">
      <c r="A243" s="113"/>
      <c r="B243" s="114"/>
      <c r="C243" s="114"/>
      <c r="D243" s="114"/>
      <c r="E243" s="114"/>
    </row>
    <row r="244" spans="1:5" x14ac:dyDescent="0.25">
      <c r="A244" s="113"/>
      <c r="B244" s="114"/>
      <c r="C244" s="114"/>
      <c r="D244" s="114"/>
      <c r="E244" s="114"/>
    </row>
    <row r="245" spans="1:5" x14ac:dyDescent="0.25">
      <c r="A245" s="113"/>
      <c r="B245" s="114"/>
      <c r="C245" s="114"/>
      <c r="D245" s="114"/>
      <c r="E245" s="114"/>
    </row>
    <row r="246" spans="1:5" x14ac:dyDescent="0.25">
      <c r="A246" s="113"/>
      <c r="B246" s="114"/>
      <c r="C246" s="114"/>
      <c r="D246" s="114"/>
      <c r="E246" s="114"/>
    </row>
    <row r="247" spans="1:5" x14ac:dyDescent="0.25">
      <c r="A247" s="113"/>
      <c r="B247" s="114"/>
      <c r="C247" s="114"/>
      <c r="D247" s="114"/>
      <c r="E247" s="114"/>
    </row>
    <row r="248" spans="1:5" x14ac:dyDescent="0.25">
      <c r="A248" s="113"/>
      <c r="B248" s="114"/>
      <c r="C248" s="114"/>
      <c r="D248" s="114"/>
      <c r="E248" s="114"/>
    </row>
    <row r="249" spans="1:5" x14ac:dyDescent="0.25">
      <c r="A249" s="113"/>
      <c r="B249" s="114"/>
      <c r="C249" s="114"/>
      <c r="D249" s="114"/>
      <c r="E249" s="114"/>
    </row>
    <row r="250" spans="1:5" x14ac:dyDescent="0.25">
      <c r="A250" s="113"/>
      <c r="B250" s="114"/>
      <c r="C250" s="114"/>
      <c r="D250" s="114"/>
      <c r="E250" s="114"/>
    </row>
    <row r="251" spans="1:5" x14ac:dyDescent="0.25">
      <c r="A251" s="113"/>
      <c r="B251" s="114"/>
      <c r="C251" s="114"/>
      <c r="D251" s="114"/>
      <c r="E251" s="114"/>
    </row>
    <row r="252" spans="1:5" x14ac:dyDescent="0.25">
      <c r="A252" s="113"/>
      <c r="B252" s="114"/>
      <c r="C252" s="114"/>
      <c r="D252" s="114"/>
      <c r="E252" s="114"/>
    </row>
    <row r="253" spans="1:5" x14ac:dyDescent="0.25">
      <c r="A253" s="113"/>
      <c r="B253" s="114"/>
      <c r="C253" s="114"/>
      <c r="D253" s="114"/>
      <c r="E253" s="114"/>
    </row>
    <row r="254" spans="1:5" x14ac:dyDescent="0.25">
      <c r="A254" s="113"/>
      <c r="B254" s="114"/>
      <c r="C254" s="114"/>
      <c r="D254" s="114"/>
      <c r="E254" s="114"/>
    </row>
    <row r="255" spans="1:5" x14ac:dyDescent="0.25">
      <c r="A255" s="113"/>
      <c r="B255" s="114"/>
      <c r="C255" s="114"/>
      <c r="D255" s="114"/>
      <c r="E255" s="114"/>
    </row>
    <row r="256" spans="1:5" x14ac:dyDescent="0.25">
      <c r="A256" s="113"/>
      <c r="B256" s="114"/>
      <c r="C256" s="114"/>
      <c r="D256" s="114"/>
      <c r="E256" s="114"/>
    </row>
    <row r="257" spans="1:5" x14ac:dyDescent="0.25">
      <c r="A257" s="113"/>
      <c r="B257" s="114"/>
      <c r="C257" s="114"/>
      <c r="D257" s="114"/>
      <c r="E257" s="114"/>
    </row>
    <row r="258" spans="1:5" x14ac:dyDescent="0.25">
      <c r="A258" s="113"/>
      <c r="B258" s="114"/>
      <c r="C258" s="114"/>
      <c r="D258" s="114"/>
      <c r="E258" s="114"/>
    </row>
    <row r="259" spans="1:5" x14ac:dyDescent="0.25">
      <c r="A259" s="113"/>
      <c r="B259" s="114"/>
      <c r="C259" s="114"/>
      <c r="D259" s="114"/>
      <c r="E259" s="114"/>
    </row>
    <row r="260" spans="1:5" x14ac:dyDescent="0.25">
      <c r="A260" s="113"/>
      <c r="B260" s="114"/>
      <c r="C260" s="114"/>
      <c r="D260" s="114"/>
      <c r="E260" s="114"/>
    </row>
    <row r="261" spans="1:5" x14ac:dyDescent="0.25">
      <c r="A261" s="113"/>
      <c r="B261" s="114"/>
      <c r="C261" s="114"/>
      <c r="D261" s="114"/>
      <c r="E261" s="114"/>
    </row>
    <row r="262" spans="1:5" x14ac:dyDescent="0.25">
      <c r="A262" s="113"/>
      <c r="B262" s="114"/>
      <c r="C262" s="114"/>
      <c r="D262" s="114"/>
      <c r="E262" s="114"/>
    </row>
    <row r="263" spans="1:5" x14ac:dyDescent="0.25">
      <c r="A263" s="113"/>
      <c r="B263" s="114"/>
      <c r="C263" s="114"/>
      <c r="D263" s="114"/>
      <c r="E263" s="114"/>
    </row>
    <row r="264" spans="1:5" x14ac:dyDescent="0.25">
      <c r="A264" s="113"/>
      <c r="B264" s="114"/>
      <c r="C264" s="114"/>
      <c r="D264" s="114"/>
      <c r="E264" s="114"/>
    </row>
    <row r="265" spans="1:5" x14ac:dyDescent="0.25">
      <c r="A265" s="113"/>
      <c r="B265" s="114"/>
      <c r="C265" s="114"/>
      <c r="D265" s="114"/>
      <c r="E265" s="114"/>
    </row>
    <row r="266" spans="1:5" x14ac:dyDescent="0.25">
      <c r="A266" s="113"/>
      <c r="B266" s="114"/>
      <c r="C266" s="114"/>
      <c r="D266" s="114"/>
      <c r="E266" s="114"/>
    </row>
    <row r="267" spans="1:5" x14ac:dyDescent="0.25">
      <c r="A267" s="113"/>
      <c r="B267" s="114"/>
      <c r="C267" s="114"/>
      <c r="D267" s="114"/>
      <c r="E267" s="114"/>
    </row>
    <row r="268" spans="1:5" x14ac:dyDescent="0.25">
      <c r="A268" s="113"/>
      <c r="B268" s="114"/>
      <c r="C268" s="114"/>
      <c r="D268" s="114"/>
      <c r="E268" s="114"/>
    </row>
    <row r="269" spans="1:5" x14ac:dyDescent="0.25">
      <c r="A269" s="113"/>
      <c r="B269" s="114"/>
      <c r="C269" s="114"/>
      <c r="D269" s="114"/>
      <c r="E269" s="114"/>
    </row>
    <row r="270" spans="1:5" x14ac:dyDescent="0.25">
      <c r="A270" s="113"/>
      <c r="B270" s="114"/>
      <c r="C270" s="114"/>
      <c r="D270" s="114"/>
      <c r="E270" s="114"/>
    </row>
    <row r="271" spans="1:5" x14ac:dyDescent="0.25">
      <c r="A271" s="113"/>
      <c r="B271" s="114"/>
      <c r="C271" s="114"/>
      <c r="D271" s="114"/>
      <c r="E271" s="114"/>
    </row>
    <row r="272" spans="1:5" x14ac:dyDescent="0.25">
      <c r="A272" s="113"/>
      <c r="B272" s="114"/>
      <c r="C272" s="114"/>
      <c r="D272" s="114"/>
      <c r="E272" s="114"/>
    </row>
    <row r="273" spans="1:5" x14ac:dyDescent="0.25">
      <c r="A273" s="113"/>
      <c r="B273" s="114"/>
      <c r="C273" s="114"/>
      <c r="D273" s="114"/>
      <c r="E273" s="114"/>
    </row>
    <row r="274" spans="1:5" x14ac:dyDescent="0.25">
      <c r="A274" s="113"/>
      <c r="B274" s="114"/>
      <c r="C274" s="114"/>
      <c r="D274" s="114"/>
      <c r="E274" s="114"/>
    </row>
    <row r="275" spans="1:5" x14ac:dyDescent="0.25">
      <c r="A275" s="113"/>
      <c r="B275" s="114"/>
      <c r="C275" s="114"/>
      <c r="D275" s="114"/>
      <c r="E275" s="114"/>
    </row>
    <row r="276" spans="1:5" x14ac:dyDescent="0.25">
      <c r="A276" s="113"/>
      <c r="B276" s="114"/>
      <c r="C276" s="114"/>
      <c r="D276" s="114"/>
      <c r="E276" s="114"/>
    </row>
    <row r="277" spans="1:5" x14ac:dyDescent="0.25">
      <c r="A277" s="113"/>
      <c r="B277" s="114"/>
      <c r="C277" s="114"/>
      <c r="D277" s="114"/>
      <c r="E277" s="114"/>
    </row>
    <row r="278" spans="1:5" x14ac:dyDescent="0.25">
      <c r="A278" s="113"/>
      <c r="B278" s="114"/>
      <c r="C278" s="114"/>
      <c r="D278" s="114"/>
      <c r="E278" s="114"/>
    </row>
    <row r="279" spans="1:5" x14ac:dyDescent="0.25">
      <c r="A279" s="113"/>
      <c r="B279" s="114"/>
      <c r="C279" s="114"/>
      <c r="D279" s="114"/>
      <c r="E279" s="114"/>
    </row>
    <row r="280" spans="1:5" x14ac:dyDescent="0.25">
      <c r="A280" s="113"/>
      <c r="B280" s="114"/>
      <c r="C280" s="114"/>
      <c r="D280" s="114"/>
      <c r="E280" s="114"/>
    </row>
    <row r="281" spans="1:5" x14ac:dyDescent="0.25">
      <c r="A281" s="113"/>
      <c r="B281" s="114"/>
      <c r="C281" s="114"/>
      <c r="D281" s="114"/>
      <c r="E281" s="114"/>
    </row>
    <row r="282" spans="1:5" x14ac:dyDescent="0.25">
      <c r="A282" s="113"/>
      <c r="B282" s="114"/>
      <c r="C282" s="114"/>
      <c r="D282" s="114"/>
      <c r="E282" s="114"/>
    </row>
    <row r="283" spans="1:5" x14ac:dyDescent="0.25">
      <c r="A283" s="113"/>
      <c r="B283" s="114"/>
      <c r="C283" s="114"/>
      <c r="D283" s="114"/>
      <c r="E283" s="114"/>
    </row>
    <row r="284" spans="1:5" x14ac:dyDescent="0.25">
      <c r="A284" s="113"/>
      <c r="B284" s="114"/>
      <c r="C284" s="114"/>
      <c r="D284" s="114"/>
      <c r="E284" s="114"/>
    </row>
    <row r="285" spans="1:5" x14ac:dyDescent="0.25">
      <c r="A285" s="113"/>
      <c r="B285" s="114"/>
      <c r="C285" s="114"/>
      <c r="D285" s="114"/>
      <c r="E285" s="114"/>
    </row>
    <row r="286" spans="1:5" x14ac:dyDescent="0.25">
      <c r="A286" s="113"/>
      <c r="B286" s="114"/>
      <c r="C286" s="114"/>
      <c r="D286" s="114"/>
      <c r="E286" s="114"/>
    </row>
    <row r="287" spans="1:5" x14ac:dyDescent="0.25">
      <c r="A287" s="113"/>
      <c r="B287" s="114"/>
      <c r="C287" s="114"/>
      <c r="D287" s="114"/>
      <c r="E287" s="114"/>
    </row>
    <row r="288" spans="1:5" x14ac:dyDescent="0.25">
      <c r="A288" s="113"/>
      <c r="B288" s="114"/>
      <c r="C288" s="114"/>
      <c r="D288" s="114"/>
      <c r="E288" s="114"/>
    </row>
    <row r="289" spans="1:5" x14ac:dyDescent="0.25">
      <c r="A289" s="113"/>
      <c r="B289" s="114"/>
      <c r="C289" s="114"/>
      <c r="D289" s="114"/>
      <c r="E289" s="114"/>
    </row>
    <row r="290" spans="1:5" x14ac:dyDescent="0.25">
      <c r="A290" s="113"/>
      <c r="B290" s="114"/>
      <c r="C290" s="114"/>
      <c r="D290" s="114"/>
      <c r="E290" s="114"/>
    </row>
    <row r="291" spans="1:5" x14ac:dyDescent="0.25">
      <c r="A291" s="113"/>
      <c r="B291" s="114"/>
      <c r="C291" s="114"/>
      <c r="D291" s="114"/>
      <c r="E291" s="114"/>
    </row>
    <row r="292" spans="1:5" x14ac:dyDescent="0.25">
      <c r="A292" s="113"/>
      <c r="B292" s="114"/>
      <c r="C292" s="114"/>
      <c r="D292" s="114"/>
      <c r="E292" s="114"/>
    </row>
    <row r="293" spans="1:5" x14ac:dyDescent="0.25">
      <c r="A293" s="113"/>
      <c r="B293" s="114"/>
      <c r="C293" s="114"/>
      <c r="D293" s="114"/>
      <c r="E293" s="114"/>
    </row>
    <row r="294" spans="1:5" x14ac:dyDescent="0.25">
      <c r="A294" s="113"/>
      <c r="B294" s="114"/>
      <c r="C294" s="114"/>
      <c r="D294" s="114"/>
      <c r="E294" s="114"/>
    </row>
    <row r="295" spans="1:5" x14ac:dyDescent="0.25">
      <c r="A295" s="113"/>
      <c r="B295" s="114"/>
      <c r="C295" s="114"/>
      <c r="D295" s="114"/>
      <c r="E295" s="114"/>
    </row>
    <row r="296" spans="1:5" x14ac:dyDescent="0.25">
      <c r="A296" s="113"/>
      <c r="B296" s="114"/>
      <c r="C296" s="114"/>
      <c r="D296" s="114"/>
      <c r="E296" s="114"/>
    </row>
    <row r="297" spans="1:5" x14ac:dyDescent="0.25">
      <c r="A297" s="113"/>
      <c r="B297" s="114"/>
      <c r="C297" s="114"/>
      <c r="D297" s="114"/>
      <c r="E297" s="114"/>
    </row>
    <row r="298" spans="1:5" x14ac:dyDescent="0.25">
      <c r="A298" s="113"/>
      <c r="B298" s="114"/>
      <c r="C298" s="114"/>
      <c r="D298" s="114"/>
      <c r="E298" s="114"/>
    </row>
    <row r="299" spans="1:5" x14ac:dyDescent="0.25">
      <c r="A299" s="113"/>
      <c r="B299" s="114"/>
      <c r="C299" s="114"/>
      <c r="D299" s="114"/>
      <c r="E299" s="114"/>
    </row>
    <row r="300" spans="1:5" x14ac:dyDescent="0.25">
      <c r="A300" s="113"/>
      <c r="B300" s="114"/>
      <c r="C300" s="114"/>
      <c r="D300" s="114"/>
      <c r="E300" s="114"/>
    </row>
    <row r="301" spans="1:5" x14ac:dyDescent="0.25">
      <c r="A301" s="113"/>
      <c r="B301" s="114"/>
      <c r="C301" s="114"/>
      <c r="D301" s="114"/>
      <c r="E301" s="114"/>
    </row>
    <row r="302" spans="1:5" x14ac:dyDescent="0.25">
      <c r="A302" s="113"/>
      <c r="B302" s="114"/>
      <c r="C302" s="114"/>
      <c r="D302" s="114"/>
      <c r="E302" s="114"/>
    </row>
    <row r="303" spans="1:5" x14ac:dyDescent="0.25">
      <c r="A303" s="113"/>
      <c r="B303" s="114"/>
      <c r="C303" s="114"/>
      <c r="D303" s="114"/>
      <c r="E303" s="114"/>
    </row>
    <row r="304" spans="1:5" x14ac:dyDescent="0.25">
      <c r="A304" s="113"/>
      <c r="B304" s="114"/>
      <c r="C304" s="114"/>
      <c r="D304" s="114"/>
      <c r="E304" s="114"/>
    </row>
    <row r="305" spans="1:5" x14ac:dyDescent="0.25">
      <c r="A305" s="113"/>
      <c r="B305" s="114"/>
      <c r="C305" s="114"/>
      <c r="D305" s="114"/>
      <c r="E305" s="114"/>
    </row>
    <row r="306" spans="1:5" x14ac:dyDescent="0.25">
      <c r="A306" s="113"/>
      <c r="B306" s="114"/>
      <c r="C306" s="114"/>
      <c r="D306" s="114"/>
      <c r="E306" s="114"/>
    </row>
    <row r="307" spans="1:5" x14ac:dyDescent="0.25">
      <c r="A307" s="113"/>
      <c r="B307" s="114"/>
      <c r="C307" s="114"/>
      <c r="D307" s="114"/>
      <c r="E307" s="114"/>
    </row>
    <row r="308" spans="1:5" x14ac:dyDescent="0.25">
      <c r="A308" s="113"/>
      <c r="B308" s="114"/>
      <c r="C308" s="114"/>
      <c r="D308" s="114"/>
      <c r="E308" s="114"/>
    </row>
    <row r="309" spans="1:5" x14ac:dyDescent="0.25">
      <c r="A309" s="113"/>
      <c r="B309" s="114"/>
      <c r="C309" s="114"/>
      <c r="D309" s="114"/>
      <c r="E309" s="114"/>
    </row>
    <row r="310" spans="1:5" x14ac:dyDescent="0.25">
      <c r="A310" s="113"/>
      <c r="B310" s="114"/>
      <c r="C310" s="114"/>
      <c r="D310" s="114"/>
      <c r="E310" s="114"/>
    </row>
    <row r="311" spans="1:5" x14ac:dyDescent="0.25">
      <c r="A311" s="113"/>
      <c r="B311" s="114"/>
      <c r="C311" s="114"/>
      <c r="D311" s="114"/>
      <c r="E311" s="114"/>
    </row>
    <row r="312" spans="1:5" x14ac:dyDescent="0.25">
      <c r="A312" s="113"/>
      <c r="B312" s="114"/>
      <c r="C312" s="114"/>
      <c r="D312" s="114"/>
      <c r="E312" s="114"/>
    </row>
    <row r="313" spans="1:5" x14ac:dyDescent="0.25">
      <c r="A313" s="113"/>
      <c r="B313" s="114"/>
      <c r="C313" s="114"/>
      <c r="D313" s="114"/>
      <c r="E313" s="114"/>
    </row>
    <row r="314" spans="1:5" x14ac:dyDescent="0.25">
      <c r="A314" s="113"/>
      <c r="B314" s="114"/>
      <c r="C314" s="114"/>
      <c r="D314" s="114"/>
      <c r="E314" s="114"/>
    </row>
    <row r="315" spans="1:5" x14ac:dyDescent="0.25">
      <c r="A315" s="113"/>
      <c r="B315" s="114"/>
      <c r="C315" s="114"/>
      <c r="D315" s="114"/>
      <c r="E315" s="114"/>
    </row>
    <row r="316" spans="1:5" x14ac:dyDescent="0.25">
      <c r="A316" s="113"/>
      <c r="B316" s="114"/>
      <c r="C316" s="114"/>
      <c r="D316" s="114"/>
      <c r="E316" s="114"/>
    </row>
    <row r="317" spans="1:5" x14ac:dyDescent="0.25">
      <c r="A317" s="113"/>
      <c r="B317" s="114"/>
      <c r="C317" s="114"/>
      <c r="D317" s="114"/>
      <c r="E317" s="114"/>
    </row>
    <row r="318" spans="1:5" x14ac:dyDescent="0.25">
      <c r="A318" s="113"/>
      <c r="B318" s="114"/>
      <c r="C318" s="114"/>
      <c r="D318" s="114"/>
      <c r="E318" s="114"/>
    </row>
    <row r="319" spans="1:5" x14ac:dyDescent="0.25">
      <c r="A319" s="113"/>
      <c r="B319" s="114"/>
      <c r="C319" s="114"/>
      <c r="D319" s="114"/>
      <c r="E319" s="114"/>
    </row>
    <row r="320" spans="1:5" x14ac:dyDescent="0.25">
      <c r="A320" s="113"/>
      <c r="B320" s="114"/>
      <c r="C320" s="114"/>
      <c r="D320" s="114"/>
      <c r="E320" s="114"/>
    </row>
    <row r="321" spans="1:5" x14ac:dyDescent="0.25">
      <c r="A321" s="113"/>
      <c r="B321" s="114"/>
      <c r="C321" s="114"/>
      <c r="D321" s="114"/>
      <c r="E321" s="114"/>
    </row>
    <row r="322" spans="1:5" x14ac:dyDescent="0.25">
      <c r="A322" s="113"/>
      <c r="B322" s="114"/>
      <c r="C322" s="114"/>
      <c r="D322" s="114"/>
      <c r="E322" s="114"/>
    </row>
    <row r="323" spans="1:5" x14ac:dyDescent="0.25">
      <c r="A323" s="113"/>
      <c r="B323" s="114"/>
      <c r="C323" s="114"/>
      <c r="D323" s="114"/>
      <c r="E323" s="114"/>
    </row>
    <row r="324" spans="1:5" x14ac:dyDescent="0.25">
      <c r="A324" s="113"/>
      <c r="B324" s="114"/>
      <c r="C324" s="114"/>
      <c r="D324" s="114"/>
      <c r="E324" s="114"/>
    </row>
    <row r="325" spans="1:5" x14ac:dyDescent="0.25">
      <c r="A325" s="113"/>
      <c r="B325" s="114"/>
      <c r="C325" s="114"/>
      <c r="D325" s="114"/>
      <c r="E325" s="114"/>
    </row>
    <row r="326" spans="1:5" x14ac:dyDescent="0.25">
      <c r="A326" s="113"/>
      <c r="B326" s="114"/>
      <c r="C326" s="114"/>
      <c r="D326" s="114"/>
      <c r="E326" s="114"/>
    </row>
    <row r="327" spans="1:5" x14ac:dyDescent="0.25">
      <c r="A327" s="113"/>
      <c r="B327" s="114"/>
      <c r="C327" s="114"/>
      <c r="D327" s="114"/>
      <c r="E327" s="114"/>
    </row>
    <row r="328" spans="1:5" x14ac:dyDescent="0.25">
      <c r="A328" s="113"/>
      <c r="B328" s="114"/>
      <c r="C328" s="114"/>
      <c r="D328" s="114"/>
      <c r="E328" s="114"/>
    </row>
    <row r="329" spans="1:5" x14ac:dyDescent="0.25">
      <c r="A329" s="113"/>
      <c r="B329" s="114"/>
      <c r="C329" s="114"/>
      <c r="D329" s="114"/>
      <c r="E329" s="114"/>
    </row>
    <row r="330" spans="1:5" x14ac:dyDescent="0.25">
      <c r="A330" s="113"/>
      <c r="B330" s="114"/>
      <c r="C330" s="114"/>
      <c r="D330" s="114"/>
      <c r="E330" s="114"/>
    </row>
    <row r="331" spans="1:5" x14ac:dyDescent="0.25">
      <c r="A331" s="113"/>
      <c r="B331" s="114"/>
      <c r="C331" s="114"/>
      <c r="D331" s="114"/>
      <c r="E331" s="114"/>
    </row>
    <row r="332" spans="1:5" x14ac:dyDescent="0.25">
      <c r="A332" s="113"/>
      <c r="B332" s="114"/>
      <c r="C332" s="114"/>
      <c r="D332" s="114"/>
      <c r="E332" s="114"/>
    </row>
    <row r="333" spans="1:5" x14ac:dyDescent="0.25">
      <c r="A333" s="113"/>
      <c r="B333" s="114"/>
      <c r="C333" s="114"/>
      <c r="D333" s="114"/>
      <c r="E333" s="114"/>
    </row>
    <row r="334" spans="1:5" x14ac:dyDescent="0.25">
      <c r="A334" s="113"/>
      <c r="B334" s="114"/>
      <c r="C334" s="114"/>
      <c r="D334" s="114"/>
      <c r="E334" s="114"/>
    </row>
    <row r="335" spans="1:5" x14ac:dyDescent="0.25">
      <c r="A335" s="113"/>
      <c r="B335" s="114"/>
      <c r="C335" s="114"/>
      <c r="D335" s="114"/>
      <c r="E335" s="114"/>
    </row>
    <row r="336" spans="1:5" x14ac:dyDescent="0.25">
      <c r="A336" s="113"/>
      <c r="B336" s="114"/>
      <c r="C336" s="114"/>
      <c r="D336" s="114"/>
      <c r="E336" s="114"/>
    </row>
    <row r="337" spans="1:5" x14ac:dyDescent="0.25">
      <c r="A337" s="113"/>
      <c r="B337" s="114"/>
      <c r="C337" s="114"/>
      <c r="D337" s="114"/>
      <c r="E337" s="114"/>
    </row>
    <row r="338" spans="1:5" x14ac:dyDescent="0.25">
      <c r="A338" s="113"/>
      <c r="B338" s="114"/>
      <c r="C338" s="114"/>
      <c r="D338" s="114"/>
      <c r="E338" s="114"/>
    </row>
    <row r="339" spans="1:5" x14ac:dyDescent="0.25">
      <c r="A339" s="113"/>
      <c r="B339" s="114"/>
      <c r="C339" s="114"/>
      <c r="D339" s="114"/>
      <c r="E339" s="114"/>
    </row>
    <row r="340" spans="1:5" x14ac:dyDescent="0.25">
      <c r="A340" s="113"/>
      <c r="B340" s="114"/>
      <c r="C340" s="114"/>
      <c r="D340" s="114"/>
      <c r="E340" s="114"/>
    </row>
    <row r="341" spans="1:5" x14ac:dyDescent="0.25">
      <c r="A341" s="113"/>
      <c r="B341" s="114"/>
      <c r="C341" s="114"/>
      <c r="D341" s="114"/>
      <c r="E341" s="114"/>
    </row>
    <row r="342" spans="1:5" x14ac:dyDescent="0.25">
      <c r="A342" s="113"/>
      <c r="B342" s="114"/>
      <c r="C342" s="114"/>
      <c r="D342" s="114"/>
      <c r="E342" s="114"/>
    </row>
    <row r="343" spans="1:5" x14ac:dyDescent="0.25">
      <c r="A343" s="113"/>
      <c r="B343" s="114"/>
      <c r="C343" s="114"/>
      <c r="D343" s="114"/>
      <c r="E343" s="114"/>
    </row>
    <row r="344" spans="1:5" x14ac:dyDescent="0.25">
      <c r="A344" s="113"/>
      <c r="B344" s="114"/>
      <c r="C344" s="114"/>
      <c r="D344" s="114"/>
      <c r="E344" s="114"/>
    </row>
    <row r="345" spans="1:5" x14ac:dyDescent="0.25">
      <c r="A345" s="113"/>
      <c r="B345" s="114"/>
      <c r="C345" s="114"/>
      <c r="D345" s="114"/>
      <c r="E345" s="114"/>
    </row>
    <row r="346" spans="1:5" x14ac:dyDescent="0.25">
      <c r="A346" s="113"/>
      <c r="B346" s="114"/>
      <c r="C346" s="114"/>
      <c r="D346" s="114"/>
      <c r="E346" s="114"/>
    </row>
    <row r="347" spans="1:5" x14ac:dyDescent="0.25">
      <c r="A347" s="113"/>
      <c r="B347" s="114"/>
      <c r="C347" s="114"/>
      <c r="D347" s="114"/>
      <c r="E347" s="114"/>
    </row>
    <row r="348" spans="1:5" x14ac:dyDescent="0.25">
      <c r="A348" s="113"/>
      <c r="B348" s="114"/>
      <c r="C348" s="114"/>
      <c r="D348" s="114"/>
      <c r="E348" s="114"/>
    </row>
    <row r="349" spans="1:5" x14ac:dyDescent="0.25">
      <c r="A349" s="113"/>
      <c r="B349" s="114"/>
      <c r="C349" s="114"/>
      <c r="D349" s="114"/>
      <c r="E349" s="114"/>
    </row>
    <row r="350" spans="1:5" x14ac:dyDescent="0.25">
      <c r="A350" s="113"/>
      <c r="B350" s="114"/>
      <c r="C350" s="114"/>
      <c r="D350" s="114"/>
      <c r="E350" s="114"/>
    </row>
    <row r="351" spans="1:5" x14ac:dyDescent="0.25">
      <c r="A351" s="113"/>
      <c r="B351" s="114"/>
      <c r="C351" s="114"/>
      <c r="D351" s="114"/>
      <c r="E351" s="114"/>
    </row>
    <row r="352" spans="1:5" x14ac:dyDescent="0.25">
      <c r="A352" s="113"/>
      <c r="B352" s="114"/>
      <c r="C352" s="114"/>
      <c r="D352" s="114"/>
      <c r="E352" s="114"/>
    </row>
    <row r="353" spans="1:5" x14ac:dyDescent="0.25">
      <c r="A353" s="113"/>
      <c r="B353" s="114"/>
      <c r="C353" s="114"/>
      <c r="D353" s="114"/>
      <c r="E353" s="114"/>
    </row>
    <row r="354" spans="1:5" x14ac:dyDescent="0.25">
      <c r="A354" s="113"/>
      <c r="B354" s="114"/>
      <c r="C354" s="114"/>
      <c r="D354" s="114"/>
      <c r="E354" s="114"/>
    </row>
    <row r="355" spans="1:5" x14ac:dyDescent="0.25">
      <c r="A355" s="113"/>
      <c r="B355" s="114"/>
      <c r="C355" s="114"/>
      <c r="D355" s="114"/>
      <c r="E355" s="114"/>
    </row>
    <row r="356" spans="1:5" x14ac:dyDescent="0.25">
      <c r="A356" s="113"/>
      <c r="B356" s="114"/>
      <c r="C356" s="114"/>
      <c r="D356" s="114"/>
      <c r="E356" s="114"/>
    </row>
    <row r="357" spans="1:5" x14ac:dyDescent="0.25">
      <c r="A357" s="113"/>
      <c r="B357" s="114"/>
      <c r="C357" s="114"/>
      <c r="D357" s="114"/>
      <c r="E357" s="114"/>
    </row>
    <row r="358" spans="1:5" x14ac:dyDescent="0.25">
      <c r="A358" s="113"/>
      <c r="B358" s="114"/>
      <c r="C358" s="114"/>
      <c r="D358" s="114"/>
      <c r="E358" s="114"/>
    </row>
    <row r="359" spans="1:5" x14ac:dyDescent="0.25">
      <c r="A359" s="113"/>
      <c r="B359" s="114"/>
      <c r="C359" s="114"/>
      <c r="D359" s="114"/>
      <c r="E359" s="114"/>
    </row>
    <row r="360" spans="1:5" x14ac:dyDescent="0.25">
      <c r="A360" s="113"/>
      <c r="B360" s="114"/>
      <c r="C360" s="114"/>
      <c r="D360" s="114"/>
      <c r="E360" s="114"/>
    </row>
    <row r="361" spans="1:5" x14ac:dyDescent="0.25">
      <c r="A361" s="113"/>
      <c r="B361" s="114"/>
      <c r="C361" s="114"/>
      <c r="D361" s="114"/>
      <c r="E361" s="114"/>
    </row>
    <row r="362" spans="1:5" x14ac:dyDescent="0.25">
      <c r="A362" s="113"/>
      <c r="B362" s="114"/>
      <c r="C362" s="114"/>
      <c r="D362" s="114"/>
      <c r="E362" s="114"/>
    </row>
    <row r="363" spans="1:5" x14ac:dyDescent="0.25">
      <c r="A363" s="113"/>
      <c r="B363" s="114"/>
      <c r="C363" s="114"/>
      <c r="D363" s="114"/>
      <c r="E363" s="114"/>
    </row>
    <row r="364" spans="1:5" x14ac:dyDescent="0.25">
      <c r="A364" s="113"/>
      <c r="B364" s="114"/>
      <c r="C364" s="114"/>
      <c r="D364" s="114"/>
      <c r="E364" s="114"/>
    </row>
    <row r="365" spans="1:5" x14ac:dyDescent="0.25">
      <c r="A365" s="113"/>
      <c r="B365" s="114"/>
      <c r="C365" s="114"/>
      <c r="D365" s="114"/>
      <c r="E365" s="114"/>
    </row>
    <row r="366" spans="1:5" x14ac:dyDescent="0.25">
      <c r="A366" s="113"/>
      <c r="B366" s="114"/>
      <c r="C366" s="114"/>
      <c r="D366" s="114"/>
      <c r="E366" s="114"/>
    </row>
    <row r="367" spans="1:5" x14ac:dyDescent="0.25">
      <c r="A367" s="113"/>
      <c r="B367" s="114"/>
      <c r="C367" s="114"/>
      <c r="D367" s="114"/>
      <c r="E367" s="114"/>
    </row>
    <row r="368" spans="1:5" x14ac:dyDescent="0.25">
      <c r="A368" s="113"/>
      <c r="B368" s="114"/>
      <c r="C368" s="114"/>
      <c r="D368" s="114"/>
      <c r="E368" s="114"/>
    </row>
    <row r="369" spans="1:5" x14ac:dyDescent="0.25">
      <c r="A369" s="113"/>
      <c r="B369" s="114"/>
      <c r="C369" s="114"/>
      <c r="D369" s="114"/>
      <c r="E369" s="114"/>
    </row>
    <row r="370" spans="1:5" x14ac:dyDescent="0.25">
      <c r="A370" s="113"/>
      <c r="B370" s="114"/>
      <c r="C370" s="114"/>
      <c r="D370" s="114"/>
      <c r="E370" s="114"/>
    </row>
    <row r="371" spans="1:5" x14ac:dyDescent="0.25">
      <c r="A371" s="113"/>
      <c r="B371" s="114"/>
      <c r="C371" s="114"/>
      <c r="D371" s="114"/>
      <c r="E371" s="114"/>
    </row>
    <row r="372" spans="1:5" x14ac:dyDescent="0.25">
      <c r="A372" s="113"/>
      <c r="B372" s="114"/>
      <c r="C372" s="114"/>
      <c r="D372" s="114"/>
      <c r="E372" s="114"/>
    </row>
    <row r="373" spans="1:5" x14ac:dyDescent="0.25">
      <c r="A373" s="113"/>
      <c r="B373" s="114"/>
      <c r="C373" s="114"/>
      <c r="D373" s="114"/>
      <c r="E373" s="114"/>
    </row>
    <row r="374" spans="1:5" x14ac:dyDescent="0.25">
      <c r="A374" s="113"/>
      <c r="B374" s="114"/>
      <c r="C374" s="114"/>
      <c r="D374" s="114"/>
      <c r="E374" s="114"/>
    </row>
    <row r="375" spans="1:5" x14ac:dyDescent="0.25">
      <c r="A375" s="113"/>
      <c r="B375" s="114"/>
      <c r="C375" s="114"/>
      <c r="D375" s="114"/>
      <c r="E375" s="114"/>
    </row>
    <row r="376" spans="1:5" x14ac:dyDescent="0.25">
      <c r="A376" s="113"/>
      <c r="B376" s="114"/>
      <c r="C376" s="114"/>
      <c r="D376" s="114"/>
      <c r="E376" s="114"/>
    </row>
    <row r="377" spans="1:5" x14ac:dyDescent="0.25">
      <c r="A377" s="113"/>
      <c r="B377" s="114"/>
      <c r="C377" s="114"/>
      <c r="D377" s="114"/>
      <c r="E377" s="114"/>
    </row>
    <row r="378" spans="1:5" x14ac:dyDescent="0.25">
      <c r="A378" s="113"/>
      <c r="B378" s="114"/>
      <c r="C378" s="114"/>
      <c r="D378" s="114"/>
      <c r="E378" s="114"/>
    </row>
    <row r="379" spans="1:5" x14ac:dyDescent="0.25">
      <c r="A379" s="113"/>
      <c r="B379" s="114"/>
      <c r="C379" s="114"/>
      <c r="D379" s="114"/>
      <c r="E379" s="114"/>
    </row>
    <row r="380" spans="1:5" x14ac:dyDescent="0.25">
      <c r="A380" s="113"/>
      <c r="B380" s="114"/>
      <c r="C380" s="114"/>
      <c r="D380" s="114"/>
      <c r="E380" s="114"/>
    </row>
    <row r="381" spans="1:5" x14ac:dyDescent="0.25">
      <c r="A381" s="113"/>
      <c r="B381" s="114"/>
      <c r="C381" s="114"/>
      <c r="D381" s="114"/>
      <c r="E381" s="114"/>
    </row>
    <row r="382" spans="1:5" x14ac:dyDescent="0.25">
      <c r="A382" s="113"/>
      <c r="B382" s="114"/>
      <c r="C382" s="114"/>
      <c r="D382" s="114"/>
      <c r="E382" s="114"/>
    </row>
    <row r="383" spans="1:5" x14ac:dyDescent="0.25">
      <c r="A383" s="113"/>
      <c r="B383" s="114"/>
      <c r="C383" s="114"/>
      <c r="D383" s="114"/>
      <c r="E383" s="114"/>
    </row>
    <row r="384" spans="1:5" x14ac:dyDescent="0.25">
      <c r="A384" s="113"/>
      <c r="B384" s="114"/>
      <c r="C384" s="114"/>
      <c r="D384" s="114"/>
      <c r="E384" s="114"/>
    </row>
    <row r="385" spans="1:5" x14ac:dyDescent="0.25">
      <c r="A385" s="113"/>
      <c r="B385" s="114"/>
      <c r="C385" s="114"/>
      <c r="D385" s="114"/>
      <c r="E385" s="114"/>
    </row>
    <row r="386" spans="1:5" x14ac:dyDescent="0.25">
      <c r="A386" s="113"/>
      <c r="B386" s="114"/>
      <c r="C386" s="114"/>
      <c r="D386" s="114"/>
      <c r="E386" s="114"/>
    </row>
    <row r="387" spans="1:5" x14ac:dyDescent="0.25">
      <c r="A387" s="113"/>
      <c r="B387" s="114"/>
      <c r="C387" s="114"/>
      <c r="D387" s="114"/>
      <c r="E387" s="114"/>
    </row>
    <row r="388" spans="1:5" x14ac:dyDescent="0.25">
      <c r="A388" s="113"/>
      <c r="B388" s="114"/>
      <c r="C388" s="114"/>
      <c r="D388" s="114"/>
      <c r="E388" s="114"/>
    </row>
    <row r="389" spans="1:5" x14ac:dyDescent="0.25">
      <c r="A389" s="113"/>
      <c r="B389" s="114"/>
      <c r="C389" s="114"/>
      <c r="D389" s="114"/>
      <c r="E389" s="114"/>
    </row>
    <row r="390" spans="1:5" x14ac:dyDescent="0.25">
      <c r="A390" s="113"/>
      <c r="B390" s="114"/>
      <c r="C390" s="114"/>
      <c r="D390" s="114"/>
      <c r="E390" s="114"/>
    </row>
    <row r="391" spans="1:5" x14ac:dyDescent="0.25">
      <c r="A391" s="113"/>
      <c r="B391" s="114"/>
      <c r="C391" s="114"/>
      <c r="D391" s="114"/>
      <c r="E391" s="114"/>
    </row>
    <row r="392" spans="1:5" x14ac:dyDescent="0.25">
      <c r="A392" s="113"/>
      <c r="B392" s="114"/>
      <c r="C392" s="114"/>
      <c r="D392" s="114"/>
      <c r="E392" s="114"/>
    </row>
    <row r="393" spans="1:5" x14ac:dyDescent="0.25">
      <c r="A393" s="113"/>
      <c r="B393" s="114"/>
      <c r="C393" s="114"/>
      <c r="D393" s="114"/>
      <c r="E393" s="114"/>
    </row>
    <row r="394" spans="1:5" x14ac:dyDescent="0.25">
      <c r="A394" s="113"/>
      <c r="B394" s="114"/>
      <c r="C394" s="114"/>
      <c r="D394" s="114"/>
      <c r="E394" s="114"/>
    </row>
    <row r="395" spans="1:5" x14ac:dyDescent="0.25">
      <c r="A395" s="113"/>
      <c r="B395" s="114"/>
      <c r="C395" s="114"/>
      <c r="D395" s="114"/>
      <c r="E395" s="114"/>
    </row>
    <row r="396" spans="1:5" x14ac:dyDescent="0.25">
      <c r="A396" s="113"/>
      <c r="B396" s="114"/>
      <c r="C396" s="114"/>
      <c r="D396" s="114"/>
      <c r="E396" s="114"/>
    </row>
    <row r="397" spans="1:5" x14ac:dyDescent="0.25">
      <c r="A397" s="113"/>
      <c r="B397" s="114"/>
      <c r="C397" s="114"/>
      <c r="D397" s="114"/>
      <c r="E397" s="114"/>
    </row>
    <row r="398" spans="1:5" x14ac:dyDescent="0.25">
      <c r="A398" s="113"/>
      <c r="B398" s="114"/>
      <c r="C398" s="114"/>
      <c r="D398" s="114"/>
      <c r="E398" s="114"/>
    </row>
    <row r="399" spans="1:5" x14ac:dyDescent="0.25">
      <c r="A399" s="113"/>
      <c r="B399" s="114"/>
      <c r="C399" s="114"/>
      <c r="D399" s="114"/>
      <c r="E399" s="114"/>
    </row>
    <row r="400" spans="1:5" x14ac:dyDescent="0.25">
      <c r="A400" s="113"/>
      <c r="B400" s="114"/>
      <c r="C400" s="114"/>
      <c r="D400" s="114"/>
      <c r="E400" s="114"/>
    </row>
    <row r="401" spans="1:5" x14ac:dyDescent="0.25">
      <c r="A401" s="113"/>
      <c r="B401" s="114"/>
      <c r="C401" s="114"/>
      <c r="D401" s="114"/>
      <c r="E401" s="114"/>
    </row>
    <row r="402" spans="1:5" x14ac:dyDescent="0.25">
      <c r="A402" s="113"/>
      <c r="B402" s="114"/>
      <c r="C402" s="114"/>
      <c r="D402" s="114"/>
      <c r="E402" s="114"/>
    </row>
    <row r="403" spans="1:5" x14ac:dyDescent="0.25">
      <c r="A403" s="113"/>
      <c r="B403" s="114"/>
      <c r="C403" s="114"/>
      <c r="D403" s="114"/>
      <c r="E403" s="114"/>
    </row>
    <row r="404" spans="1:5" x14ac:dyDescent="0.25">
      <c r="A404" s="113"/>
      <c r="B404" s="114"/>
      <c r="C404" s="114"/>
      <c r="D404" s="114"/>
      <c r="E404" s="114"/>
    </row>
    <row r="405" spans="1:5" x14ac:dyDescent="0.25">
      <c r="A405" s="113"/>
      <c r="B405" s="114"/>
      <c r="C405" s="114"/>
      <c r="D405" s="114"/>
      <c r="E405" s="114"/>
    </row>
    <row r="406" spans="1:5" x14ac:dyDescent="0.25">
      <c r="A406" s="113"/>
      <c r="B406" s="114"/>
      <c r="C406" s="114"/>
      <c r="D406" s="114"/>
      <c r="E406" s="114"/>
    </row>
    <row r="407" spans="1:5" x14ac:dyDescent="0.25">
      <c r="A407" s="113"/>
      <c r="B407" s="114"/>
      <c r="C407" s="114"/>
      <c r="D407" s="114"/>
      <c r="E407" s="114"/>
    </row>
    <row r="408" spans="1:5" x14ac:dyDescent="0.25">
      <c r="A408" s="113"/>
      <c r="B408" s="114"/>
      <c r="C408" s="114"/>
      <c r="D408" s="114"/>
      <c r="E408" s="114"/>
    </row>
    <row r="409" spans="1:5" x14ac:dyDescent="0.25">
      <c r="A409" s="113"/>
      <c r="B409" s="114"/>
      <c r="C409" s="114"/>
      <c r="D409" s="114"/>
      <c r="E409" s="114"/>
    </row>
    <row r="410" spans="1:5" x14ac:dyDescent="0.25">
      <c r="A410" s="113"/>
      <c r="B410" s="114"/>
      <c r="C410" s="114"/>
      <c r="D410" s="114"/>
      <c r="E410" s="114"/>
    </row>
    <row r="411" spans="1:5" x14ac:dyDescent="0.25">
      <c r="A411" s="113"/>
      <c r="B411" s="114"/>
      <c r="C411" s="114"/>
      <c r="D411" s="114"/>
      <c r="E411" s="114"/>
    </row>
    <row r="412" spans="1:5" x14ac:dyDescent="0.25">
      <c r="A412" s="113"/>
      <c r="B412" s="114"/>
      <c r="C412" s="114"/>
      <c r="D412" s="114"/>
      <c r="E412" s="114"/>
    </row>
    <row r="413" spans="1:5" x14ac:dyDescent="0.25">
      <c r="A413" s="113"/>
      <c r="B413" s="114"/>
      <c r="C413" s="114"/>
      <c r="D413" s="114"/>
      <c r="E413" s="114"/>
    </row>
    <row r="414" spans="1:5" x14ac:dyDescent="0.25">
      <c r="A414" s="113"/>
      <c r="B414" s="114"/>
      <c r="C414" s="114"/>
      <c r="D414" s="114"/>
      <c r="E414" s="114"/>
    </row>
    <row r="415" spans="1:5" x14ac:dyDescent="0.25">
      <c r="A415" s="113"/>
      <c r="B415" s="114"/>
      <c r="C415" s="114"/>
      <c r="D415" s="114"/>
      <c r="E415" s="114"/>
    </row>
    <row r="416" spans="1:5" x14ac:dyDescent="0.25">
      <c r="A416" s="113"/>
      <c r="B416" s="114"/>
      <c r="C416" s="114"/>
      <c r="D416" s="114"/>
      <c r="E416" s="114"/>
    </row>
    <row r="417" spans="1:5" x14ac:dyDescent="0.25">
      <c r="A417" s="113"/>
      <c r="B417" s="114"/>
      <c r="C417" s="114"/>
      <c r="D417" s="114"/>
      <c r="E417" s="114"/>
    </row>
    <row r="418" spans="1:5" x14ac:dyDescent="0.25">
      <c r="A418" s="113"/>
      <c r="B418" s="114"/>
      <c r="C418" s="114"/>
      <c r="D418" s="114"/>
      <c r="E418" s="114"/>
    </row>
    <row r="419" spans="1:5" x14ac:dyDescent="0.25">
      <c r="A419" s="113"/>
      <c r="B419" s="114"/>
      <c r="C419" s="114"/>
      <c r="D419" s="114"/>
      <c r="E419" s="114"/>
    </row>
    <row r="420" spans="1:5" x14ac:dyDescent="0.25">
      <c r="A420" s="113"/>
      <c r="B420" s="114"/>
      <c r="C420" s="114"/>
      <c r="D420" s="114"/>
      <c r="E420" s="114"/>
    </row>
    <row r="421" spans="1:5" x14ac:dyDescent="0.25">
      <c r="A421" s="113"/>
      <c r="B421" s="114"/>
      <c r="C421" s="114"/>
      <c r="D421" s="114"/>
      <c r="E421" s="114"/>
    </row>
    <row r="422" spans="1:5" x14ac:dyDescent="0.25">
      <c r="A422" s="113"/>
      <c r="B422" s="114"/>
      <c r="C422" s="114"/>
      <c r="D422" s="114"/>
      <c r="E422" s="114"/>
    </row>
    <row r="423" spans="1:5" x14ac:dyDescent="0.25">
      <c r="A423" s="113"/>
      <c r="B423" s="114"/>
      <c r="C423" s="114"/>
      <c r="D423" s="114"/>
      <c r="E423" s="114"/>
    </row>
    <row r="424" spans="1:5" x14ac:dyDescent="0.25">
      <c r="A424" s="113"/>
      <c r="B424" s="114"/>
      <c r="C424" s="114"/>
      <c r="D424" s="114"/>
      <c r="E424" s="114"/>
    </row>
    <row r="425" spans="1:5" x14ac:dyDescent="0.25">
      <c r="A425" s="113"/>
      <c r="B425" s="114"/>
      <c r="C425" s="114"/>
      <c r="D425" s="114"/>
      <c r="E425" s="114"/>
    </row>
    <row r="426" spans="1:5" x14ac:dyDescent="0.25">
      <c r="A426" s="113"/>
      <c r="B426" s="114"/>
      <c r="C426" s="114"/>
      <c r="D426" s="114"/>
      <c r="E426" s="114"/>
    </row>
    <row r="427" spans="1:5" x14ac:dyDescent="0.25">
      <c r="A427" s="113"/>
      <c r="B427" s="114"/>
      <c r="C427" s="114"/>
      <c r="D427" s="114"/>
      <c r="E427" s="114"/>
    </row>
    <row r="428" spans="1:5" x14ac:dyDescent="0.25">
      <c r="A428" s="113"/>
      <c r="B428" s="114"/>
      <c r="C428" s="114"/>
      <c r="D428" s="114"/>
      <c r="E428" s="114"/>
    </row>
    <row r="429" spans="1:5" x14ac:dyDescent="0.25">
      <c r="A429" s="113"/>
      <c r="B429" s="114"/>
      <c r="C429" s="114"/>
      <c r="D429" s="114"/>
      <c r="E429" s="114"/>
    </row>
    <row r="430" spans="1:5" x14ac:dyDescent="0.25">
      <c r="A430" s="113"/>
      <c r="B430" s="114"/>
      <c r="C430" s="114"/>
      <c r="D430" s="114"/>
      <c r="E430" s="114"/>
    </row>
    <row r="431" spans="1:5" x14ac:dyDescent="0.25">
      <c r="A431" s="113"/>
      <c r="B431" s="114"/>
      <c r="C431" s="114"/>
      <c r="D431" s="114"/>
      <c r="E431" s="114"/>
    </row>
    <row r="432" spans="1:5" x14ac:dyDescent="0.25">
      <c r="A432" s="113"/>
      <c r="B432" s="114"/>
      <c r="C432" s="114"/>
      <c r="D432" s="114"/>
      <c r="E432" s="114"/>
    </row>
    <row r="433" spans="1:5" x14ac:dyDescent="0.25">
      <c r="A433" s="113"/>
      <c r="B433" s="114"/>
      <c r="C433" s="114"/>
      <c r="D433" s="114"/>
      <c r="E433" s="114"/>
    </row>
    <row r="434" spans="1:5" x14ac:dyDescent="0.25">
      <c r="A434" s="113"/>
      <c r="B434" s="114"/>
      <c r="C434" s="114"/>
      <c r="D434" s="114"/>
      <c r="E434" s="114"/>
    </row>
    <row r="435" spans="1:5" x14ac:dyDescent="0.25">
      <c r="A435" s="113"/>
      <c r="B435" s="114"/>
      <c r="C435" s="114"/>
      <c r="D435" s="114"/>
      <c r="E435" s="114"/>
    </row>
    <row r="436" spans="1:5" x14ac:dyDescent="0.25">
      <c r="A436" s="113"/>
      <c r="B436" s="114"/>
      <c r="C436" s="114"/>
      <c r="D436" s="114"/>
      <c r="E436" s="114"/>
    </row>
    <row r="437" spans="1:5" x14ac:dyDescent="0.25">
      <c r="A437" s="113"/>
      <c r="B437" s="114"/>
      <c r="C437" s="114"/>
      <c r="D437" s="114"/>
      <c r="E437" s="114"/>
    </row>
    <row r="438" spans="1:5" x14ac:dyDescent="0.25">
      <c r="A438" s="113"/>
      <c r="B438" s="114"/>
      <c r="C438" s="114"/>
      <c r="D438" s="114"/>
      <c r="E438" s="114"/>
    </row>
    <row r="439" spans="1:5" x14ac:dyDescent="0.25">
      <c r="A439" s="113"/>
      <c r="B439" s="114"/>
      <c r="C439" s="114"/>
      <c r="D439" s="114"/>
      <c r="E439" s="114"/>
    </row>
    <row r="440" spans="1:5" x14ac:dyDescent="0.25">
      <c r="A440" s="113"/>
      <c r="B440" s="114"/>
      <c r="C440" s="114"/>
      <c r="D440" s="114"/>
      <c r="E440" s="114"/>
    </row>
    <row r="441" spans="1:5" x14ac:dyDescent="0.25">
      <c r="A441" s="113"/>
      <c r="B441" s="114"/>
      <c r="C441" s="114"/>
      <c r="D441" s="114"/>
      <c r="E441" s="114"/>
    </row>
    <row r="442" spans="1:5" x14ac:dyDescent="0.25">
      <c r="A442" s="113"/>
      <c r="B442" s="114"/>
      <c r="C442" s="114"/>
      <c r="D442" s="114"/>
      <c r="E442" s="114"/>
    </row>
    <row r="443" spans="1:5" x14ac:dyDescent="0.25">
      <c r="A443" s="113"/>
      <c r="B443" s="114"/>
      <c r="C443" s="114"/>
      <c r="D443" s="114"/>
      <c r="E443" s="114"/>
    </row>
    <row r="444" spans="1:5" x14ac:dyDescent="0.25">
      <c r="A444" s="113"/>
      <c r="B444" s="114"/>
      <c r="C444" s="114"/>
      <c r="D444" s="114"/>
      <c r="E444" s="114"/>
    </row>
    <row r="445" spans="1:5" x14ac:dyDescent="0.25">
      <c r="A445" s="113"/>
      <c r="B445" s="114"/>
      <c r="C445" s="114"/>
      <c r="D445" s="114"/>
      <c r="E445" s="114"/>
    </row>
    <row r="446" spans="1:5" x14ac:dyDescent="0.25">
      <c r="A446" s="113"/>
      <c r="B446" s="114"/>
      <c r="C446" s="114"/>
      <c r="D446" s="114"/>
      <c r="E446" s="114"/>
    </row>
    <row r="447" spans="1:5" x14ac:dyDescent="0.25">
      <c r="A447" s="113"/>
      <c r="B447" s="114"/>
      <c r="C447" s="114"/>
      <c r="D447" s="114"/>
      <c r="E447" s="114"/>
    </row>
    <row r="448" spans="1:5" x14ac:dyDescent="0.25">
      <c r="A448" s="113"/>
      <c r="B448" s="114"/>
      <c r="C448" s="114"/>
      <c r="D448" s="114"/>
      <c r="E448" s="114"/>
    </row>
    <row r="449" spans="1:5" x14ac:dyDescent="0.25">
      <c r="A449" s="113"/>
      <c r="B449" s="114"/>
      <c r="C449" s="114"/>
      <c r="D449" s="114"/>
      <c r="E449" s="114"/>
    </row>
    <row r="450" spans="1:5" x14ac:dyDescent="0.25">
      <c r="A450" s="113"/>
      <c r="B450" s="114"/>
      <c r="C450" s="114"/>
      <c r="D450" s="114"/>
      <c r="E450" s="114"/>
    </row>
    <row r="451" spans="1:5" x14ac:dyDescent="0.25">
      <c r="A451" s="113"/>
      <c r="B451" s="114"/>
      <c r="C451" s="114"/>
      <c r="D451" s="114"/>
      <c r="E451" s="114"/>
    </row>
    <row r="452" spans="1:5" x14ac:dyDescent="0.25">
      <c r="A452" s="113"/>
      <c r="B452" s="114"/>
      <c r="C452" s="114"/>
      <c r="D452" s="114"/>
      <c r="E452" s="114"/>
    </row>
    <row r="453" spans="1:5" x14ac:dyDescent="0.25">
      <c r="A453" s="113"/>
      <c r="B453" s="114"/>
      <c r="C453" s="114"/>
      <c r="D453" s="114"/>
      <c r="E453" s="114"/>
    </row>
    <row r="454" spans="1:5" x14ac:dyDescent="0.25">
      <c r="A454" s="113"/>
      <c r="B454" s="114"/>
      <c r="C454" s="114"/>
      <c r="D454" s="114"/>
      <c r="E454" s="114"/>
    </row>
    <row r="455" spans="1:5" x14ac:dyDescent="0.25">
      <c r="A455" s="113"/>
      <c r="B455" s="114"/>
      <c r="C455" s="114"/>
      <c r="D455" s="114"/>
      <c r="E455" s="114"/>
    </row>
    <row r="456" spans="1:5" x14ac:dyDescent="0.25">
      <c r="A456" s="113"/>
      <c r="B456" s="114"/>
      <c r="C456" s="114"/>
      <c r="D456" s="114"/>
      <c r="E456" s="114"/>
    </row>
    <row r="457" spans="1:5" x14ac:dyDescent="0.25">
      <c r="A457" s="113"/>
      <c r="B457" s="114"/>
      <c r="C457" s="114"/>
      <c r="D457" s="114"/>
      <c r="E457" s="114"/>
    </row>
    <row r="458" spans="1:5" x14ac:dyDescent="0.25">
      <c r="A458" s="113"/>
      <c r="B458" s="114"/>
      <c r="C458" s="114"/>
      <c r="D458" s="114"/>
      <c r="E458" s="114"/>
    </row>
    <row r="459" spans="1:5" x14ac:dyDescent="0.25">
      <c r="A459" s="113"/>
      <c r="B459" s="114"/>
      <c r="C459" s="114"/>
      <c r="D459" s="114"/>
      <c r="E459" s="114"/>
    </row>
    <row r="460" spans="1:5" x14ac:dyDescent="0.25">
      <c r="A460" s="113"/>
      <c r="B460" s="114"/>
      <c r="C460" s="114"/>
      <c r="D460" s="114"/>
      <c r="E460" s="114"/>
    </row>
    <row r="461" spans="1:5" x14ac:dyDescent="0.25">
      <c r="A461" s="113"/>
      <c r="B461" s="114"/>
      <c r="C461" s="114"/>
      <c r="D461" s="114"/>
      <c r="E461" s="114"/>
    </row>
    <row r="462" spans="1:5" x14ac:dyDescent="0.25">
      <c r="A462" s="113"/>
      <c r="B462" s="114"/>
      <c r="C462" s="114"/>
      <c r="D462" s="114"/>
      <c r="E462" s="114"/>
    </row>
    <row r="463" spans="1:5" x14ac:dyDescent="0.25">
      <c r="A463" s="113"/>
      <c r="B463" s="114"/>
      <c r="C463" s="114"/>
      <c r="D463" s="114"/>
      <c r="E463" s="114"/>
    </row>
    <row r="464" spans="1:5" x14ac:dyDescent="0.25">
      <c r="A464" s="113"/>
      <c r="B464" s="114"/>
      <c r="C464" s="114"/>
      <c r="D464" s="114"/>
      <c r="E464" s="114"/>
    </row>
    <row r="465" spans="1:5" x14ac:dyDescent="0.25">
      <c r="A465" s="113"/>
      <c r="B465" s="114"/>
      <c r="C465" s="114"/>
      <c r="D465" s="114"/>
      <c r="E465" s="114"/>
    </row>
    <row r="466" spans="1:5" x14ac:dyDescent="0.25">
      <c r="A466" s="113"/>
      <c r="B466" s="114"/>
      <c r="C466" s="114"/>
      <c r="D466" s="114"/>
      <c r="E466" s="114"/>
    </row>
    <row r="467" spans="1:5" x14ac:dyDescent="0.25">
      <c r="A467" s="113"/>
      <c r="B467" s="114"/>
      <c r="C467" s="114"/>
      <c r="D467" s="114"/>
      <c r="E467" s="114"/>
    </row>
    <row r="468" spans="1:5" x14ac:dyDescent="0.25">
      <c r="A468" s="113"/>
      <c r="B468" s="114"/>
      <c r="C468" s="114"/>
      <c r="D468" s="114"/>
      <c r="E468" s="114"/>
    </row>
    <row r="469" spans="1:5" x14ac:dyDescent="0.25">
      <c r="A469" s="113"/>
      <c r="B469" s="114"/>
      <c r="C469" s="114"/>
      <c r="D469" s="114"/>
      <c r="E469" s="114"/>
    </row>
    <row r="470" spans="1:5" x14ac:dyDescent="0.25">
      <c r="A470" s="113"/>
      <c r="B470" s="114"/>
      <c r="C470" s="114"/>
      <c r="D470" s="114"/>
      <c r="E470" s="114"/>
    </row>
    <row r="471" spans="1:5" x14ac:dyDescent="0.25">
      <c r="A471" s="113"/>
      <c r="B471" s="114"/>
      <c r="C471" s="114"/>
      <c r="D471" s="114"/>
      <c r="E471" s="114"/>
    </row>
    <row r="472" spans="1:5" x14ac:dyDescent="0.25">
      <c r="A472" s="113"/>
      <c r="B472" s="114"/>
      <c r="C472" s="114"/>
      <c r="D472" s="114"/>
      <c r="E472" s="114"/>
    </row>
    <row r="473" spans="1:5" x14ac:dyDescent="0.25">
      <c r="A473" s="113"/>
      <c r="B473" s="114"/>
      <c r="C473" s="114"/>
      <c r="D473" s="114"/>
      <c r="E473" s="114"/>
    </row>
    <row r="474" spans="1:5" x14ac:dyDescent="0.25">
      <c r="A474" s="113"/>
      <c r="B474" s="114"/>
      <c r="C474" s="114"/>
      <c r="D474" s="114"/>
      <c r="E474" s="114"/>
    </row>
    <row r="475" spans="1:5" x14ac:dyDescent="0.25">
      <c r="A475" s="113"/>
      <c r="B475" s="114"/>
      <c r="C475" s="114"/>
      <c r="D475" s="114"/>
      <c r="E475" s="114"/>
    </row>
    <row r="476" spans="1:5" x14ac:dyDescent="0.25">
      <c r="A476" s="113"/>
      <c r="B476" s="114"/>
      <c r="C476" s="114"/>
      <c r="D476" s="114"/>
      <c r="E476" s="114"/>
    </row>
    <row r="477" spans="1:5" x14ac:dyDescent="0.25">
      <c r="A477" s="113"/>
      <c r="B477" s="114"/>
      <c r="C477" s="114"/>
      <c r="D477" s="114"/>
      <c r="E477" s="114"/>
    </row>
    <row r="478" spans="1:5" x14ac:dyDescent="0.25">
      <c r="A478" s="113"/>
      <c r="B478" s="114"/>
      <c r="C478" s="114"/>
      <c r="D478" s="114"/>
      <c r="E478" s="114"/>
    </row>
    <row r="479" spans="1:5" x14ac:dyDescent="0.25">
      <c r="A479" s="113"/>
      <c r="B479" s="114"/>
      <c r="C479" s="114"/>
      <c r="D479" s="114"/>
      <c r="E479" s="114"/>
    </row>
    <row r="480" spans="1:5" x14ac:dyDescent="0.25">
      <c r="A480" s="113"/>
      <c r="B480" s="114"/>
      <c r="C480" s="114"/>
      <c r="D480" s="114"/>
      <c r="E480" s="114"/>
    </row>
    <row r="481" spans="1:5" x14ac:dyDescent="0.25">
      <c r="A481" s="113"/>
      <c r="B481" s="114"/>
      <c r="C481" s="114"/>
      <c r="D481" s="114"/>
      <c r="E481" s="114"/>
    </row>
    <row r="482" spans="1:5" x14ac:dyDescent="0.25">
      <c r="A482" s="113"/>
      <c r="B482" s="114"/>
      <c r="C482" s="114"/>
      <c r="D482" s="114"/>
      <c r="E482" s="114"/>
    </row>
    <row r="483" spans="1:5" x14ac:dyDescent="0.25">
      <c r="A483" s="113"/>
      <c r="B483" s="114"/>
      <c r="C483" s="114"/>
      <c r="D483" s="114"/>
      <c r="E483" s="114"/>
    </row>
    <row r="484" spans="1:5" x14ac:dyDescent="0.25">
      <c r="A484" s="113"/>
      <c r="B484" s="114"/>
      <c r="C484" s="114"/>
      <c r="D484" s="114"/>
      <c r="E484" s="114"/>
    </row>
    <row r="485" spans="1:5" x14ac:dyDescent="0.25">
      <c r="A485" s="113"/>
      <c r="B485" s="114"/>
      <c r="C485" s="114"/>
      <c r="D485" s="114"/>
      <c r="E485" s="114"/>
    </row>
    <row r="486" spans="1:5" x14ac:dyDescent="0.25">
      <c r="A486" s="113"/>
      <c r="B486" s="114"/>
      <c r="C486" s="114"/>
      <c r="D486" s="114"/>
      <c r="E486" s="114"/>
    </row>
    <row r="487" spans="1:5" x14ac:dyDescent="0.25">
      <c r="A487" s="113"/>
      <c r="B487" s="114"/>
      <c r="C487" s="114"/>
      <c r="D487" s="114"/>
      <c r="E487" s="114"/>
    </row>
    <row r="488" spans="1:5" x14ac:dyDescent="0.25">
      <c r="A488" s="113"/>
      <c r="B488" s="114"/>
      <c r="C488" s="114"/>
      <c r="D488" s="114"/>
      <c r="E488" s="114"/>
    </row>
    <row r="489" spans="1:5" x14ac:dyDescent="0.25">
      <c r="A489" s="113"/>
      <c r="B489" s="114"/>
      <c r="C489" s="114"/>
      <c r="D489" s="114"/>
      <c r="E489" s="114"/>
    </row>
    <row r="490" spans="1:5" x14ac:dyDescent="0.25">
      <c r="A490" s="113"/>
      <c r="B490" s="114"/>
      <c r="C490" s="114"/>
      <c r="D490" s="114"/>
      <c r="E490" s="114"/>
    </row>
    <row r="491" spans="1:5" x14ac:dyDescent="0.25">
      <c r="A491" s="113"/>
      <c r="B491" s="114"/>
      <c r="C491" s="114"/>
      <c r="D491" s="114"/>
      <c r="E491" s="114"/>
    </row>
    <row r="492" spans="1:5" x14ac:dyDescent="0.25">
      <c r="A492" s="113"/>
      <c r="B492" s="114"/>
      <c r="C492" s="114"/>
      <c r="D492" s="114"/>
      <c r="E492" s="114"/>
    </row>
    <row r="493" spans="1:5" x14ac:dyDescent="0.25">
      <c r="A493" s="113"/>
      <c r="B493" s="114"/>
      <c r="C493" s="114"/>
      <c r="D493" s="114"/>
      <c r="E493" s="114"/>
    </row>
    <row r="494" spans="1:5" x14ac:dyDescent="0.25">
      <c r="A494" s="113"/>
      <c r="B494" s="114"/>
      <c r="C494" s="114"/>
      <c r="D494" s="114"/>
      <c r="E494" s="114"/>
    </row>
    <row r="495" spans="1:5" x14ac:dyDescent="0.25">
      <c r="A495" s="113"/>
      <c r="B495" s="114"/>
      <c r="C495" s="114"/>
      <c r="D495" s="114"/>
      <c r="E495" s="114"/>
    </row>
    <row r="496" spans="1:5" x14ac:dyDescent="0.25">
      <c r="A496" s="113"/>
      <c r="B496" s="114"/>
      <c r="C496" s="114"/>
      <c r="D496" s="114"/>
      <c r="E496" s="114"/>
    </row>
    <row r="497" spans="1:5" x14ac:dyDescent="0.25">
      <c r="A497" s="113"/>
      <c r="B497" s="114"/>
      <c r="C497" s="114"/>
      <c r="D497" s="114"/>
      <c r="E497" s="114"/>
    </row>
    <row r="498" spans="1:5" x14ac:dyDescent="0.25">
      <c r="A498" s="113"/>
      <c r="B498" s="114"/>
      <c r="C498" s="114"/>
      <c r="D498" s="114"/>
      <c r="E498" s="114"/>
    </row>
    <row r="499" spans="1:5" x14ac:dyDescent="0.25">
      <c r="A499" s="113"/>
      <c r="B499" s="114"/>
      <c r="C499" s="114"/>
      <c r="D499" s="114"/>
      <c r="E499" s="114"/>
    </row>
    <row r="500" spans="1:5" x14ac:dyDescent="0.25">
      <c r="A500" s="113"/>
      <c r="B500" s="114"/>
      <c r="C500" s="114"/>
      <c r="D500" s="114"/>
      <c r="E500" s="114"/>
    </row>
    <row r="501" spans="1:5" x14ac:dyDescent="0.25">
      <c r="A501" s="113"/>
      <c r="B501" s="114"/>
      <c r="C501" s="114"/>
      <c r="D501" s="114"/>
      <c r="E501" s="114"/>
    </row>
    <row r="502" spans="1:5" x14ac:dyDescent="0.25">
      <c r="A502" s="113"/>
      <c r="B502" s="114"/>
      <c r="C502" s="114"/>
      <c r="D502" s="114"/>
      <c r="E502" s="114"/>
    </row>
    <row r="503" spans="1:5" x14ac:dyDescent="0.25">
      <c r="A503" s="113"/>
      <c r="B503" s="114"/>
      <c r="C503" s="114"/>
      <c r="D503" s="114"/>
      <c r="E503" s="114"/>
    </row>
    <row r="504" spans="1:5" x14ac:dyDescent="0.25">
      <c r="A504" s="113"/>
      <c r="B504" s="114"/>
      <c r="C504" s="114"/>
      <c r="D504" s="114"/>
      <c r="E504" s="114"/>
    </row>
    <row r="505" spans="1:5" x14ac:dyDescent="0.25">
      <c r="A505" s="113"/>
      <c r="B505" s="114"/>
      <c r="C505" s="114"/>
      <c r="D505" s="114"/>
      <c r="E505" s="114"/>
    </row>
    <row r="506" spans="1:5" x14ac:dyDescent="0.25">
      <c r="A506" s="113"/>
      <c r="B506" s="114"/>
      <c r="C506" s="114"/>
      <c r="D506" s="114"/>
      <c r="E506" s="114"/>
    </row>
    <row r="507" spans="1:5" x14ac:dyDescent="0.25">
      <c r="A507" s="113"/>
      <c r="B507" s="114"/>
      <c r="C507" s="114"/>
      <c r="D507" s="114"/>
      <c r="E507" s="114"/>
    </row>
    <row r="508" spans="1:5" x14ac:dyDescent="0.25">
      <c r="A508" s="113"/>
      <c r="B508" s="114"/>
      <c r="C508" s="114"/>
      <c r="D508" s="114"/>
      <c r="E508" s="114"/>
    </row>
    <row r="509" spans="1:5" x14ac:dyDescent="0.25">
      <c r="A509" s="113"/>
      <c r="B509" s="114"/>
      <c r="C509" s="114"/>
      <c r="D509" s="114"/>
      <c r="E509" s="114"/>
    </row>
    <row r="510" spans="1:5" x14ac:dyDescent="0.25">
      <c r="A510" s="113"/>
      <c r="B510" s="114"/>
      <c r="C510" s="114"/>
      <c r="D510" s="114"/>
      <c r="E510" s="114"/>
    </row>
    <row r="511" spans="1:5" x14ac:dyDescent="0.25">
      <c r="A511" s="113"/>
      <c r="B511" s="114"/>
      <c r="C511" s="114"/>
      <c r="D511" s="114"/>
      <c r="E511" s="114"/>
    </row>
    <row r="512" spans="1:5" x14ac:dyDescent="0.25">
      <c r="A512" s="113"/>
      <c r="B512" s="114"/>
      <c r="C512" s="114"/>
      <c r="D512" s="114"/>
      <c r="E512" s="114"/>
    </row>
    <row r="513" spans="1:5" x14ac:dyDescent="0.25">
      <c r="A513" s="113"/>
      <c r="B513" s="114"/>
      <c r="C513" s="114"/>
      <c r="D513" s="114"/>
      <c r="E513" s="114"/>
    </row>
    <row r="514" spans="1:5" x14ac:dyDescent="0.25">
      <c r="A514" s="113"/>
      <c r="B514" s="114"/>
      <c r="C514" s="114"/>
      <c r="D514" s="114"/>
      <c r="E514" s="114"/>
    </row>
    <row r="515" spans="1:5" x14ac:dyDescent="0.25">
      <c r="A515" s="113"/>
      <c r="B515" s="114"/>
      <c r="C515" s="114"/>
      <c r="D515" s="114"/>
      <c r="E515" s="114"/>
    </row>
    <row r="516" spans="1:5" x14ac:dyDescent="0.25">
      <c r="A516" s="113"/>
      <c r="B516" s="114"/>
      <c r="C516" s="114"/>
      <c r="D516" s="114"/>
      <c r="E516" s="114"/>
    </row>
    <row r="517" spans="1:5" x14ac:dyDescent="0.25">
      <c r="A517" s="113"/>
      <c r="B517" s="114"/>
      <c r="C517" s="114"/>
      <c r="D517" s="114"/>
      <c r="E517" s="114"/>
    </row>
    <row r="518" spans="1:5" x14ac:dyDescent="0.25">
      <c r="A518" s="113"/>
      <c r="B518" s="114"/>
      <c r="C518" s="114"/>
      <c r="D518" s="114"/>
      <c r="E518" s="114"/>
    </row>
    <row r="519" spans="1:5" x14ac:dyDescent="0.25">
      <c r="A519" s="113"/>
      <c r="B519" s="114"/>
      <c r="C519" s="114"/>
      <c r="D519" s="114"/>
      <c r="E519" s="114"/>
    </row>
    <row r="520" spans="1:5" x14ac:dyDescent="0.25">
      <c r="A520" s="113"/>
      <c r="B520" s="114"/>
      <c r="C520" s="114"/>
      <c r="D520" s="114"/>
      <c r="E520" s="114"/>
    </row>
    <row r="521" spans="1:5" x14ac:dyDescent="0.25">
      <c r="A521" s="113"/>
      <c r="B521" s="114"/>
      <c r="C521" s="114"/>
      <c r="D521" s="114"/>
      <c r="E521" s="114"/>
    </row>
    <row r="522" spans="1:5" x14ac:dyDescent="0.25">
      <c r="A522" s="113"/>
      <c r="B522" s="114"/>
      <c r="C522" s="114"/>
      <c r="D522" s="114"/>
      <c r="E522" s="114"/>
    </row>
    <row r="523" spans="1:5" x14ac:dyDescent="0.25">
      <c r="A523" s="113"/>
      <c r="B523" s="114"/>
      <c r="C523" s="114"/>
      <c r="D523" s="114"/>
      <c r="E523" s="114"/>
    </row>
    <row r="524" spans="1:5" x14ac:dyDescent="0.25">
      <c r="A524" s="113"/>
      <c r="B524" s="114"/>
      <c r="C524" s="114"/>
      <c r="D524" s="114"/>
      <c r="E524" s="114"/>
    </row>
    <row r="525" spans="1:5" x14ac:dyDescent="0.25">
      <c r="A525" s="113"/>
      <c r="B525" s="114"/>
      <c r="C525" s="114"/>
      <c r="D525" s="114"/>
      <c r="E525" s="114"/>
    </row>
    <row r="526" spans="1:5" x14ac:dyDescent="0.25">
      <c r="A526" s="113"/>
      <c r="B526" s="114"/>
      <c r="C526" s="114"/>
      <c r="D526" s="114"/>
      <c r="E526" s="114"/>
    </row>
    <row r="527" spans="1:5" x14ac:dyDescent="0.25">
      <c r="A527" s="113"/>
      <c r="B527" s="114"/>
      <c r="C527" s="114"/>
      <c r="D527" s="114"/>
      <c r="E527" s="114"/>
    </row>
    <row r="528" spans="1:5" x14ac:dyDescent="0.25">
      <c r="A528" s="113"/>
      <c r="B528" s="114"/>
      <c r="C528" s="114"/>
      <c r="D528" s="114"/>
      <c r="E528" s="114"/>
    </row>
    <row r="529" spans="1:5" x14ac:dyDescent="0.25">
      <c r="A529" s="113"/>
      <c r="B529" s="114"/>
      <c r="C529" s="114"/>
      <c r="D529" s="114"/>
      <c r="E529" s="114"/>
    </row>
    <row r="530" spans="1:5" x14ac:dyDescent="0.25">
      <c r="A530" s="113"/>
      <c r="B530" s="114"/>
      <c r="C530" s="114"/>
      <c r="D530" s="114"/>
      <c r="E530" s="114"/>
    </row>
    <row r="531" spans="1:5" x14ac:dyDescent="0.25">
      <c r="A531" s="113"/>
      <c r="B531" s="114"/>
      <c r="C531" s="114"/>
      <c r="D531" s="114"/>
      <c r="E531" s="114"/>
    </row>
    <row r="532" spans="1:5" x14ac:dyDescent="0.25">
      <c r="A532" s="113"/>
      <c r="B532" s="114"/>
      <c r="C532" s="114"/>
      <c r="D532" s="114"/>
      <c r="E532" s="114"/>
    </row>
    <row r="533" spans="1:5" x14ac:dyDescent="0.25">
      <c r="A533" s="113"/>
      <c r="B533" s="114"/>
      <c r="C533" s="114"/>
      <c r="D533" s="114"/>
      <c r="E533" s="114"/>
    </row>
    <row r="534" spans="1:5" x14ac:dyDescent="0.25">
      <c r="A534" s="113"/>
      <c r="B534" s="114"/>
      <c r="C534" s="114"/>
      <c r="D534" s="114"/>
      <c r="E534" s="114"/>
    </row>
    <row r="535" spans="1:5" x14ac:dyDescent="0.25">
      <c r="A535" s="113"/>
      <c r="B535" s="114"/>
      <c r="C535" s="114"/>
      <c r="D535" s="114"/>
      <c r="E535" s="114"/>
    </row>
    <row r="536" spans="1:5" x14ac:dyDescent="0.25">
      <c r="A536" s="113"/>
      <c r="B536" s="114"/>
      <c r="C536" s="114"/>
      <c r="D536" s="114"/>
      <c r="E536" s="114"/>
    </row>
    <row r="537" spans="1:5" x14ac:dyDescent="0.25">
      <c r="A537" s="113"/>
      <c r="B537" s="114"/>
      <c r="C537" s="114"/>
      <c r="D537" s="114"/>
      <c r="E537" s="114"/>
    </row>
    <row r="538" spans="1:5" x14ac:dyDescent="0.25">
      <c r="A538" s="113"/>
      <c r="B538" s="114"/>
      <c r="C538" s="114"/>
      <c r="D538" s="114"/>
      <c r="E538" s="114"/>
    </row>
    <row r="539" spans="1:5" x14ac:dyDescent="0.25">
      <c r="A539" s="113"/>
      <c r="B539" s="114"/>
      <c r="C539" s="114"/>
      <c r="D539" s="114"/>
      <c r="E539" s="114"/>
    </row>
    <row r="540" spans="1:5" x14ac:dyDescent="0.25">
      <c r="A540" s="113"/>
      <c r="B540" s="114"/>
      <c r="C540" s="114"/>
      <c r="D540" s="114"/>
      <c r="E540" s="114"/>
    </row>
    <row r="541" spans="1:5" x14ac:dyDescent="0.25">
      <c r="A541" s="113"/>
      <c r="B541" s="114"/>
      <c r="C541" s="114"/>
      <c r="D541" s="114"/>
      <c r="E541" s="114"/>
    </row>
    <row r="542" spans="1:5" x14ac:dyDescent="0.25">
      <c r="A542" s="113"/>
      <c r="B542" s="114"/>
      <c r="C542" s="114"/>
      <c r="D542" s="114"/>
      <c r="E542" s="114"/>
    </row>
    <row r="543" spans="1:5" x14ac:dyDescent="0.25">
      <c r="A543" s="113"/>
      <c r="B543" s="114"/>
      <c r="C543" s="114"/>
      <c r="D543" s="114"/>
      <c r="E543" s="114"/>
    </row>
    <row r="544" spans="1:5" x14ac:dyDescent="0.25">
      <c r="A544" s="113"/>
      <c r="B544" s="114"/>
      <c r="C544" s="114"/>
      <c r="D544" s="114"/>
      <c r="E544" s="114"/>
    </row>
    <row r="545" spans="1:5" x14ac:dyDescent="0.25">
      <c r="A545" s="113"/>
      <c r="B545" s="114"/>
      <c r="C545" s="114"/>
      <c r="D545" s="114"/>
      <c r="E545" s="114"/>
    </row>
    <row r="546" spans="1:5" x14ac:dyDescent="0.25">
      <c r="A546" s="113"/>
      <c r="B546" s="114"/>
      <c r="C546" s="114"/>
      <c r="D546" s="114"/>
      <c r="E546" s="114"/>
    </row>
    <row r="547" spans="1:5" x14ac:dyDescent="0.25">
      <c r="A547" s="113"/>
      <c r="B547" s="114"/>
      <c r="C547" s="114"/>
      <c r="D547" s="114"/>
      <c r="E547" s="114"/>
    </row>
    <row r="548" spans="1:5" x14ac:dyDescent="0.25">
      <c r="A548" s="113"/>
      <c r="B548" s="114"/>
      <c r="C548" s="114"/>
      <c r="D548" s="114"/>
      <c r="E548" s="114"/>
    </row>
    <row r="549" spans="1:5" x14ac:dyDescent="0.25">
      <c r="A549" s="113"/>
      <c r="B549" s="114"/>
      <c r="C549" s="114"/>
      <c r="D549" s="114"/>
      <c r="E549" s="114"/>
    </row>
    <row r="550" spans="1:5" x14ac:dyDescent="0.25">
      <c r="A550" s="113"/>
      <c r="B550" s="114"/>
      <c r="C550" s="114"/>
      <c r="D550" s="114"/>
      <c r="E550" s="114"/>
    </row>
    <row r="551" spans="1:5" x14ac:dyDescent="0.25">
      <c r="A551" s="113"/>
      <c r="B551" s="114"/>
      <c r="C551" s="114"/>
      <c r="D551" s="114"/>
      <c r="E551" s="114"/>
    </row>
    <row r="552" spans="1:5" x14ac:dyDescent="0.25">
      <c r="A552" s="113"/>
      <c r="B552" s="114"/>
      <c r="C552" s="114"/>
      <c r="D552" s="114"/>
      <c r="E552" s="114"/>
    </row>
    <row r="553" spans="1:5" x14ac:dyDescent="0.25">
      <c r="A553" s="113"/>
      <c r="B553" s="114"/>
      <c r="C553" s="114"/>
      <c r="D553" s="114"/>
      <c r="E553" s="114"/>
    </row>
    <row r="554" spans="1:5" x14ac:dyDescent="0.25">
      <c r="A554" s="113"/>
      <c r="B554" s="114"/>
      <c r="C554" s="114"/>
      <c r="D554" s="114"/>
      <c r="E554" s="114"/>
    </row>
    <row r="555" spans="1:5" x14ac:dyDescent="0.25">
      <c r="A555" s="113"/>
      <c r="B555" s="114"/>
      <c r="C555" s="114"/>
      <c r="D555" s="114"/>
      <c r="E555" s="114"/>
    </row>
    <row r="556" spans="1:5" x14ac:dyDescent="0.25">
      <c r="A556" s="113"/>
      <c r="B556" s="114"/>
      <c r="C556" s="114"/>
      <c r="D556" s="114"/>
      <c r="E556" s="114"/>
    </row>
    <row r="557" spans="1:5" x14ac:dyDescent="0.25">
      <c r="A557" s="113"/>
      <c r="B557" s="114"/>
      <c r="C557" s="114"/>
      <c r="D557" s="114"/>
      <c r="E557" s="114"/>
    </row>
    <row r="558" spans="1:5" x14ac:dyDescent="0.25">
      <c r="A558" s="113"/>
      <c r="B558" s="114"/>
      <c r="C558" s="114"/>
      <c r="D558" s="114"/>
      <c r="E558" s="114"/>
    </row>
    <row r="559" spans="1:5" x14ac:dyDescent="0.25">
      <c r="A559" s="113"/>
      <c r="B559" s="114"/>
      <c r="C559" s="114"/>
      <c r="D559" s="114"/>
      <c r="E559" s="114"/>
    </row>
    <row r="560" spans="1:5" x14ac:dyDescent="0.25">
      <c r="A560" s="113"/>
      <c r="B560" s="114"/>
      <c r="C560" s="114"/>
      <c r="D560" s="114"/>
      <c r="E560" s="114"/>
    </row>
    <row r="561" spans="1:5" x14ac:dyDescent="0.25">
      <c r="A561" s="113"/>
      <c r="B561" s="114"/>
      <c r="C561" s="114"/>
      <c r="D561" s="114"/>
      <c r="E561" s="114"/>
    </row>
    <row r="562" spans="1:5" x14ac:dyDescent="0.25">
      <c r="A562" s="113"/>
      <c r="B562" s="114"/>
      <c r="C562" s="114"/>
      <c r="D562" s="114"/>
      <c r="E562" s="114"/>
    </row>
    <row r="563" spans="1:5" x14ac:dyDescent="0.25">
      <c r="A563" s="113"/>
      <c r="B563" s="114"/>
      <c r="C563" s="114"/>
      <c r="D563" s="114"/>
      <c r="E563" s="114"/>
    </row>
    <row r="564" spans="1:5" x14ac:dyDescent="0.25">
      <c r="A564" s="113"/>
      <c r="B564" s="114"/>
      <c r="C564" s="114"/>
      <c r="D564" s="114"/>
      <c r="E564" s="114"/>
    </row>
    <row r="565" spans="1:5" x14ac:dyDescent="0.25">
      <c r="A565" s="113"/>
      <c r="B565" s="114"/>
      <c r="C565" s="114"/>
      <c r="D565" s="114"/>
      <c r="E565" s="114"/>
    </row>
    <row r="566" spans="1:5" x14ac:dyDescent="0.25">
      <c r="A566" s="113"/>
      <c r="B566" s="114"/>
      <c r="C566" s="114"/>
      <c r="D566" s="114"/>
      <c r="E566" s="114"/>
    </row>
    <row r="567" spans="1:5" x14ac:dyDescent="0.25">
      <c r="A567" s="113"/>
      <c r="B567" s="114"/>
      <c r="C567" s="114"/>
      <c r="D567" s="114"/>
      <c r="E567" s="114"/>
    </row>
    <row r="568" spans="1:5" x14ac:dyDescent="0.25">
      <c r="A568" s="113"/>
      <c r="B568" s="114"/>
      <c r="C568" s="114"/>
      <c r="D568" s="114"/>
      <c r="E568" s="114"/>
    </row>
    <row r="569" spans="1:5" x14ac:dyDescent="0.25">
      <c r="A569" s="113"/>
      <c r="B569" s="114"/>
      <c r="C569" s="114"/>
      <c r="D569" s="114"/>
      <c r="E569" s="114"/>
    </row>
    <row r="570" spans="1:5" x14ac:dyDescent="0.25">
      <c r="A570" s="113"/>
      <c r="B570" s="114"/>
      <c r="C570" s="114"/>
      <c r="D570" s="114"/>
      <c r="E570" s="114"/>
    </row>
    <row r="571" spans="1:5" x14ac:dyDescent="0.25">
      <c r="A571" s="113"/>
      <c r="B571" s="114"/>
      <c r="C571" s="114"/>
      <c r="D571" s="114"/>
      <c r="E571" s="114"/>
    </row>
    <row r="572" spans="1:5" x14ac:dyDescent="0.25">
      <c r="A572" s="113"/>
      <c r="B572" s="114"/>
      <c r="C572" s="114"/>
      <c r="D572" s="114"/>
      <c r="E572" s="114"/>
    </row>
    <row r="573" spans="1:5" x14ac:dyDescent="0.25">
      <c r="A573" s="113"/>
      <c r="B573" s="114"/>
      <c r="C573" s="114"/>
      <c r="D573" s="114"/>
      <c r="E573" s="114"/>
    </row>
    <row r="574" spans="1:5" x14ac:dyDescent="0.25">
      <c r="A574" s="113"/>
      <c r="B574" s="114"/>
      <c r="C574" s="114"/>
      <c r="D574" s="114"/>
      <c r="E574" s="114"/>
    </row>
    <row r="575" spans="1:5" x14ac:dyDescent="0.25">
      <c r="A575" s="113"/>
      <c r="B575" s="114"/>
      <c r="C575" s="114"/>
      <c r="D575" s="114"/>
      <c r="E575" s="114"/>
    </row>
    <row r="576" spans="1:5" x14ac:dyDescent="0.25">
      <c r="A576" s="113"/>
      <c r="B576" s="114"/>
      <c r="C576" s="114"/>
      <c r="D576" s="114"/>
      <c r="E576" s="114"/>
    </row>
    <row r="577" spans="1:5" x14ac:dyDescent="0.25">
      <c r="A577" s="113"/>
      <c r="B577" s="114"/>
      <c r="C577" s="114"/>
      <c r="D577" s="114"/>
      <c r="E577" s="114"/>
    </row>
    <row r="578" spans="1:5" x14ac:dyDescent="0.25">
      <c r="A578" s="113"/>
      <c r="B578" s="114"/>
      <c r="C578" s="114"/>
      <c r="D578" s="114"/>
      <c r="E578" s="114"/>
    </row>
    <row r="579" spans="1:5" x14ac:dyDescent="0.25">
      <c r="A579" s="113"/>
      <c r="B579" s="114"/>
      <c r="C579" s="114"/>
      <c r="D579" s="114"/>
      <c r="E579" s="114"/>
    </row>
    <row r="580" spans="1:5" x14ac:dyDescent="0.25">
      <c r="A580" s="113"/>
      <c r="B580" s="114"/>
      <c r="C580" s="114"/>
      <c r="D580" s="114"/>
      <c r="E580" s="114"/>
    </row>
    <row r="581" spans="1:5" x14ac:dyDescent="0.25">
      <c r="A581" s="113"/>
      <c r="B581" s="114"/>
      <c r="C581" s="114"/>
      <c r="D581" s="114"/>
      <c r="E581" s="114"/>
    </row>
    <row r="582" spans="1:5" x14ac:dyDescent="0.25">
      <c r="A582" s="113"/>
      <c r="B582" s="114"/>
      <c r="C582" s="114"/>
      <c r="D582" s="114"/>
      <c r="E582" s="114"/>
    </row>
    <row r="583" spans="1:5" x14ac:dyDescent="0.25">
      <c r="A583" s="113"/>
      <c r="B583" s="114"/>
      <c r="C583" s="114"/>
      <c r="D583" s="114"/>
      <c r="E583" s="114"/>
    </row>
    <row r="584" spans="1:5" x14ac:dyDescent="0.25">
      <c r="A584" s="113"/>
      <c r="B584" s="114"/>
      <c r="C584" s="114"/>
      <c r="D584" s="114"/>
      <c r="E584" s="114"/>
    </row>
    <row r="585" spans="1:5" x14ac:dyDescent="0.25">
      <c r="A585" s="113"/>
      <c r="B585" s="114"/>
      <c r="C585" s="114"/>
      <c r="D585" s="114"/>
      <c r="E585" s="114"/>
    </row>
    <row r="586" spans="1:5" x14ac:dyDescent="0.25">
      <c r="A586" s="113"/>
      <c r="B586" s="114"/>
      <c r="C586" s="114"/>
      <c r="D586" s="114"/>
      <c r="E586" s="114"/>
    </row>
    <row r="587" spans="1:5" x14ac:dyDescent="0.25">
      <c r="A587" s="113"/>
      <c r="B587" s="114"/>
      <c r="C587" s="114"/>
      <c r="D587" s="114"/>
      <c r="E587" s="114"/>
    </row>
    <row r="588" spans="1:5" x14ac:dyDescent="0.25">
      <c r="A588" s="113"/>
      <c r="B588" s="114"/>
      <c r="C588" s="114"/>
      <c r="D588" s="114"/>
      <c r="E588" s="114"/>
    </row>
    <row r="589" spans="1:5" x14ac:dyDescent="0.25">
      <c r="A589" s="113"/>
      <c r="B589" s="114"/>
      <c r="C589" s="114"/>
      <c r="D589" s="114"/>
      <c r="E589" s="114"/>
    </row>
    <row r="590" spans="1:5" x14ac:dyDescent="0.25">
      <c r="A590" s="113"/>
      <c r="B590" s="114"/>
      <c r="C590" s="114"/>
      <c r="D590" s="114"/>
      <c r="E590" s="114"/>
    </row>
    <row r="591" spans="1:5" x14ac:dyDescent="0.25">
      <c r="A591" s="113"/>
      <c r="B591" s="114"/>
      <c r="C591" s="114"/>
      <c r="D591" s="114"/>
      <c r="E591" s="114"/>
    </row>
    <row r="592" spans="1:5" x14ac:dyDescent="0.25">
      <c r="A592" s="113"/>
      <c r="B592" s="114"/>
      <c r="C592" s="114"/>
      <c r="D592" s="114"/>
      <c r="E592" s="114"/>
    </row>
    <row r="593" spans="1:5" x14ac:dyDescent="0.25">
      <c r="A593" s="113"/>
      <c r="B593" s="114"/>
      <c r="C593" s="114"/>
      <c r="D593" s="114"/>
      <c r="E593" s="114"/>
    </row>
    <row r="594" spans="1:5" x14ac:dyDescent="0.25">
      <c r="A594" s="113"/>
      <c r="B594" s="114"/>
      <c r="C594" s="114"/>
      <c r="D594" s="114"/>
      <c r="E594" s="114"/>
    </row>
    <row r="595" spans="1:5" x14ac:dyDescent="0.25">
      <c r="A595" s="113"/>
      <c r="B595" s="114"/>
      <c r="C595" s="114"/>
      <c r="D595" s="114"/>
      <c r="E595" s="114"/>
    </row>
    <row r="596" spans="1:5" x14ac:dyDescent="0.25">
      <c r="A596" s="113"/>
      <c r="B596" s="114"/>
      <c r="C596" s="114"/>
      <c r="D596" s="114"/>
      <c r="E596" s="114"/>
    </row>
    <row r="597" spans="1:5" x14ac:dyDescent="0.25">
      <c r="A597" s="113"/>
      <c r="B597" s="114"/>
      <c r="C597" s="114"/>
      <c r="D597" s="114"/>
      <c r="E597" s="114"/>
    </row>
    <row r="598" spans="1:5" x14ac:dyDescent="0.25">
      <c r="A598" s="113"/>
      <c r="B598" s="114"/>
      <c r="C598" s="114"/>
      <c r="D598" s="114"/>
      <c r="E598" s="114"/>
    </row>
    <row r="599" spans="1:5" x14ac:dyDescent="0.25">
      <c r="A599" s="113"/>
      <c r="B599" s="114"/>
      <c r="C599" s="114"/>
      <c r="D599" s="114"/>
      <c r="E599" s="114"/>
    </row>
    <row r="600" spans="1:5" x14ac:dyDescent="0.25">
      <c r="A600" s="113"/>
      <c r="B600" s="114"/>
      <c r="C600" s="114"/>
      <c r="D600" s="114"/>
      <c r="E600" s="114"/>
    </row>
    <row r="601" spans="1:5" x14ac:dyDescent="0.25">
      <c r="A601" s="113"/>
      <c r="B601" s="114"/>
      <c r="C601" s="114"/>
      <c r="D601" s="114"/>
      <c r="E601" s="114"/>
    </row>
    <row r="602" spans="1:5" x14ac:dyDescent="0.25">
      <c r="A602" s="113"/>
      <c r="B602" s="114"/>
      <c r="C602" s="114"/>
      <c r="D602" s="114"/>
      <c r="E602" s="114"/>
    </row>
    <row r="603" spans="1:5" x14ac:dyDescent="0.25">
      <c r="A603" s="113"/>
      <c r="B603" s="114"/>
      <c r="C603" s="114"/>
      <c r="D603" s="114"/>
      <c r="E603" s="114"/>
    </row>
    <row r="604" spans="1:5" x14ac:dyDescent="0.25">
      <c r="A604" s="113"/>
      <c r="B604" s="114"/>
      <c r="C604" s="114"/>
      <c r="D604" s="114"/>
      <c r="E604" s="114"/>
    </row>
    <row r="605" spans="1:5" x14ac:dyDescent="0.25">
      <c r="A605" s="113"/>
      <c r="B605" s="114"/>
      <c r="C605" s="114"/>
      <c r="D605" s="114"/>
      <c r="E605" s="114"/>
    </row>
    <row r="606" spans="1:5" x14ac:dyDescent="0.25">
      <c r="A606" s="113"/>
      <c r="B606" s="114"/>
      <c r="C606" s="114"/>
      <c r="D606" s="114"/>
      <c r="E606" s="114"/>
    </row>
    <row r="607" spans="1:5" x14ac:dyDescent="0.25">
      <c r="A607" s="113"/>
      <c r="B607" s="114"/>
      <c r="C607" s="114"/>
      <c r="D607" s="114"/>
      <c r="E607" s="114"/>
    </row>
    <row r="608" spans="1:5" x14ac:dyDescent="0.25">
      <c r="A608" s="113"/>
      <c r="B608" s="114"/>
      <c r="C608" s="114"/>
      <c r="D608" s="114"/>
      <c r="E608" s="114"/>
    </row>
    <row r="609" spans="1:5" x14ac:dyDescent="0.25">
      <c r="A609" s="113"/>
      <c r="B609" s="114"/>
      <c r="C609" s="114"/>
      <c r="D609" s="114"/>
      <c r="E609" s="114"/>
    </row>
    <row r="610" spans="1:5" x14ac:dyDescent="0.25">
      <c r="A610" s="113"/>
      <c r="B610" s="114"/>
      <c r="C610" s="114"/>
      <c r="D610" s="114"/>
      <c r="E610" s="114"/>
    </row>
    <row r="611" spans="1:5" x14ac:dyDescent="0.25">
      <c r="A611" s="113"/>
      <c r="B611" s="114"/>
      <c r="C611" s="114"/>
      <c r="D611" s="114"/>
      <c r="E611" s="114"/>
    </row>
    <row r="612" spans="1:5" x14ac:dyDescent="0.25">
      <c r="A612" s="113"/>
      <c r="B612" s="114"/>
      <c r="C612" s="114"/>
      <c r="D612" s="114"/>
      <c r="E612" s="114"/>
    </row>
    <row r="613" spans="1:5" x14ac:dyDescent="0.25">
      <c r="A613" s="113"/>
      <c r="B613" s="114"/>
      <c r="C613" s="114"/>
      <c r="D613" s="114"/>
      <c r="E613" s="114"/>
    </row>
    <row r="614" spans="1:5" x14ac:dyDescent="0.25">
      <c r="A614" s="113"/>
      <c r="B614" s="114"/>
      <c r="C614" s="114"/>
      <c r="D614" s="114"/>
      <c r="E614" s="114"/>
    </row>
    <row r="615" spans="1:5" x14ac:dyDescent="0.25">
      <c r="A615" s="113"/>
      <c r="B615" s="114"/>
      <c r="C615" s="114"/>
      <c r="D615" s="114"/>
      <c r="E615" s="114"/>
    </row>
    <row r="616" spans="1:5" x14ac:dyDescent="0.25">
      <c r="A616" s="113"/>
      <c r="B616" s="114"/>
      <c r="C616" s="114"/>
      <c r="D616" s="114"/>
      <c r="E616" s="114"/>
    </row>
    <row r="617" spans="1:5" x14ac:dyDescent="0.25">
      <c r="A617" s="113"/>
      <c r="B617" s="114"/>
      <c r="C617" s="114"/>
      <c r="D617" s="114"/>
      <c r="E617" s="114"/>
    </row>
    <row r="618" spans="1:5" x14ac:dyDescent="0.25">
      <c r="A618" s="113"/>
      <c r="B618" s="114"/>
      <c r="C618" s="114"/>
      <c r="D618" s="114"/>
      <c r="E618" s="114"/>
    </row>
    <row r="619" spans="1:5" x14ac:dyDescent="0.25">
      <c r="A619" s="113"/>
      <c r="B619" s="114"/>
      <c r="C619" s="114"/>
      <c r="D619" s="114"/>
      <c r="E619" s="114"/>
    </row>
    <row r="620" spans="1:5" x14ac:dyDescent="0.25">
      <c r="A620" s="113"/>
      <c r="B620" s="114"/>
      <c r="C620" s="114"/>
      <c r="D620" s="114"/>
      <c r="E620" s="114"/>
    </row>
    <row r="621" spans="1:5" x14ac:dyDescent="0.25">
      <c r="A621" s="113"/>
      <c r="B621" s="114"/>
      <c r="C621" s="114"/>
      <c r="D621" s="114"/>
      <c r="E621" s="114"/>
    </row>
    <row r="622" spans="1:5" x14ac:dyDescent="0.25">
      <c r="A622" s="113"/>
      <c r="B622" s="114"/>
      <c r="C622" s="114"/>
      <c r="D622" s="114"/>
      <c r="E622" s="114"/>
    </row>
    <row r="623" spans="1:5" x14ac:dyDescent="0.25">
      <c r="A623" s="113"/>
      <c r="B623" s="114"/>
      <c r="C623" s="114"/>
      <c r="D623" s="114"/>
      <c r="E623" s="114"/>
    </row>
    <row r="624" spans="1:5" x14ac:dyDescent="0.25">
      <c r="A624" s="113"/>
      <c r="B624" s="114"/>
      <c r="C624" s="114"/>
      <c r="D624" s="114"/>
      <c r="E624" s="114"/>
    </row>
    <row r="625" spans="1:5" x14ac:dyDescent="0.25">
      <c r="A625" s="113"/>
      <c r="B625" s="114"/>
      <c r="C625" s="114"/>
      <c r="D625" s="114"/>
      <c r="E625" s="114"/>
    </row>
    <row r="626" spans="1:5" x14ac:dyDescent="0.25">
      <c r="A626" s="113"/>
      <c r="B626" s="114"/>
      <c r="C626" s="114"/>
      <c r="D626" s="114"/>
      <c r="E626" s="114"/>
    </row>
    <row r="627" spans="1:5" x14ac:dyDescent="0.25">
      <c r="A627" s="113"/>
      <c r="B627" s="114"/>
      <c r="C627" s="114"/>
      <c r="D627" s="114"/>
      <c r="E627" s="114"/>
    </row>
    <row r="628" spans="1:5" x14ac:dyDescent="0.25">
      <c r="A628" s="113"/>
      <c r="B628" s="114"/>
      <c r="C628" s="114"/>
      <c r="D628" s="114"/>
      <c r="E628" s="114"/>
    </row>
    <row r="629" spans="1:5" x14ac:dyDescent="0.25">
      <c r="A629" s="113"/>
      <c r="B629" s="114"/>
      <c r="C629" s="114"/>
      <c r="D629" s="114"/>
      <c r="E629" s="114"/>
    </row>
    <row r="630" spans="1:5" x14ac:dyDescent="0.25">
      <c r="A630" s="113"/>
      <c r="B630" s="114"/>
      <c r="C630" s="114"/>
      <c r="D630" s="114"/>
      <c r="E630" s="114"/>
    </row>
    <row r="631" spans="1:5" x14ac:dyDescent="0.25">
      <c r="A631" s="113"/>
      <c r="B631" s="114"/>
      <c r="C631" s="114"/>
      <c r="D631" s="114"/>
      <c r="E631" s="114"/>
    </row>
    <row r="632" spans="1:5" x14ac:dyDescent="0.25">
      <c r="A632" s="113"/>
      <c r="B632" s="114"/>
      <c r="C632" s="114"/>
      <c r="D632" s="114"/>
      <c r="E632" s="114"/>
    </row>
    <row r="633" spans="1:5" x14ac:dyDescent="0.25">
      <c r="A633" s="113"/>
      <c r="B633" s="114"/>
      <c r="C633" s="114"/>
      <c r="D633" s="114"/>
      <c r="E633" s="114"/>
    </row>
    <row r="634" spans="1:5" x14ac:dyDescent="0.25">
      <c r="A634" s="113"/>
      <c r="B634" s="114"/>
      <c r="C634" s="114"/>
      <c r="D634" s="114"/>
      <c r="E634" s="114"/>
    </row>
    <row r="635" spans="1:5" x14ac:dyDescent="0.25">
      <c r="A635" s="113"/>
      <c r="B635" s="114"/>
      <c r="C635" s="114"/>
      <c r="D635" s="114"/>
      <c r="E635" s="114"/>
    </row>
    <row r="636" spans="1:5" x14ac:dyDescent="0.25">
      <c r="A636" s="113"/>
      <c r="B636" s="114"/>
      <c r="C636" s="114"/>
      <c r="D636" s="114"/>
      <c r="E636" s="114"/>
    </row>
    <row r="637" spans="1:5" x14ac:dyDescent="0.25">
      <c r="A637" s="113"/>
      <c r="B637" s="114"/>
      <c r="C637" s="114"/>
      <c r="D637" s="114"/>
      <c r="E637" s="114"/>
    </row>
    <row r="638" spans="1:5" x14ac:dyDescent="0.25">
      <c r="A638" s="113"/>
      <c r="B638" s="114"/>
      <c r="C638" s="114"/>
      <c r="D638" s="114"/>
      <c r="E638" s="114"/>
    </row>
    <row r="639" spans="1:5" x14ac:dyDescent="0.25">
      <c r="A639" s="113"/>
      <c r="B639" s="114"/>
      <c r="C639" s="114"/>
      <c r="D639" s="114"/>
      <c r="E639" s="114"/>
    </row>
    <row r="640" spans="1:5" x14ac:dyDescent="0.25">
      <c r="A640" s="113"/>
      <c r="B640" s="114"/>
      <c r="C640" s="114"/>
      <c r="D640" s="114"/>
      <c r="E640" s="114"/>
    </row>
    <row r="641" spans="1:5" x14ac:dyDescent="0.25">
      <c r="A641" s="113"/>
      <c r="B641" s="114"/>
      <c r="C641" s="114"/>
      <c r="D641" s="114"/>
      <c r="E641" s="114"/>
    </row>
    <row r="642" spans="1:5" x14ac:dyDescent="0.25">
      <c r="A642" s="113"/>
      <c r="B642" s="114"/>
      <c r="C642" s="114"/>
      <c r="D642" s="114"/>
      <c r="E642" s="114"/>
    </row>
    <row r="643" spans="1:5" x14ac:dyDescent="0.25">
      <c r="A643" s="113"/>
      <c r="B643" s="114"/>
      <c r="C643" s="114"/>
      <c r="D643" s="114"/>
      <c r="E643" s="114"/>
    </row>
    <row r="644" spans="1:5" x14ac:dyDescent="0.25">
      <c r="A644" s="113"/>
      <c r="B644" s="114"/>
      <c r="C644" s="114"/>
      <c r="D644" s="114"/>
      <c r="E644" s="114"/>
    </row>
    <row r="645" spans="1:5" x14ac:dyDescent="0.25">
      <c r="A645" s="113"/>
      <c r="B645" s="114"/>
      <c r="C645" s="114"/>
      <c r="D645" s="114"/>
      <c r="E645" s="114"/>
    </row>
    <row r="646" spans="1:5" x14ac:dyDescent="0.25">
      <c r="A646" s="113"/>
      <c r="B646" s="114"/>
      <c r="C646" s="114"/>
      <c r="D646" s="114"/>
      <c r="E646" s="114"/>
    </row>
    <row r="647" spans="1:5" x14ac:dyDescent="0.25">
      <c r="A647" s="113"/>
      <c r="B647" s="114"/>
      <c r="C647" s="114"/>
      <c r="D647" s="114"/>
      <c r="E647" s="114"/>
    </row>
    <row r="648" spans="1:5" x14ac:dyDescent="0.25">
      <c r="A648" s="113"/>
      <c r="B648" s="114"/>
      <c r="C648" s="114"/>
      <c r="D648" s="114"/>
      <c r="E648" s="114"/>
    </row>
    <row r="649" spans="1:5" x14ac:dyDescent="0.25">
      <c r="A649" s="113"/>
      <c r="B649" s="114"/>
      <c r="C649" s="114"/>
      <c r="D649" s="114"/>
      <c r="E649" s="114"/>
    </row>
    <row r="650" spans="1:5" x14ac:dyDescent="0.25">
      <c r="A650" s="113"/>
      <c r="B650" s="114"/>
      <c r="C650" s="114"/>
      <c r="D650" s="114"/>
      <c r="E650" s="114"/>
    </row>
    <row r="651" spans="1:5" x14ac:dyDescent="0.25">
      <c r="A651" s="113"/>
      <c r="B651" s="114"/>
      <c r="C651" s="114"/>
      <c r="D651" s="114"/>
      <c r="E651" s="114"/>
    </row>
    <row r="652" spans="1:5" x14ac:dyDescent="0.25">
      <c r="A652" s="113"/>
      <c r="B652" s="114"/>
      <c r="C652" s="114"/>
      <c r="D652" s="114"/>
      <c r="E652" s="114"/>
    </row>
    <row r="653" spans="1:5" x14ac:dyDescent="0.25">
      <c r="A653" s="113"/>
      <c r="B653" s="114"/>
      <c r="C653" s="114"/>
      <c r="D653" s="114"/>
      <c r="E653" s="114"/>
    </row>
    <row r="654" spans="1:5" x14ac:dyDescent="0.25">
      <c r="A654" s="113"/>
      <c r="B654" s="114"/>
      <c r="C654" s="114"/>
      <c r="D654" s="114"/>
      <c r="E654" s="114"/>
    </row>
    <row r="655" spans="1:5" x14ac:dyDescent="0.25">
      <c r="A655" s="113"/>
      <c r="B655" s="114"/>
      <c r="C655" s="114"/>
      <c r="D655" s="114"/>
      <c r="E655" s="114"/>
    </row>
    <row r="656" spans="1:5" x14ac:dyDescent="0.25">
      <c r="A656" s="113"/>
      <c r="B656" s="114"/>
      <c r="C656" s="114"/>
      <c r="D656" s="114"/>
      <c r="E656" s="114"/>
    </row>
    <row r="657" spans="1:5" x14ac:dyDescent="0.25">
      <c r="A657" s="113"/>
      <c r="B657" s="114"/>
      <c r="C657" s="114"/>
      <c r="D657" s="114"/>
      <c r="E657" s="114"/>
    </row>
    <row r="658" spans="1:5" x14ac:dyDescent="0.25">
      <c r="A658" s="113"/>
      <c r="B658" s="114"/>
      <c r="C658" s="114"/>
      <c r="D658" s="114"/>
      <c r="E658" s="114"/>
    </row>
    <row r="659" spans="1:5" x14ac:dyDescent="0.25">
      <c r="A659" s="113"/>
      <c r="B659" s="114"/>
      <c r="C659" s="114"/>
      <c r="D659" s="114"/>
      <c r="E659" s="114"/>
    </row>
    <row r="660" spans="1:5" x14ac:dyDescent="0.25">
      <c r="A660" s="113"/>
      <c r="B660" s="114"/>
      <c r="C660" s="114"/>
      <c r="D660" s="114"/>
      <c r="E660" s="114"/>
    </row>
    <row r="661" spans="1:5" x14ac:dyDescent="0.25">
      <c r="A661" s="113"/>
      <c r="B661" s="114"/>
      <c r="C661" s="114"/>
      <c r="D661" s="114"/>
      <c r="E661" s="114"/>
    </row>
    <row r="662" spans="1:5" x14ac:dyDescent="0.25">
      <c r="A662" s="113"/>
      <c r="B662" s="114"/>
      <c r="C662" s="114"/>
      <c r="D662" s="114"/>
      <c r="E662" s="114"/>
    </row>
    <row r="663" spans="1:5" x14ac:dyDescent="0.25">
      <c r="A663" s="113"/>
      <c r="B663" s="114"/>
      <c r="C663" s="114"/>
      <c r="D663" s="114"/>
      <c r="E663" s="114"/>
    </row>
    <row r="664" spans="1:5" x14ac:dyDescent="0.25">
      <c r="A664" s="113"/>
      <c r="B664" s="114"/>
      <c r="C664" s="114"/>
      <c r="D664" s="114"/>
      <c r="E664" s="114"/>
    </row>
    <row r="665" spans="1:5" x14ac:dyDescent="0.25">
      <c r="A665" s="113"/>
      <c r="B665" s="114"/>
      <c r="C665" s="114"/>
      <c r="D665" s="114"/>
      <c r="E665" s="114"/>
    </row>
    <row r="666" spans="1:5" x14ac:dyDescent="0.25">
      <c r="A666" s="113"/>
      <c r="B666" s="114"/>
      <c r="C666" s="114"/>
      <c r="D666" s="114"/>
      <c r="E666" s="114"/>
    </row>
    <row r="667" spans="1:5" x14ac:dyDescent="0.25">
      <c r="A667" s="113"/>
      <c r="B667" s="114"/>
      <c r="C667" s="114"/>
      <c r="D667" s="114"/>
      <c r="E667" s="114"/>
    </row>
    <row r="668" spans="1:5" x14ac:dyDescent="0.25">
      <c r="A668" s="113"/>
      <c r="B668" s="114"/>
      <c r="C668" s="114"/>
      <c r="D668" s="114"/>
      <c r="E668" s="114"/>
    </row>
    <row r="669" spans="1:5" x14ac:dyDescent="0.25">
      <c r="A669" s="113"/>
      <c r="B669" s="114"/>
      <c r="C669" s="114"/>
      <c r="D669" s="114"/>
      <c r="E669" s="114"/>
    </row>
    <row r="670" spans="1:5" x14ac:dyDescent="0.25">
      <c r="A670" s="113"/>
      <c r="B670" s="114"/>
      <c r="C670" s="114"/>
      <c r="D670" s="114"/>
      <c r="E670" s="114"/>
    </row>
    <row r="671" spans="1:5" x14ac:dyDescent="0.25">
      <c r="A671" s="113"/>
      <c r="B671" s="114"/>
      <c r="C671" s="114"/>
      <c r="D671" s="114"/>
      <c r="E671" s="114"/>
    </row>
    <row r="672" spans="1:5" x14ac:dyDescent="0.25">
      <c r="A672" s="113"/>
      <c r="B672" s="114"/>
      <c r="C672" s="114"/>
      <c r="D672" s="114"/>
      <c r="E672" s="114"/>
    </row>
    <row r="673" spans="1:5" x14ac:dyDescent="0.25">
      <c r="A673" s="113"/>
      <c r="B673" s="114"/>
      <c r="C673" s="114"/>
      <c r="D673" s="114"/>
      <c r="E673" s="114"/>
    </row>
    <row r="674" spans="1:5" x14ac:dyDescent="0.25">
      <c r="A674" s="113"/>
      <c r="B674" s="114"/>
      <c r="C674" s="114"/>
      <c r="D674" s="114"/>
      <c r="E674" s="114"/>
    </row>
    <row r="675" spans="1:5" x14ac:dyDescent="0.25">
      <c r="A675" s="113"/>
      <c r="B675" s="114"/>
      <c r="C675" s="114"/>
      <c r="D675" s="114"/>
      <c r="E675" s="114"/>
    </row>
    <row r="676" spans="1:5" x14ac:dyDescent="0.25">
      <c r="A676" s="113"/>
      <c r="B676" s="114"/>
      <c r="C676" s="114"/>
      <c r="D676" s="114"/>
      <c r="E676" s="114"/>
    </row>
    <row r="677" spans="1:5" x14ac:dyDescent="0.25">
      <c r="A677" s="113"/>
      <c r="B677" s="114"/>
      <c r="C677" s="114"/>
      <c r="D677" s="114"/>
      <c r="E677" s="114"/>
    </row>
    <row r="678" spans="1:5" x14ac:dyDescent="0.25">
      <c r="A678" s="113"/>
      <c r="B678" s="114"/>
      <c r="C678" s="114"/>
      <c r="D678" s="114"/>
      <c r="E678" s="114"/>
    </row>
    <row r="679" spans="1:5" x14ac:dyDescent="0.25">
      <c r="A679" s="113"/>
      <c r="B679" s="114"/>
      <c r="C679" s="114"/>
      <c r="D679" s="114"/>
      <c r="E679" s="114"/>
    </row>
    <row r="680" spans="1:5" x14ac:dyDescent="0.25">
      <c r="A680" s="113"/>
      <c r="B680" s="114"/>
      <c r="C680" s="114"/>
      <c r="D680" s="114"/>
      <c r="E680" s="114"/>
    </row>
    <row r="681" spans="1:5" x14ac:dyDescent="0.25">
      <c r="A681" s="113"/>
      <c r="B681" s="114"/>
      <c r="C681" s="114"/>
      <c r="D681" s="114"/>
      <c r="E681" s="114"/>
    </row>
    <row r="682" spans="1:5" x14ac:dyDescent="0.25">
      <c r="A682" s="113"/>
      <c r="B682" s="114"/>
      <c r="C682" s="114"/>
      <c r="D682" s="114"/>
      <c r="E682" s="114"/>
    </row>
    <row r="683" spans="1:5" x14ac:dyDescent="0.25">
      <c r="A683" s="113"/>
      <c r="B683" s="114"/>
      <c r="C683" s="114"/>
      <c r="D683" s="114"/>
      <c r="E683" s="114"/>
    </row>
    <row r="684" spans="1:5" x14ac:dyDescent="0.25">
      <c r="A684" s="113"/>
      <c r="B684" s="114"/>
      <c r="C684" s="114"/>
      <c r="D684" s="114"/>
      <c r="E684" s="114"/>
    </row>
    <row r="685" spans="1:5" x14ac:dyDescent="0.25">
      <c r="A685" s="113"/>
      <c r="B685" s="114"/>
      <c r="C685" s="114"/>
      <c r="D685" s="114"/>
      <c r="E685" s="114"/>
    </row>
    <row r="686" spans="1:5" x14ac:dyDescent="0.25">
      <c r="A686" s="113"/>
      <c r="B686" s="114"/>
      <c r="C686" s="114"/>
      <c r="D686" s="114"/>
      <c r="E686" s="114"/>
    </row>
    <row r="687" spans="1:5" x14ac:dyDescent="0.25">
      <c r="A687" s="113"/>
      <c r="B687" s="114"/>
      <c r="C687" s="114"/>
      <c r="D687" s="114"/>
      <c r="E687" s="114"/>
    </row>
    <row r="688" spans="1:5" x14ac:dyDescent="0.25">
      <c r="A688" s="113"/>
      <c r="B688" s="114"/>
      <c r="C688" s="114"/>
      <c r="D688" s="114"/>
      <c r="E688" s="114"/>
    </row>
    <row r="689" spans="1:5" x14ac:dyDescent="0.25">
      <c r="A689" s="113"/>
      <c r="B689" s="114"/>
      <c r="C689" s="114"/>
      <c r="D689" s="114"/>
      <c r="E689" s="114"/>
    </row>
    <row r="690" spans="1:5" x14ac:dyDescent="0.25">
      <c r="A690" s="113"/>
      <c r="B690" s="114"/>
      <c r="C690" s="114"/>
      <c r="D690" s="114"/>
      <c r="E690" s="114"/>
    </row>
    <row r="691" spans="1:5" x14ac:dyDescent="0.25">
      <c r="A691" s="113"/>
      <c r="B691" s="114"/>
      <c r="C691" s="114"/>
      <c r="D691" s="114"/>
      <c r="E691" s="114"/>
    </row>
    <row r="692" spans="1:5" x14ac:dyDescent="0.25">
      <c r="A692" s="113"/>
      <c r="B692" s="114"/>
      <c r="C692" s="114"/>
      <c r="D692" s="114"/>
      <c r="E692" s="114"/>
    </row>
    <row r="693" spans="1:5" x14ac:dyDescent="0.25">
      <c r="A693" s="113"/>
      <c r="B693" s="114"/>
      <c r="C693" s="114"/>
      <c r="D693" s="114"/>
      <c r="E693" s="114"/>
    </row>
    <row r="694" spans="1:5" x14ac:dyDescent="0.25">
      <c r="A694" s="113"/>
      <c r="B694" s="114"/>
      <c r="C694" s="114"/>
      <c r="D694" s="114"/>
      <c r="E694" s="114"/>
    </row>
    <row r="695" spans="1:5" x14ac:dyDescent="0.25">
      <c r="A695" s="113"/>
      <c r="B695" s="114"/>
      <c r="C695" s="114"/>
      <c r="D695" s="114"/>
      <c r="E695" s="114"/>
    </row>
    <row r="696" spans="1:5" x14ac:dyDescent="0.25">
      <c r="A696" s="113"/>
      <c r="B696" s="114"/>
      <c r="C696" s="114"/>
      <c r="D696" s="114"/>
      <c r="E696" s="114"/>
    </row>
    <row r="697" spans="1:5" x14ac:dyDescent="0.25">
      <c r="A697" s="113"/>
      <c r="B697" s="114"/>
      <c r="C697" s="114"/>
      <c r="D697" s="114"/>
      <c r="E697" s="114"/>
    </row>
    <row r="698" spans="1:5" x14ac:dyDescent="0.25">
      <c r="A698" s="113"/>
      <c r="B698" s="114"/>
      <c r="C698" s="114"/>
      <c r="D698" s="114"/>
      <c r="E698" s="114"/>
    </row>
    <row r="699" spans="1:5" x14ac:dyDescent="0.25">
      <c r="A699" s="113"/>
      <c r="B699" s="114"/>
      <c r="C699" s="114"/>
      <c r="D699" s="114"/>
      <c r="E699" s="114"/>
    </row>
    <row r="700" spans="1:5" x14ac:dyDescent="0.25">
      <c r="A700" s="113"/>
      <c r="B700" s="114"/>
      <c r="C700" s="114"/>
      <c r="D700" s="114"/>
      <c r="E700" s="114"/>
    </row>
    <row r="701" spans="1:5" x14ac:dyDescent="0.25">
      <c r="A701" s="113"/>
      <c r="B701" s="114"/>
      <c r="C701" s="114"/>
      <c r="D701" s="114"/>
      <c r="E701" s="114"/>
    </row>
    <row r="702" spans="1:5" x14ac:dyDescent="0.25">
      <c r="A702" s="113"/>
      <c r="B702" s="114"/>
      <c r="C702" s="114"/>
      <c r="D702" s="114"/>
      <c r="E702" s="114"/>
    </row>
    <row r="703" spans="1:5" x14ac:dyDescent="0.25">
      <c r="A703" s="113"/>
      <c r="B703" s="114"/>
      <c r="C703" s="114"/>
      <c r="D703" s="114"/>
      <c r="E703" s="114"/>
    </row>
    <row r="704" spans="1:5" x14ac:dyDescent="0.25">
      <c r="A704" s="113"/>
      <c r="B704" s="114"/>
      <c r="C704" s="114"/>
      <c r="D704" s="114"/>
      <c r="E704" s="114"/>
    </row>
    <row r="705" spans="1:5" x14ac:dyDescent="0.25">
      <c r="A705" s="113"/>
      <c r="B705" s="114"/>
      <c r="C705" s="114"/>
      <c r="D705" s="114"/>
      <c r="E705" s="114"/>
    </row>
    <row r="706" spans="1:5" x14ac:dyDescent="0.25">
      <c r="A706" s="113"/>
      <c r="B706" s="114"/>
      <c r="C706" s="114"/>
      <c r="D706" s="114"/>
      <c r="E706" s="114"/>
    </row>
    <row r="707" spans="1:5" x14ac:dyDescent="0.25">
      <c r="A707" s="113"/>
      <c r="B707" s="114"/>
      <c r="C707" s="114"/>
      <c r="D707" s="114"/>
      <c r="E707" s="114"/>
    </row>
    <row r="708" spans="1:5" x14ac:dyDescent="0.25">
      <c r="A708" s="113"/>
      <c r="B708" s="114"/>
      <c r="C708" s="114"/>
      <c r="D708" s="114"/>
      <c r="E708" s="114"/>
    </row>
    <row r="709" spans="1:5" x14ac:dyDescent="0.25">
      <c r="A709" s="113"/>
      <c r="B709" s="114"/>
      <c r="C709" s="114"/>
      <c r="D709" s="114"/>
      <c r="E709" s="114"/>
    </row>
    <row r="710" spans="1:5" x14ac:dyDescent="0.25">
      <c r="A710" s="113"/>
      <c r="B710" s="114"/>
      <c r="C710" s="114"/>
      <c r="D710" s="114"/>
      <c r="E710" s="114"/>
    </row>
    <row r="711" spans="1:5" x14ac:dyDescent="0.25">
      <c r="A711" s="113"/>
      <c r="B711" s="114"/>
      <c r="C711" s="114"/>
      <c r="D711" s="114"/>
      <c r="E711" s="114"/>
    </row>
    <row r="712" spans="1:5" x14ac:dyDescent="0.25">
      <c r="A712" s="113"/>
      <c r="B712" s="114"/>
      <c r="C712" s="114"/>
      <c r="D712" s="114"/>
      <c r="E712" s="114"/>
    </row>
    <row r="713" spans="1:5" x14ac:dyDescent="0.25">
      <c r="A713" s="113"/>
      <c r="B713" s="114"/>
      <c r="C713" s="114"/>
      <c r="D713" s="114"/>
      <c r="E713" s="114"/>
    </row>
    <row r="714" spans="1:5" x14ac:dyDescent="0.25">
      <c r="A714" s="113"/>
      <c r="B714" s="114"/>
      <c r="C714" s="114"/>
      <c r="D714" s="114"/>
      <c r="E714" s="114"/>
    </row>
    <row r="715" spans="1:5" x14ac:dyDescent="0.25">
      <c r="A715" s="113"/>
      <c r="B715" s="114"/>
      <c r="C715" s="114"/>
      <c r="D715" s="114"/>
      <c r="E715" s="114"/>
    </row>
    <row r="716" spans="1:5" x14ac:dyDescent="0.25">
      <c r="A716" s="113"/>
      <c r="B716" s="114"/>
      <c r="C716" s="114"/>
      <c r="D716" s="114"/>
      <c r="E716" s="114"/>
    </row>
    <row r="717" spans="1:5" x14ac:dyDescent="0.25">
      <c r="A717" s="113"/>
      <c r="B717" s="114"/>
      <c r="C717" s="114"/>
      <c r="D717" s="114"/>
      <c r="E717" s="114"/>
    </row>
    <row r="718" spans="1:5" x14ac:dyDescent="0.25">
      <c r="A718" s="113"/>
      <c r="B718" s="114"/>
      <c r="C718" s="114"/>
      <c r="D718" s="114"/>
      <c r="E718" s="114"/>
    </row>
    <row r="719" spans="1:5" x14ac:dyDescent="0.25">
      <c r="A719" s="113"/>
      <c r="B719" s="114"/>
      <c r="C719" s="114"/>
      <c r="D719" s="114"/>
      <c r="E719" s="114"/>
    </row>
    <row r="720" spans="1:5" x14ac:dyDescent="0.25">
      <c r="A720" s="113"/>
      <c r="B720" s="114"/>
      <c r="C720" s="114"/>
      <c r="D720" s="114"/>
      <c r="E720" s="114"/>
    </row>
    <row r="721" spans="1:5" x14ac:dyDescent="0.25">
      <c r="A721" s="113"/>
      <c r="B721" s="114"/>
      <c r="C721" s="114"/>
      <c r="D721" s="114"/>
      <c r="E721" s="114"/>
    </row>
    <row r="722" spans="1:5" x14ac:dyDescent="0.25">
      <c r="A722" s="113"/>
      <c r="B722" s="114"/>
      <c r="C722" s="114"/>
      <c r="D722" s="114"/>
      <c r="E722" s="114"/>
    </row>
    <row r="723" spans="1:5" x14ac:dyDescent="0.25">
      <c r="A723" s="113"/>
      <c r="B723" s="114"/>
      <c r="C723" s="114"/>
      <c r="D723" s="114"/>
      <c r="E723" s="114"/>
    </row>
    <row r="724" spans="1:5" x14ac:dyDescent="0.25">
      <c r="A724" s="113"/>
      <c r="B724" s="114"/>
      <c r="C724" s="114"/>
      <c r="D724" s="114"/>
      <c r="E724" s="114"/>
    </row>
    <row r="725" spans="1:5" x14ac:dyDescent="0.25">
      <c r="A725" s="113"/>
      <c r="B725" s="114"/>
      <c r="C725" s="114"/>
      <c r="D725" s="114"/>
      <c r="E725" s="114"/>
    </row>
    <row r="726" spans="1:5" x14ac:dyDescent="0.25">
      <c r="A726" s="113"/>
      <c r="B726" s="114"/>
      <c r="C726" s="114"/>
      <c r="D726" s="114"/>
      <c r="E726" s="114"/>
    </row>
    <row r="727" spans="1:5" x14ac:dyDescent="0.25">
      <c r="A727" s="113"/>
      <c r="B727" s="114"/>
      <c r="C727" s="114"/>
      <c r="D727" s="114"/>
      <c r="E727" s="114"/>
    </row>
    <row r="728" spans="1:5" x14ac:dyDescent="0.25">
      <c r="A728" s="113"/>
      <c r="B728" s="114"/>
      <c r="C728" s="114"/>
      <c r="D728" s="114"/>
      <c r="E728" s="114"/>
    </row>
    <row r="729" spans="1:5" x14ac:dyDescent="0.25">
      <c r="A729" s="113"/>
      <c r="B729" s="114"/>
      <c r="C729" s="114"/>
      <c r="D729" s="114"/>
      <c r="E729" s="114"/>
    </row>
    <row r="730" spans="1:5" x14ac:dyDescent="0.25">
      <c r="A730" s="113"/>
      <c r="B730" s="114"/>
      <c r="C730" s="114"/>
      <c r="D730" s="114"/>
      <c r="E730" s="114"/>
    </row>
    <row r="731" spans="1:5" x14ac:dyDescent="0.25">
      <c r="A731" s="113"/>
      <c r="B731" s="114"/>
      <c r="C731" s="114"/>
      <c r="D731" s="114"/>
      <c r="E731" s="114"/>
    </row>
    <row r="732" spans="1:5" x14ac:dyDescent="0.25">
      <c r="A732" s="113"/>
      <c r="B732" s="114"/>
      <c r="C732" s="114"/>
      <c r="D732" s="114"/>
      <c r="E732" s="114"/>
    </row>
    <row r="733" spans="1:5" x14ac:dyDescent="0.25">
      <c r="A733" s="113"/>
      <c r="B733" s="114"/>
      <c r="C733" s="114"/>
      <c r="D733" s="114"/>
      <c r="E733" s="114"/>
    </row>
    <row r="734" spans="1:5" x14ac:dyDescent="0.25">
      <c r="A734" s="113"/>
      <c r="B734" s="114"/>
      <c r="C734" s="114"/>
      <c r="D734" s="114"/>
      <c r="E734" s="114"/>
    </row>
    <row r="735" spans="1:5" x14ac:dyDescent="0.25">
      <c r="A735" s="113"/>
      <c r="B735" s="114"/>
      <c r="C735" s="114"/>
      <c r="D735" s="114"/>
      <c r="E735" s="114"/>
    </row>
    <row r="736" spans="1:5" x14ac:dyDescent="0.25">
      <c r="A736" s="113"/>
      <c r="B736" s="114"/>
      <c r="C736" s="114"/>
      <c r="D736" s="114"/>
      <c r="E736" s="114"/>
    </row>
    <row r="737" spans="1:5" x14ac:dyDescent="0.25">
      <c r="A737" s="113"/>
      <c r="B737" s="114"/>
      <c r="C737" s="114"/>
      <c r="D737" s="114"/>
      <c r="E737" s="114"/>
    </row>
    <row r="738" spans="1:5" x14ac:dyDescent="0.25">
      <c r="A738" s="113"/>
      <c r="B738" s="114"/>
      <c r="C738" s="114"/>
      <c r="D738" s="114"/>
      <c r="E738" s="114"/>
    </row>
    <row r="739" spans="1:5" x14ac:dyDescent="0.25">
      <c r="A739" s="113"/>
      <c r="B739" s="114"/>
      <c r="C739" s="114"/>
      <c r="D739" s="114"/>
      <c r="E739" s="114"/>
    </row>
    <row r="740" spans="1:5" x14ac:dyDescent="0.25">
      <c r="A740" s="113"/>
      <c r="B740" s="114"/>
      <c r="C740" s="114"/>
      <c r="D740" s="114"/>
      <c r="E740" s="114"/>
    </row>
    <row r="741" spans="1:5" x14ac:dyDescent="0.25">
      <c r="A741" s="113"/>
      <c r="B741" s="114"/>
      <c r="C741" s="114"/>
      <c r="D741" s="114"/>
      <c r="E741" s="114"/>
    </row>
    <row r="742" spans="1:5" x14ac:dyDescent="0.25">
      <c r="A742" s="113"/>
      <c r="B742" s="114"/>
      <c r="C742" s="114"/>
      <c r="D742" s="114"/>
      <c r="E742" s="114"/>
    </row>
    <row r="743" spans="1:5" x14ac:dyDescent="0.25">
      <c r="A743" s="113"/>
      <c r="B743" s="114"/>
      <c r="C743" s="114"/>
      <c r="D743" s="114"/>
      <c r="E743" s="114"/>
    </row>
    <row r="744" spans="1:5" x14ac:dyDescent="0.25">
      <c r="A744" s="113"/>
      <c r="B744" s="114"/>
      <c r="C744" s="114"/>
      <c r="D744" s="114"/>
      <c r="E744" s="114"/>
    </row>
    <row r="745" spans="1:5" x14ac:dyDescent="0.25">
      <c r="A745" s="113"/>
      <c r="B745" s="114"/>
      <c r="C745" s="114"/>
      <c r="D745" s="114"/>
      <c r="E745" s="114"/>
    </row>
    <row r="746" spans="1:5" x14ac:dyDescent="0.25">
      <c r="A746" s="113"/>
      <c r="B746" s="114"/>
      <c r="C746" s="114"/>
      <c r="D746" s="114"/>
      <c r="E746" s="114"/>
    </row>
    <row r="747" spans="1:5" x14ac:dyDescent="0.25">
      <c r="A747" s="113"/>
      <c r="B747" s="114"/>
      <c r="C747" s="114"/>
      <c r="D747" s="114"/>
      <c r="E747" s="114"/>
    </row>
    <row r="748" spans="1:5" x14ac:dyDescent="0.25">
      <c r="A748" s="113"/>
      <c r="B748" s="114"/>
      <c r="C748" s="114"/>
      <c r="D748" s="114"/>
      <c r="E748" s="114"/>
    </row>
    <row r="749" spans="1:5" x14ac:dyDescent="0.25">
      <c r="A749" s="113"/>
      <c r="B749" s="114"/>
      <c r="C749" s="114"/>
      <c r="D749" s="114"/>
      <c r="E749" s="114"/>
    </row>
    <row r="750" spans="1:5" x14ac:dyDescent="0.25">
      <c r="A750" s="113"/>
      <c r="B750" s="114"/>
      <c r="C750" s="114"/>
      <c r="D750" s="114"/>
      <c r="E750" s="114"/>
    </row>
    <row r="751" spans="1:5" x14ac:dyDescent="0.25">
      <c r="A751" s="113"/>
      <c r="B751" s="114"/>
      <c r="C751" s="114"/>
      <c r="D751" s="114"/>
      <c r="E751" s="114"/>
    </row>
    <row r="752" spans="1:5" x14ac:dyDescent="0.25">
      <c r="A752" s="113"/>
      <c r="B752" s="114"/>
      <c r="C752" s="114"/>
      <c r="D752" s="114"/>
      <c r="E752" s="114"/>
    </row>
    <row r="753" spans="1:5" x14ac:dyDescent="0.25">
      <c r="A753" s="113"/>
      <c r="B753" s="114"/>
      <c r="C753" s="114"/>
      <c r="D753" s="114"/>
      <c r="E753" s="114"/>
    </row>
    <row r="754" spans="1:5" x14ac:dyDescent="0.25">
      <c r="A754" s="113"/>
      <c r="B754" s="114"/>
      <c r="C754" s="114"/>
      <c r="D754" s="114"/>
      <c r="E754" s="114"/>
    </row>
    <row r="755" spans="1:5" x14ac:dyDescent="0.25">
      <c r="A755" s="113"/>
      <c r="B755" s="114"/>
      <c r="C755" s="114"/>
      <c r="D755" s="114"/>
      <c r="E755" s="114"/>
    </row>
    <row r="756" spans="1:5" x14ac:dyDescent="0.25">
      <c r="A756" s="113"/>
      <c r="B756" s="114"/>
      <c r="C756" s="114"/>
      <c r="D756" s="114"/>
      <c r="E756" s="114"/>
    </row>
    <row r="757" spans="1:5" x14ac:dyDescent="0.25">
      <c r="A757" s="113"/>
      <c r="B757" s="114"/>
      <c r="C757" s="114"/>
      <c r="D757" s="114"/>
      <c r="E757" s="114"/>
    </row>
    <row r="758" spans="1:5" x14ac:dyDescent="0.25">
      <c r="A758" s="113"/>
      <c r="B758" s="114"/>
      <c r="C758" s="114"/>
      <c r="D758" s="114"/>
      <c r="E758" s="114"/>
    </row>
    <row r="759" spans="1:5" x14ac:dyDescent="0.25">
      <c r="A759" s="113"/>
      <c r="B759" s="114"/>
      <c r="C759" s="114"/>
      <c r="D759" s="114"/>
      <c r="E759" s="114"/>
    </row>
    <row r="760" spans="1:5" x14ac:dyDescent="0.25">
      <c r="A760" s="113"/>
      <c r="B760" s="114"/>
      <c r="C760" s="114"/>
      <c r="D760" s="114"/>
      <c r="E760" s="114"/>
    </row>
    <row r="761" spans="1:5" x14ac:dyDescent="0.25">
      <c r="A761" s="113"/>
      <c r="B761" s="114"/>
      <c r="C761" s="114"/>
      <c r="D761" s="114"/>
      <c r="E761" s="114"/>
    </row>
    <row r="762" spans="1:5" x14ac:dyDescent="0.25">
      <c r="A762" s="113"/>
      <c r="B762" s="114"/>
      <c r="C762" s="114"/>
      <c r="D762" s="114"/>
      <c r="E762" s="114"/>
    </row>
    <row r="763" spans="1:5" x14ac:dyDescent="0.25">
      <c r="A763" s="113"/>
      <c r="B763" s="114"/>
      <c r="C763" s="114"/>
      <c r="D763" s="114"/>
      <c r="E763" s="114"/>
    </row>
    <row r="764" spans="1:5" x14ac:dyDescent="0.25">
      <c r="A764" s="113"/>
      <c r="B764" s="114"/>
      <c r="C764" s="114"/>
      <c r="D764" s="114"/>
      <c r="E764" s="114"/>
    </row>
    <row r="765" spans="1:5" x14ac:dyDescent="0.25">
      <c r="A765" s="113"/>
      <c r="B765" s="114"/>
      <c r="C765" s="114"/>
      <c r="D765" s="114"/>
      <c r="E765" s="114"/>
    </row>
    <row r="766" spans="1:5" x14ac:dyDescent="0.25">
      <c r="A766" s="113"/>
      <c r="B766" s="114"/>
      <c r="C766" s="114"/>
      <c r="D766" s="114"/>
      <c r="E766" s="114"/>
    </row>
    <row r="767" spans="1:5" x14ac:dyDescent="0.25">
      <c r="A767" s="113"/>
      <c r="B767" s="114"/>
      <c r="C767" s="114"/>
      <c r="D767" s="114"/>
      <c r="E767" s="114"/>
    </row>
    <row r="768" spans="1:5" x14ac:dyDescent="0.25">
      <c r="A768" s="113"/>
      <c r="B768" s="114"/>
      <c r="C768" s="114"/>
      <c r="D768" s="114"/>
      <c r="E768" s="114"/>
    </row>
    <row r="769" spans="1:5" x14ac:dyDescent="0.25">
      <c r="A769" s="113"/>
      <c r="B769" s="114"/>
      <c r="C769" s="114"/>
      <c r="D769" s="114"/>
      <c r="E769" s="114"/>
    </row>
    <row r="770" spans="1:5" x14ac:dyDescent="0.25">
      <c r="A770" s="113"/>
      <c r="B770" s="114"/>
      <c r="C770" s="114"/>
      <c r="D770" s="114"/>
      <c r="E770" s="114"/>
    </row>
    <row r="771" spans="1:5" x14ac:dyDescent="0.25">
      <c r="A771" s="113"/>
      <c r="B771" s="114"/>
      <c r="C771" s="114"/>
      <c r="D771" s="114"/>
      <c r="E771" s="114"/>
    </row>
    <row r="772" spans="1:5" x14ac:dyDescent="0.25">
      <c r="A772" s="113"/>
      <c r="B772" s="114"/>
      <c r="C772" s="114"/>
      <c r="D772" s="114"/>
      <c r="E772" s="114"/>
    </row>
    <row r="773" spans="1:5" x14ac:dyDescent="0.25">
      <c r="A773" s="113"/>
      <c r="B773" s="114"/>
      <c r="C773" s="114"/>
      <c r="D773" s="114"/>
      <c r="E773" s="114"/>
    </row>
    <row r="774" spans="1:5" x14ac:dyDescent="0.25">
      <c r="A774" s="113"/>
      <c r="B774" s="114"/>
      <c r="C774" s="114"/>
      <c r="D774" s="114"/>
      <c r="E774" s="114"/>
    </row>
    <row r="775" spans="1:5" x14ac:dyDescent="0.25">
      <c r="A775" s="113"/>
      <c r="B775" s="114"/>
      <c r="C775" s="114"/>
      <c r="D775" s="114"/>
      <c r="E775" s="114"/>
    </row>
    <row r="776" spans="1:5" x14ac:dyDescent="0.25">
      <c r="A776" s="113"/>
      <c r="B776" s="114"/>
      <c r="C776" s="114"/>
      <c r="D776" s="114"/>
      <c r="E776" s="114"/>
    </row>
    <row r="777" spans="1:5" x14ac:dyDescent="0.25">
      <c r="A777" s="113"/>
      <c r="B777" s="114"/>
      <c r="C777" s="114"/>
      <c r="D777" s="114"/>
      <c r="E777" s="114"/>
    </row>
    <row r="778" spans="1:5" x14ac:dyDescent="0.25">
      <c r="A778" s="113"/>
      <c r="B778" s="114"/>
      <c r="C778" s="114"/>
      <c r="D778" s="114"/>
      <c r="E778" s="114"/>
    </row>
    <row r="779" spans="1:5" x14ac:dyDescent="0.25">
      <c r="A779" s="113"/>
      <c r="B779" s="114"/>
      <c r="C779" s="114"/>
      <c r="D779" s="114"/>
      <c r="E779" s="114"/>
    </row>
    <row r="780" spans="1:5" x14ac:dyDescent="0.25">
      <c r="A780" s="113"/>
      <c r="B780" s="114"/>
      <c r="C780" s="114"/>
      <c r="D780" s="114"/>
      <c r="E780" s="114"/>
    </row>
    <row r="781" spans="1:5" x14ac:dyDescent="0.25">
      <c r="A781" s="113"/>
      <c r="B781" s="114"/>
      <c r="C781" s="114"/>
      <c r="D781" s="114"/>
      <c r="E781" s="114"/>
    </row>
    <row r="782" spans="1:5" x14ac:dyDescent="0.25">
      <c r="A782" s="113"/>
      <c r="B782" s="114"/>
      <c r="C782" s="114"/>
      <c r="D782" s="114"/>
      <c r="E782" s="114"/>
    </row>
    <row r="783" spans="1:5" x14ac:dyDescent="0.25">
      <c r="A783" s="113"/>
      <c r="B783" s="114"/>
      <c r="C783" s="114"/>
      <c r="D783" s="114"/>
      <c r="E783" s="114"/>
    </row>
    <row r="784" spans="1:5" x14ac:dyDescent="0.25">
      <c r="A784" s="113"/>
      <c r="B784" s="114"/>
      <c r="C784" s="114"/>
      <c r="D784" s="114"/>
      <c r="E784" s="114"/>
    </row>
    <row r="785" spans="1:5" x14ac:dyDescent="0.25">
      <c r="A785" s="113"/>
      <c r="B785" s="114"/>
      <c r="C785" s="114"/>
      <c r="D785" s="114"/>
      <c r="E785" s="114"/>
    </row>
    <row r="786" spans="1:5" x14ac:dyDescent="0.25">
      <c r="A786" s="113"/>
      <c r="B786" s="114"/>
      <c r="C786" s="114"/>
      <c r="D786" s="114"/>
      <c r="E786" s="114"/>
    </row>
    <row r="787" spans="1:5" x14ac:dyDescent="0.25">
      <c r="A787" s="113"/>
      <c r="B787" s="114"/>
      <c r="C787" s="114"/>
      <c r="D787" s="114"/>
      <c r="E787" s="114"/>
    </row>
    <row r="788" spans="1:5" x14ac:dyDescent="0.25">
      <c r="A788" s="113"/>
      <c r="B788" s="114"/>
      <c r="C788" s="114"/>
      <c r="D788" s="114"/>
      <c r="E788" s="114"/>
    </row>
    <row r="789" spans="1:5" x14ac:dyDescent="0.25">
      <c r="A789" s="113"/>
      <c r="B789" s="114"/>
      <c r="C789" s="114"/>
      <c r="D789" s="114"/>
      <c r="E789" s="114"/>
    </row>
    <row r="790" spans="1:5" x14ac:dyDescent="0.25">
      <c r="A790" s="113"/>
      <c r="B790" s="114"/>
      <c r="C790" s="114"/>
      <c r="D790" s="114"/>
      <c r="E790" s="114"/>
    </row>
    <row r="791" spans="1:5" x14ac:dyDescent="0.25">
      <c r="A791" s="113"/>
      <c r="B791" s="114"/>
      <c r="C791" s="114"/>
      <c r="D791" s="114"/>
      <c r="E791" s="114"/>
    </row>
    <row r="792" spans="1:5" x14ac:dyDescent="0.25">
      <c r="A792" s="113"/>
      <c r="B792" s="114"/>
      <c r="C792" s="114"/>
      <c r="D792" s="114"/>
      <c r="E792" s="114"/>
    </row>
    <row r="793" spans="1:5" x14ac:dyDescent="0.25">
      <c r="A793" s="113"/>
      <c r="B793" s="114"/>
      <c r="C793" s="114"/>
      <c r="D793" s="114"/>
      <c r="E793" s="114"/>
    </row>
    <row r="794" spans="1:5" x14ac:dyDescent="0.25">
      <c r="A794" s="113"/>
      <c r="B794" s="114"/>
      <c r="C794" s="114"/>
      <c r="D794" s="114"/>
      <c r="E794" s="114"/>
    </row>
    <row r="795" spans="1:5" x14ac:dyDescent="0.25">
      <c r="A795" s="113"/>
      <c r="B795" s="114"/>
      <c r="C795" s="114"/>
      <c r="D795" s="114"/>
      <c r="E795" s="114"/>
    </row>
    <row r="796" spans="1:5" x14ac:dyDescent="0.25">
      <c r="A796" s="113"/>
      <c r="B796" s="114"/>
      <c r="C796" s="114"/>
      <c r="D796" s="114"/>
      <c r="E796" s="114"/>
    </row>
    <row r="797" spans="1:5" x14ac:dyDescent="0.25">
      <c r="A797" s="113"/>
      <c r="B797" s="114"/>
      <c r="C797" s="114"/>
      <c r="D797" s="114"/>
      <c r="E797" s="114"/>
    </row>
    <row r="798" spans="1:5" x14ac:dyDescent="0.25">
      <c r="A798" s="113"/>
      <c r="B798" s="114"/>
      <c r="C798" s="114"/>
      <c r="D798" s="114"/>
      <c r="E798" s="114"/>
    </row>
    <row r="799" spans="1:5" x14ac:dyDescent="0.25">
      <c r="A799" s="113"/>
      <c r="B799" s="114"/>
      <c r="C799" s="114"/>
      <c r="D799" s="114"/>
      <c r="E799" s="114"/>
    </row>
    <row r="800" spans="1:5" x14ac:dyDescent="0.25">
      <c r="A800" s="113"/>
      <c r="B800" s="114"/>
      <c r="C800" s="114"/>
      <c r="D800" s="114"/>
      <c r="E800" s="114"/>
    </row>
    <row r="801" spans="1:5" x14ac:dyDescent="0.25">
      <c r="A801" s="113"/>
      <c r="B801" s="114"/>
      <c r="C801" s="114"/>
      <c r="D801" s="114"/>
      <c r="E801" s="114"/>
    </row>
    <row r="802" spans="1:5" x14ac:dyDescent="0.25">
      <c r="A802" s="113"/>
      <c r="B802" s="114"/>
      <c r="C802" s="114"/>
      <c r="D802" s="114"/>
      <c r="E802" s="114"/>
    </row>
    <row r="803" spans="1:5" x14ac:dyDescent="0.25">
      <c r="A803" s="113"/>
      <c r="B803" s="114"/>
      <c r="C803" s="114"/>
      <c r="D803" s="114"/>
      <c r="E803" s="114"/>
    </row>
    <row r="804" spans="1:5" x14ac:dyDescent="0.25">
      <c r="A804" s="113"/>
      <c r="B804" s="114"/>
      <c r="C804" s="114"/>
      <c r="D804" s="114"/>
      <c r="E804" s="114"/>
    </row>
    <row r="805" spans="1:5" x14ac:dyDescent="0.25">
      <c r="A805" s="113"/>
      <c r="B805" s="114"/>
      <c r="C805" s="114"/>
      <c r="D805" s="114"/>
      <c r="E805" s="114"/>
    </row>
    <row r="806" spans="1:5" x14ac:dyDescent="0.25">
      <c r="A806" s="113"/>
      <c r="B806" s="114"/>
      <c r="C806" s="114"/>
      <c r="D806" s="114"/>
      <c r="E806" s="114"/>
    </row>
    <row r="807" spans="1:5" x14ac:dyDescent="0.25">
      <c r="A807" s="113"/>
      <c r="B807" s="114"/>
      <c r="C807" s="114"/>
      <c r="D807" s="114"/>
      <c r="E807" s="114"/>
    </row>
    <row r="808" spans="1:5" x14ac:dyDescent="0.25">
      <c r="A808" s="113"/>
      <c r="B808" s="114"/>
      <c r="C808" s="114"/>
      <c r="D808" s="114"/>
      <c r="E808" s="114"/>
    </row>
    <row r="809" spans="1:5" x14ac:dyDescent="0.25">
      <c r="A809" s="113"/>
      <c r="B809" s="114"/>
      <c r="C809" s="114"/>
      <c r="D809" s="114"/>
      <c r="E809" s="114"/>
    </row>
    <row r="810" spans="1:5" x14ac:dyDescent="0.25">
      <c r="A810" s="113"/>
      <c r="B810" s="114"/>
      <c r="C810" s="114"/>
      <c r="D810" s="114"/>
      <c r="E810" s="114"/>
    </row>
    <row r="811" spans="1:5" x14ac:dyDescent="0.25">
      <c r="A811" s="113"/>
      <c r="B811" s="114"/>
      <c r="C811" s="114"/>
      <c r="D811" s="114"/>
      <c r="E811" s="114"/>
    </row>
    <row r="812" spans="1:5" x14ac:dyDescent="0.25">
      <c r="A812" s="113"/>
      <c r="B812" s="114"/>
      <c r="C812" s="114"/>
      <c r="D812" s="114"/>
      <c r="E812" s="114"/>
    </row>
    <row r="813" spans="1:5" x14ac:dyDescent="0.25">
      <c r="A813" s="113"/>
      <c r="B813" s="114"/>
      <c r="C813" s="114"/>
      <c r="D813" s="114"/>
      <c r="E813" s="114"/>
    </row>
    <row r="814" spans="1:5" x14ac:dyDescent="0.25">
      <c r="A814" s="113"/>
      <c r="B814" s="114"/>
      <c r="C814" s="114"/>
      <c r="D814" s="114"/>
      <c r="E814" s="114"/>
    </row>
    <row r="815" spans="1:5" x14ac:dyDescent="0.25">
      <c r="A815" s="113"/>
      <c r="B815" s="114"/>
      <c r="C815" s="114"/>
      <c r="D815" s="114"/>
      <c r="E815" s="114"/>
    </row>
    <row r="816" spans="1:5" x14ac:dyDescent="0.25">
      <c r="A816" s="113"/>
      <c r="B816" s="114"/>
      <c r="C816" s="114"/>
      <c r="D816" s="114"/>
      <c r="E816" s="114"/>
    </row>
    <row r="817" spans="1:5" x14ac:dyDescent="0.25">
      <c r="A817" s="113"/>
      <c r="B817" s="114"/>
      <c r="C817" s="114"/>
      <c r="D817" s="114"/>
      <c r="E817" s="114"/>
    </row>
    <row r="818" spans="1:5" x14ac:dyDescent="0.25">
      <c r="A818" s="113"/>
      <c r="B818" s="114"/>
      <c r="C818" s="114"/>
      <c r="D818" s="114"/>
      <c r="E818" s="114"/>
    </row>
    <row r="819" spans="1:5" x14ac:dyDescent="0.25">
      <c r="A819" s="113"/>
      <c r="B819" s="114"/>
      <c r="C819" s="114"/>
      <c r="D819" s="114"/>
      <c r="E819" s="114"/>
    </row>
    <row r="820" spans="1:5" x14ac:dyDescent="0.25">
      <c r="A820" s="113"/>
      <c r="B820" s="114"/>
      <c r="C820" s="114"/>
      <c r="D820" s="114"/>
      <c r="E820" s="114"/>
    </row>
    <row r="821" spans="1:5" x14ac:dyDescent="0.25">
      <c r="A821" s="113"/>
      <c r="B821" s="114"/>
      <c r="C821" s="114"/>
      <c r="D821" s="114"/>
      <c r="E821" s="114"/>
    </row>
    <row r="822" spans="1:5" x14ac:dyDescent="0.25">
      <c r="A822" s="113"/>
      <c r="B822" s="114"/>
      <c r="C822" s="114"/>
      <c r="D822" s="114"/>
      <c r="E822" s="114"/>
    </row>
    <row r="823" spans="1:5" x14ac:dyDescent="0.25">
      <c r="A823" s="113"/>
      <c r="B823" s="114"/>
      <c r="C823" s="114"/>
      <c r="D823" s="114"/>
      <c r="E823" s="114"/>
    </row>
    <row r="824" spans="1:5" x14ac:dyDescent="0.25">
      <c r="A824" s="113"/>
      <c r="B824" s="114"/>
      <c r="C824" s="114"/>
      <c r="D824" s="114"/>
      <c r="E824" s="114"/>
    </row>
    <row r="825" spans="1:5" x14ac:dyDescent="0.25">
      <c r="A825" s="113"/>
      <c r="B825" s="114"/>
      <c r="C825" s="114"/>
      <c r="D825" s="114"/>
      <c r="E825" s="114"/>
    </row>
    <row r="826" spans="1:5" x14ac:dyDescent="0.25">
      <c r="A826" s="113"/>
      <c r="B826" s="114"/>
      <c r="C826" s="114"/>
      <c r="D826" s="114"/>
      <c r="E826" s="114"/>
    </row>
    <row r="827" spans="1:5" x14ac:dyDescent="0.25">
      <c r="A827" s="113"/>
      <c r="B827" s="114"/>
      <c r="C827" s="114"/>
      <c r="D827" s="114"/>
      <c r="E827" s="114"/>
    </row>
    <row r="828" spans="1:5" x14ac:dyDescent="0.25">
      <c r="A828" s="113"/>
      <c r="B828" s="114"/>
      <c r="C828" s="114"/>
      <c r="D828" s="114"/>
      <c r="E828" s="114"/>
    </row>
    <row r="829" spans="1:5" x14ac:dyDescent="0.25">
      <c r="A829" s="113"/>
      <c r="B829" s="114"/>
      <c r="C829" s="114"/>
      <c r="D829" s="114"/>
      <c r="E829" s="114"/>
    </row>
    <row r="830" spans="1:5" x14ac:dyDescent="0.25">
      <c r="A830" s="113"/>
      <c r="B830" s="114"/>
      <c r="C830" s="114"/>
      <c r="D830" s="114"/>
      <c r="E830" s="114"/>
    </row>
    <row r="831" spans="1:5" x14ac:dyDescent="0.25">
      <c r="A831" s="113"/>
      <c r="B831" s="114"/>
      <c r="C831" s="114"/>
      <c r="D831" s="114"/>
      <c r="E831" s="114"/>
    </row>
    <row r="832" spans="1:5" x14ac:dyDescent="0.25">
      <c r="A832" s="113"/>
      <c r="B832" s="114"/>
      <c r="C832" s="114"/>
      <c r="D832" s="114"/>
      <c r="E832" s="114"/>
    </row>
    <row r="833" spans="1:5" x14ac:dyDescent="0.25">
      <c r="A833" s="113"/>
      <c r="B833" s="114"/>
      <c r="C833" s="114"/>
      <c r="D833" s="114"/>
      <c r="E833" s="114"/>
    </row>
    <row r="834" spans="1:5" x14ac:dyDescent="0.25">
      <c r="A834" s="113"/>
      <c r="B834" s="114"/>
      <c r="C834" s="114"/>
      <c r="D834" s="114"/>
      <c r="E834" s="114"/>
    </row>
    <row r="835" spans="1:5" x14ac:dyDescent="0.25">
      <c r="A835" s="113"/>
      <c r="B835" s="114"/>
      <c r="C835" s="114"/>
      <c r="D835" s="114"/>
      <c r="E835" s="114"/>
    </row>
    <row r="836" spans="1:5" x14ac:dyDescent="0.25">
      <c r="A836" s="113"/>
      <c r="B836" s="114"/>
      <c r="C836" s="114"/>
      <c r="D836" s="114"/>
      <c r="E836" s="114"/>
    </row>
    <row r="837" spans="1:5" x14ac:dyDescent="0.25">
      <c r="A837" s="113"/>
      <c r="B837" s="114"/>
      <c r="C837" s="114"/>
      <c r="D837" s="114"/>
      <c r="E837" s="114"/>
    </row>
    <row r="838" spans="1:5" x14ac:dyDescent="0.25">
      <c r="A838" s="113"/>
      <c r="B838" s="114"/>
      <c r="C838" s="114"/>
      <c r="D838" s="114"/>
      <c r="E838" s="114"/>
    </row>
    <row r="839" spans="1:5" x14ac:dyDescent="0.25">
      <c r="A839" s="113"/>
      <c r="B839" s="114"/>
      <c r="C839" s="114"/>
      <c r="D839" s="114"/>
      <c r="E839" s="114"/>
    </row>
    <row r="840" spans="1:5" x14ac:dyDescent="0.25">
      <c r="A840" s="113"/>
      <c r="B840" s="114"/>
      <c r="C840" s="114"/>
      <c r="D840" s="114"/>
      <c r="E840" s="114"/>
    </row>
    <row r="841" spans="1:5" x14ac:dyDescent="0.25">
      <c r="A841" s="113"/>
      <c r="B841" s="114"/>
      <c r="C841" s="114"/>
      <c r="D841" s="114"/>
      <c r="E841" s="114"/>
    </row>
    <row r="842" spans="1:5" x14ac:dyDescent="0.25">
      <c r="A842" s="113"/>
      <c r="B842" s="114"/>
      <c r="C842" s="114"/>
      <c r="D842" s="114"/>
      <c r="E842" s="114"/>
    </row>
    <row r="843" spans="1:5" x14ac:dyDescent="0.25">
      <c r="A843" s="113"/>
      <c r="B843" s="114"/>
      <c r="C843" s="114"/>
      <c r="D843" s="114"/>
      <c r="E843" s="114"/>
    </row>
    <row r="844" spans="1:5" x14ac:dyDescent="0.25">
      <c r="A844" s="113"/>
      <c r="B844" s="114"/>
      <c r="C844" s="114"/>
      <c r="D844" s="114"/>
      <c r="E844" s="114"/>
    </row>
    <row r="845" spans="1:5" x14ac:dyDescent="0.25">
      <c r="A845" s="113"/>
      <c r="B845" s="114"/>
      <c r="C845" s="114"/>
      <c r="D845" s="114"/>
      <c r="E845" s="114"/>
    </row>
    <row r="846" spans="1:5" x14ac:dyDescent="0.25">
      <c r="A846" s="113"/>
      <c r="B846" s="114"/>
      <c r="C846" s="114"/>
      <c r="D846" s="114"/>
      <c r="E846" s="114"/>
    </row>
    <row r="847" spans="1:5" x14ac:dyDescent="0.25">
      <c r="A847" s="113"/>
      <c r="B847" s="114"/>
      <c r="C847" s="114"/>
      <c r="D847" s="114"/>
      <c r="E847" s="114"/>
    </row>
    <row r="848" spans="1:5" x14ac:dyDescent="0.25">
      <c r="A848" s="113"/>
      <c r="B848" s="114"/>
      <c r="C848" s="114"/>
      <c r="D848" s="114"/>
      <c r="E848" s="114"/>
    </row>
    <row r="849" spans="1:5" x14ac:dyDescent="0.25">
      <c r="A849" s="113"/>
      <c r="B849" s="114"/>
      <c r="C849" s="114"/>
      <c r="D849" s="114"/>
      <c r="E849" s="114"/>
    </row>
    <row r="850" spans="1:5" x14ac:dyDescent="0.25">
      <c r="A850" s="113"/>
      <c r="B850" s="114"/>
      <c r="C850" s="114"/>
      <c r="D850" s="114"/>
      <c r="E850" s="114"/>
    </row>
    <row r="851" spans="1:5" x14ac:dyDescent="0.25">
      <c r="A851" s="113"/>
      <c r="B851" s="114"/>
      <c r="C851" s="114"/>
      <c r="D851" s="114"/>
      <c r="E851" s="114"/>
    </row>
    <row r="852" spans="1:5" x14ac:dyDescent="0.25">
      <c r="A852" s="113"/>
      <c r="B852" s="114"/>
      <c r="C852" s="114"/>
      <c r="D852" s="114"/>
      <c r="E852" s="114"/>
    </row>
    <row r="853" spans="1:5" x14ac:dyDescent="0.25">
      <c r="A853" s="113"/>
      <c r="B853" s="114"/>
      <c r="C853" s="114"/>
      <c r="D853" s="114"/>
      <c r="E853" s="114"/>
    </row>
    <row r="854" spans="1:5" x14ac:dyDescent="0.25">
      <c r="A854" s="113"/>
      <c r="B854" s="114"/>
      <c r="C854" s="114"/>
      <c r="D854" s="114"/>
      <c r="E854" s="114"/>
    </row>
    <row r="855" spans="1:5" x14ac:dyDescent="0.25">
      <c r="A855" s="113"/>
      <c r="B855" s="114"/>
      <c r="C855" s="114"/>
      <c r="D855" s="114"/>
      <c r="E855" s="114"/>
    </row>
    <row r="856" spans="1:5" x14ac:dyDescent="0.25">
      <c r="A856" s="113"/>
      <c r="B856" s="114"/>
      <c r="C856" s="114"/>
      <c r="D856" s="114"/>
      <c r="E856" s="114"/>
    </row>
    <row r="857" spans="1:5" x14ac:dyDescent="0.25">
      <c r="A857" s="113"/>
      <c r="B857" s="114"/>
      <c r="C857" s="114"/>
      <c r="D857" s="114"/>
      <c r="E857" s="114"/>
    </row>
    <row r="858" spans="1:5" x14ac:dyDescent="0.25">
      <c r="A858" s="113"/>
      <c r="B858" s="114"/>
      <c r="C858" s="114"/>
      <c r="D858" s="114"/>
      <c r="E858" s="114"/>
    </row>
    <row r="859" spans="1:5" x14ac:dyDescent="0.25">
      <c r="A859" s="113"/>
      <c r="B859" s="114"/>
      <c r="C859" s="114"/>
      <c r="D859" s="114"/>
      <c r="E859" s="114"/>
    </row>
    <row r="860" spans="1:5" x14ac:dyDescent="0.25">
      <c r="A860" s="113"/>
      <c r="B860" s="114"/>
      <c r="C860" s="114"/>
      <c r="D860" s="114"/>
      <c r="E860" s="114"/>
    </row>
    <row r="861" spans="1:5" x14ac:dyDescent="0.25">
      <c r="A861" s="113"/>
      <c r="B861" s="114"/>
      <c r="C861" s="114"/>
      <c r="D861" s="114"/>
      <c r="E861" s="114"/>
    </row>
    <row r="862" spans="1:5" x14ac:dyDescent="0.25">
      <c r="A862" s="113"/>
      <c r="B862" s="114"/>
      <c r="C862" s="114"/>
      <c r="D862" s="114"/>
      <c r="E862" s="114"/>
    </row>
    <row r="863" spans="1:5" x14ac:dyDescent="0.25">
      <c r="A863" s="113"/>
      <c r="B863" s="114"/>
      <c r="C863" s="114"/>
      <c r="D863" s="114"/>
      <c r="E863" s="114"/>
    </row>
    <row r="864" spans="1:5" x14ac:dyDescent="0.25">
      <c r="A864" s="113"/>
      <c r="B864" s="114"/>
      <c r="C864" s="114"/>
      <c r="D864" s="114"/>
      <c r="E864" s="114"/>
    </row>
    <row r="865" spans="1:5" x14ac:dyDescent="0.25">
      <c r="A865" s="113"/>
      <c r="B865" s="114"/>
      <c r="C865" s="114"/>
      <c r="D865" s="114"/>
      <c r="E865" s="114"/>
    </row>
    <row r="866" spans="1:5" x14ac:dyDescent="0.25">
      <c r="A866" s="113"/>
      <c r="B866" s="114"/>
      <c r="C866" s="114"/>
      <c r="D866" s="114"/>
      <c r="E866" s="114"/>
    </row>
    <row r="867" spans="1:5" x14ac:dyDescent="0.25">
      <c r="A867" s="113"/>
      <c r="B867" s="114"/>
      <c r="C867" s="114"/>
      <c r="D867" s="114"/>
      <c r="E867" s="114"/>
    </row>
    <row r="868" spans="1:5" x14ac:dyDescent="0.25">
      <c r="A868" s="113"/>
      <c r="B868" s="114"/>
      <c r="C868" s="114"/>
      <c r="D868" s="114"/>
      <c r="E868" s="114"/>
    </row>
    <row r="869" spans="1:5" x14ac:dyDescent="0.25">
      <c r="A869" s="113"/>
      <c r="B869" s="114"/>
      <c r="C869" s="114"/>
      <c r="D869" s="114"/>
      <c r="E869" s="114"/>
    </row>
    <row r="870" spans="1:5" x14ac:dyDescent="0.25">
      <c r="A870" s="113"/>
      <c r="B870" s="114"/>
      <c r="C870" s="114"/>
      <c r="D870" s="114"/>
      <c r="E870" s="114"/>
    </row>
    <row r="871" spans="1:5" x14ac:dyDescent="0.25">
      <c r="A871" s="113"/>
      <c r="B871" s="114"/>
      <c r="C871" s="114"/>
      <c r="D871" s="114"/>
      <c r="E871" s="114"/>
    </row>
    <row r="872" spans="1:5" x14ac:dyDescent="0.25">
      <c r="A872" s="113"/>
      <c r="B872" s="114"/>
      <c r="C872" s="114"/>
      <c r="D872" s="114"/>
      <c r="E872" s="114"/>
    </row>
    <row r="873" spans="1:5" x14ac:dyDescent="0.25">
      <c r="A873" s="113"/>
      <c r="B873" s="114"/>
      <c r="C873" s="114"/>
      <c r="D873" s="114"/>
      <c r="E873" s="114"/>
    </row>
    <row r="874" spans="1:5" x14ac:dyDescent="0.25">
      <c r="A874" s="113"/>
      <c r="B874" s="114"/>
      <c r="C874" s="114"/>
      <c r="D874" s="114"/>
      <c r="E874" s="114"/>
    </row>
    <row r="875" spans="1:5" x14ac:dyDescent="0.25">
      <c r="A875" s="113"/>
      <c r="B875" s="114"/>
      <c r="C875" s="114"/>
      <c r="D875" s="114"/>
      <c r="E875" s="114"/>
    </row>
    <row r="876" spans="1:5" x14ac:dyDescent="0.25">
      <c r="A876" s="113"/>
      <c r="B876" s="114"/>
      <c r="C876" s="114"/>
      <c r="D876" s="114"/>
      <c r="E876" s="114"/>
    </row>
    <row r="877" spans="1:5" x14ac:dyDescent="0.25">
      <c r="A877" s="113"/>
      <c r="B877" s="114"/>
      <c r="C877" s="114"/>
      <c r="D877" s="114"/>
      <c r="E877" s="114"/>
    </row>
    <row r="878" spans="1:5" x14ac:dyDescent="0.25">
      <c r="A878" s="113"/>
      <c r="B878" s="114"/>
      <c r="C878" s="114"/>
      <c r="D878" s="114"/>
      <c r="E878" s="114"/>
    </row>
    <row r="879" spans="1:5" x14ac:dyDescent="0.25">
      <c r="A879" s="113"/>
      <c r="B879" s="114"/>
      <c r="C879" s="114"/>
      <c r="D879" s="114"/>
      <c r="E879" s="114"/>
    </row>
    <row r="880" spans="1:5" x14ac:dyDescent="0.25">
      <c r="A880" s="113"/>
      <c r="B880" s="114"/>
      <c r="C880" s="114"/>
      <c r="D880" s="114"/>
      <c r="E880" s="114"/>
    </row>
    <row r="881" spans="1:5" x14ac:dyDescent="0.25">
      <c r="A881" s="113"/>
      <c r="B881" s="114"/>
      <c r="C881" s="114"/>
      <c r="D881" s="114"/>
      <c r="E881" s="114"/>
    </row>
    <row r="882" spans="1:5" x14ac:dyDescent="0.25">
      <c r="A882" s="113"/>
      <c r="B882" s="114"/>
      <c r="C882" s="114"/>
      <c r="D882" s="114"/>
      <c r="E882" s="114"/>
    </row>
    <row r="883" spans="1:5" x14ac:dyDescent="0.25">
      <c r="A883" s="113"/>
      <c r="B883" s="114"/>
      <c r="C883" s="114"/>
      <c r="D883" s="114"/>
      <c r="E883" s="114"/>
    </row>
    <row r="884" spans="1:5" x14ac:dyDescent="0.25">
      <c r="A884" s="113"/>
      <c r="B884" s="114"/>
      <c r="C884" s="114"/>
      <c r="D884" s="114"/>
      <c r="E884" s="114"/>
    </row>
    <row r="885" spans="1:5" x14ac:dyDescent="0.25">
      <c r="A885" s="113"/>
      <c r="B885" s="114"/>
      <c r="C885" s="114"/>
      <c r="D885" s="114"/>
      <c r="E885" s="114"/>
    </row>
    <row r="886" spans="1:5" x14ac:dyDescent="0.25">
      <c r="A886" s="113"/>
      <c r="B886" s="114"/>
      <c r="C886" s="114"/>
      <c r="D886" s="114"/>
      <c r="E886" s="114"/>
    </row>
    <row r="887" spans="1:5" x14ac:dyDescent="0.25">
      <c r="A887" s="113"/>
      <c r="B887" s="114"/>
      <c r="C887" s="114"/>
      <c r="D887" s="114"/>
      <c r="E887" s="114"/>
    </row>
    <row r="888" spans="1:5" x14ac:dyDescent="0.25">
      <c r="A888" s="113"/>
      <c r="B888" s="114"/>
      <c r="C888" s="114"/>
      <c r="D888" s="114"/>
      <c r="E888" s="114"/>
    </row>
    <row r="889" spans="1:5" x14ac:dyDescent="0.25">
      <c r="A889" s="113"/>
      <c r="B889" s="114"/>
      <c r="C889" s="114"/>
      <c r="D889" s="114"/>
      <c r="E889" s="114"/>
    </row>
    <row r="890" spans="1:5" x14ac:dyDescent="0.25">
      <c r="A890" s="113"/>
      <c r="B890" s="114"/>
      <c r="C890" s="114"/>
      <c r="D890" s="114"/>
      <c r="E890" s="114"/>
    </row>
    <row r="891" spans="1:5" x14ac:dyDescent="0.25">
      <c r="A891" s="113"/>
      <c r="B891" s="114"/>
      <c r="C891" s="114"/>
      <c r="D891" s="114"/>
      <c r="E891" s="114"/>
    </row>
    <row r="892" spans="1:5" x14ac:dyDescent="0.25">
      <c r="A892" s="113"/>
      <c r="B892" s="114"/>
      <c r="C892" s="114"/>
      <c r="D892" s="114"/>
      <c r="E892" s="114"/>
    </row>
    <row r="893" spans="1:5" x14ac:dyDescent="0.25">
      <c r="A893" s="113"/>
      <c r="B893" s="114"/>
      <c r="C893" s="114"/>
      <c r="D893" s="114"/>
      <c r="E893" s="114"/>
    </row>
    <row r="894" spans="1:5" x14ac:dyDescent="0.25">
      <c r="A894" s="113"/>
      <c r="B894" s="114"/>
      <c r="C894" s="114"/>
      <c r="D894" s="114"/>
      <c r="E894" s="114"/>
    </row>
    <row r="895" spans="1:5" x14ac:dyDescent="0.25">
      <c r="A895" s="113"/>
      <c r="B895" s="114"/>
      <c r="C895" s="114"/>
      <c r="D895" s="114"/>
      <c r="E895" s="114"/>
    </row>
    <row r="896" spans="1:5" x14ac:dyDescent="0.25">
      <c r="A896" s="113"/>
      <c r="B896" s="114"/>
      <c r="C896" s="114"/>
      <c r="D896" s="114"/>
      <c r="E896" s="114"/>
    </row>
    <row r="897" spans="1:5" x14ac:dyDescent="0.25">
      <c r="A897" s="113"/>
      <c r="B897" s="114"/>
      <c r="C897" s="114"/>
      <c r="D897" s="114"/>
      <c r="E897" s="114"/>
    </row>
    <row r="898" spans="1:5" x14ac:dyDescent="0.25">
      <c r="A898" s="113"/>
      <c r="B898" s="114"/>
      <c r="C898" s="114"/>
      <c r="D898" s="114"/>
      <c r="E898" s="114"/>
    </row>
    <row r="899" spans="1:5" x14ac:dyDescent="0.25">
      <c r="A899" s="113"/>
      <c r="B899" s="114"/>
      <c r="C899" s="114"/>
      <c r="D899" s="114"/>
      <c r="E899" s="114"/>
    </row>
    <row r="900" spans="1:5" x14ac:dyDescent="0.25">
      <c r="A900" s="113"/>
      <c r="B900" s="114"/>
      <c r="C900" s="114"/>
      <c r="D900" s="114"/>
      <c r="E900" s="114"/>
    </row>
    <row r="901" spans="1:5" x14ac:dyDescent="0.25">
      <c r="A901" s="113"/>
      <c r="B901" s="114"/>
      <c r="C901" s="114"/>
      <c r="D901" s="114"/>
      <c r="E901" s="114"/>
    </row>
    <row r="902" spans="1:5" x14ac:dyDescent="0.25">
      <c r="A902" s="113"/>
      <c r="B902" s="114"/>
      <c r="C902" s="114"/>
      <c r="D902" s="114"/>
      <c r="E902" s="114"/>
    </row>
    <row r="903" spans="1:5" x14ac:dyDescent="0.25">
      <c r="A903" s="113"/>
      <c r="B903" s="114"/>
      <c r="C903" s="114"/>
      <c r="D903" s="114"/>
      <c r="E903" s="114"/>
    </row>
    <row r="904" spans="1:5" x14ac:dyDescent="0.25">
      <c r="A904" s="113"/>
      <c r="B904" s="114"/>
      <c r="C904" s="114"/>
      <c r="D904" s="114"/>
      <c r="E904" s="114"/>
    </row>
    <row r="905" spans="1:5" x14ac:dyDescent="0.25">
      <c r="A905" s="113"/>
      <c r="B905" s="114"/>
      <c r="C905" s="114"/>
      <c r="D905" s="114"/>
      <c r="E905" s="114"/>
    </row>
    <row r="906" spans="1:5" x14ac:dyDescent="0.25">
      <c r="A906" s="113"/>
      <c r="B906" s="114"/>
      <c r="C906" s="114"/>
      <c r="D906" s="114"/>
      <c r="E906" s="114"/>
    </row>
    <row r="907" spans="1:5" x14ac:dyDescent="0.25">
      <c r="A907" s="113"/>
      <c r="B907" s="114"/>
      <c r="C907" s="114"/>
      <c r="D907" s="114"/>
      <c r="E907" s="114"/>
    </row>
    <row r="908" spans="1:5" x14ac:dyDescent="0.25">
      <c r="A908" s="113"/>
      <c r="B908" s="114"/>
      <c r="C908" s="114"/>
      <c r="D908" s="114"/>
      <c r="E908" s="114"/>
    </row>
    <row r="909" spans="1:5" x14ac:dyDescent="0.25">
      <c r="A909" s="113"/>
      <c r="B909" s="114"/>
      <c r="C909" s="114"/>
      <c r="D909" s="114"/>
      <c r="E909" s="114"/>
    </row>
    <row r="910" spans="1:5" x14ac:dyDescent="0.25">
      <c r="A910" s="113"/>
      <c r="B910" s="114"/>
      <c r="C910" s="114"/>
      <c r="D910" s="114"/>
      <c r="E910" s="114"/>
    </row>
    <row r="911" spans="1:5" x14ac:dyDescent="0.25">
      <c r="A911" s="113"/>
      <c r="B911" s="114"/>
      <c r="C911" s="114"/>
      <c r="D911" s="114"/>
      <c r="E911" s="114"/>
    </row>
    <row r="912" spans="1:5" x14ac:dyDescent="0.25">
      <c r="A912" s="113"/>
      <c r="B912" s="114"/>
      <c r="C912" s="114"/>
      <c r="D912" s="114"/>
      <c r="E912" s="114"/>
    </row>
    <row r="913" spans="1:5" x14ac:dyDescent="0.25">
      <c r="A913" s="113"/>
      <c r="B913" s="114"/>
      <c r="C913" s="114"/>
      <c r="D913" s="114"/>
      <c r="E913" s="114"/>
    </row>
    <row r="914" spans="1:5" x14ac:dyDescent="0.25">
      <c r="A914" s="113"/>
      <c r="B914" s="114"/>
      <c r="C914" s="114"/>
      <c r="D914" s="114"/>
      <c r="E914" s="114"/>
    </row>
    <row r="915" spans="1:5" x14ac:dyDescent="0.25">
      <c r="A915" s="113"/>
      <c r="B915" s="114"/>
      <c r="C915" s="114"/>
      <c r="D915" s="114"/>
      <c r="E915" s="114"/>
    </row>
    <row r="916" spans="1:5" x14ac:dyDescent="0.25">
      <c r="A916" s="113"/>
      <c r="B916" s="114"/>
      <c r="C916" s="114"/>
      <c r="D916" s="114"/>
      <c r="E916" s="114"/>
    </row>
    <row r="917" spans="1:5" x14ac:dyDescent="0.25">
      <c r="A917" s="113"/>
      <c r="B917" s="114"/>
      <c r="C917" s="114"/>
      <c r="D917" s="114"/>
      <c r="E917" s="114"/>
    </row>
    <row r="918" spans="1:5" x14ac:dyDescent="0.25">
      <c r="A918" s="113"/>
      <c r="B918" s="114"/>
      <c r="C918" s="114"/>
      <c r="D918" s="114"/>
      <c r="E918" s="114"/>
    </row>
    <row r="919" spans="1:5" x14ac:dyDescent="0.25">
      <c r="A919" s="113"/>
      <c r="B919" s="114"/>
      <c r="C919" s="114"/>
      <c r="D919" s="114"/>
      <c r="E919" s="114"/>
    </row>
    <row r="920" spans="1:5" x14ac:dyDescent="0.25">
      <c r="A920" s="113"/>
      <c r="B920" s="114"/>
      <c r="C920" s="114"/>
      <c r="D920" s="114"/>
      <c r="E920" s="114"/>
    </row>
    <row r="921" spans="1:5" x14ac:dyDescent="0.25">
      <c r="A921" s="113"/>
      <c r="B921" s="114"/>
      <c r="C921" s="114"/>
      <c r="D921" s="114"/>
      <c r="E921" s="114"/>
    </row>
    <row r="922" spans="1:5" x14ac:dyDescent="0.25">
      <c r="A922" s="113"/>
      <c r="B922" s="114"/>
      <c r="C922" s="114"/>
      <c r="D922" s="114"/>
      <c r="E922" s="114"/>
    </row>
    <row r="923" spans="1:5" x14ac:dyDescent="0.25">
      <c r="A923" s="113"/>
      <c r="B923" s="114"/>
      <c r="C923" s="114"/>
      <c r="D923" s="114"/>
      <c r="E923" s="114"/>
    </row>
    <row r="924" spans="1:5" x14ac:dyDescent="0.25">
      <c r="A924" s="113"/>
      <c r="B924" s="114"/>
      <c r="C924" s="114"/>
      <c r="D924" s="114"/>
      <c r="E924" s="114"/>
    </row>
    <row r="925" spans="1:5" x14ac:dyDescent="0.25">
      <c r="A925" s="113"/>
      <c r="B925" s="114"/>
      <c r="C925" s="114"/>
      <c r="D925" s="114"/>
      <c r="E925" s="114"/>
    </row>
    <row r="926" spans="1:5" x14ac:dyDescent="0.25">
      <c r="A926" s="113"/>
      <c r="B926" s="114"/>
      <c r="C926" s="114"/>
      <c r="D926" s="114"/>
      <c r="E926" s="114"/>
    </row>
    <row r="927" spans="1:5" x14ac:dyDescent="0.25">
      <c r="A927" s="113"/>
      <c r="B927" s="114"/>
      <c r="C927" s="114"/>
      <c r="D927" s="114"/>
      <c r="E927" s="114"/>
    </row>
    <row r="928" spans="1:5" x14ac:dyDescent="0.25">
      <c r="A928" s="113"/>
      <c r="B928" s="114"/>
      <c r="C928" s="114"/>
      <c r="D928" s="114"/>
      <c r="E928" s="114"/>
    </row>
    <row r="929" spans="1:5" x14ac:dyDescent="0.25">
      <c r="A929" s="113"/>
      <c r="B929" s="114"/>
      <c r="C929" s="114"/>
      <c r="D929" s="114"/>
      <c r="E929" s="114"/>
    </row>
    <row r="930" spans="1:5" x14ac:dyDescent="0.25">
      <c r="A930" s="113"/>
      <c r="B930" s="114"/>
      <c r="C930" s="114"/>
      <c r="D930" s="114"/>
      <c r="E930" s="114"/>
    </row>
    <row r="931" spans="1:5" x14ac:dyDescent="0.25">
      <c r="A931" s="113"/>
      <c r="B931" s="114"/>
      <c r="C931" s="114"/>
      <c r="D931" s="114"/>
      <c r="E931" s="114"/>
    </row>
    <row r="932" spans="1:5" x14ac:dyDescent="0.25">
      <c r="A932" s="113"/>
      <c r="B932" s="114"/>
      <c r="C932" s="114"/>
      <c r="D932" s="114"/>
      <c r="E932" s="114"/>
    </row>
    <row r="933" spans="1:5" x14ac:dyDescent="0.25">
      <c r="A933" s="113"/>
      <c r="B933" s="114"/>
      <c r="C933" s="114"/>
      <c r="D933" s="114"/>
      <c r="E933" s="114"/>
    </row>
    <row r="934" spans="1:5" x14ac:dyDescent="0.25">
      <c r="A934" s="113"/>
      <c r="B934" s="114"/>
      <c r="C934" s="114"/>
      <c r="D934" s="114"/>
      <c r="E934" s="114"/>
    </row>
    <row r="935" spans="1:5" x14ac:dyDescent="0.25">
      <c r="A935" s="113"/>
      <c r="B935" s="114"/>
      <c r="C935" s="114"/>
      <c r="D935" s="114"/>
      <c r="E935" s="114"/>
    </row>
    <row r="936" spans="1:5" x14ac:dyDescent="0.25">
      <c r="A936" s="113"/>
      <c r="B936" s="114"/>
      <c r="C936" s="114"/>
      <c r="D936" s="114"/>
      <c r="E936" s="114"/>
    </row>
    <row r="937" spans="1:5" x14ac:dyDescent="0.25">
      <c r="A937" s="113"/>
      <c r="B937" s="114"/>
      <c r="C937" s="114"/>
      <c r="D937" s="114"/>
      <c r="E937" s="114"/>
    </row>
    <row r="938" spans="1:5" x14ac:dyDescent="0.25">
      <c r="A938" s="113"/>
      <c r="B938" s="114"/>
      <c r="C938" s="114"/>
      <c r="D938" s="114"/>
      <c r="E938" s="114"/>
    </row>
    <row r="939" spans="1:5" x14ac:dyDescent="0.25">
      <c r="A939" s="113"/>
      <c r="B939" s="114"/>
      <c r="C939" s="114"/>
      <c r="D939" s="114"/>
      <c r="E939" s="114"/>
    </row>
    <row r="940" spans="1:5" x14ac:dyDescent="0.25">
      <c r="A940" s="113"/>
      <c r="B940" s="114"/>
      <c r="C940" s="114"/>
      <c r="D940" s="114"/>
      <c r="E940" s="114"/>
    </row>
    <row r="941" spans="1:5" x14ac:dyDescent="0.25">
      <c r="A941" s="113"/>
      <c r="B941" s="114"/>
      <c r="C941" s="114"/>
      <c r="D941" s="114"/>
      <c r="E941" s="114"/>
    </row>
    <row r="942" spans="1:5" x14ac:dyDescent="0.25">
      <c r="A942" s="113"/>
      <c r="B942" s="114"/>
      <c r="C942" s="114"/>
      <c r="D942" s="114"/>
      <c r="E942" s="114"/>
    </row>
    <row r="943" spans="1:5" x14ac:dyDescent="0.25">
      <c r="A943" s="113"/>
      <c r="B943" s="114"/>
      <c r="C943" s="114"/>
      <c r="D943" s="114"/>
      <c r="E943" s="114"/>
    </row>
    <row r="944" spans="1:5" x14ac:dyDescent="0.25">
      <c r="A944" s="113"/>
      <c r="B944" s="114"/>
      <c r="C944" s="114"/>
      <c r="D944" s="114"/>
      <c r="E944" s="114"/>
    </row>
    <row r="945" spans="1:5" x14ac:dyDescent="0.25">
      <c r="A945" s="113"/>
      <c r="B945" s="114"/>
      <c r="C945" s="114"/>
      <c r="D945" s="114"/>
      <c r="E945" s="114"/>
    </row>
    <row r="946" spans="1:5" x14ac:dyDescent="0.25">
      <c r="A946" s="113"/>
      <c r="B946" s="114"/>
      <c r="C946" s="114"/>
      <c r="D946" s="114"/>
      <c r="E946" s="114"/>
    </row>
    <row r="947" spans="1:5" x14ac:dyDescent="0.25">
      <c r="A947" s="113"/>
      <c r="B947" s="114"/>
      <c r="C947" s="114"/>
      <c r="D947" s="114"/>
      <c r="E947" s="114"/>
    </row>
    <row r="948" spans="1:5" x14ac:dyDescent="0.25">
      <c r="A948" s="113"/>
      <c r="B948" s="114"/>
      <c r="C948" s="114"/>
      <c r="D948" s="114"/>
      <c r="E948" s="114"/>
    </row>
    <row r="949" spans="1:5" x14ac:dyDescent="0.25">
      <c r="A949" s="113"/>
      <c r="B949" s="114"/>
      <c r="C949" s="114"/>
      <c r="D949" s="114"/>
      <c r="E949" s="114"/>
    </row>
    <row r="950" spans="1:5" x14ac:dyDescent="0.25">
      <c r="A950" s="113"/>
      <c r="B950" s="114"/>
      <c r="C950" s="114"/>
      <c r="D950" s="114"/>
      <c r="E950" s="114"/>
    </row>
    <row r="951" spans="1:5" x14ac:dyDescent="0.25">
      <c r="A951" s="113"/>
      <c r="B951" s="114"/>
      <c r="C951" s="114"/>
      <c r="D951" s="114"/>
      <c r="E951" s="114"/>
    </row>
    <row r="952" spans="1:5" x14ac:dyDescent="0.25">
      <c r="A952" s="113"/>
      <c r="B952" s="114"/>
      <c r="C952" s="114"/>
      <c r="D952" s="114"/>
      <c r="E952" s="114"/>
    </row>
    <row r="953" spans="1:5" x14ac:dyDescent="0.25">
      <c r="A953" s="113"/>
      <c r="B953" s="114"/>
      <c r="C953" s="114"/>
      <c r="D953" s="114"/>
      <c r="E953" s="114"/>
    </row>
    <row r="954" spans="1:5" x14ac:dyDescent="0.25">
      <c r="A954" s="113"/>
      <c r="B954" s="114"/>
      <c r="C954" s="114"/>
      <c r="D954" s="114"/>
      <c r="E954" s="114"/>
    </row>
    <row r="955" spans="1:5" x14ac:dyDescent="0.25">
      <c r="A955" s="113"/>
      <c r="B955" s="114"/>
      <c r="C955" s="114"/>
      <c r="D955" s="114"/>
      <c r="E955" s="114"/>
    </row>
    <row r="956" spans="1:5" x14ac:dyDescent="0.25">
      <c r="A956" s="113"/>
      <c r="B956" s="114"/>
      <c r="C956" s="114"/>
      <c r="D956" s="114"/>
      <c r="E956" s="114"/>
    </row>
    <row r="957" spans="1:5" x14ac:dyDescent="0.25">
      <c r="A957" s="113"/>
      <c r="B957" s="114"/>
      <c r="C957" s="114"/>
      <c r="D957" s="114"/>
      <c r="E957" s="114"/>
    </row>
    <row r="958" spans="1:5" x14ac:dyDescent="0.25">
      <c r="A958" s="113"/>
      <c r="B958" s="114"/>
      <c r="C958" s="114"/>
      <c r="D958" s="114"/>
      <c r="E958" s="114"/>
    </row>
    <row r="959" spans="1:5" x14ac:dyDescent="0.25">
      <c r="A959" s="113"/>
      <c r="B959" s="114"/>
      <c r="C959" s="114"/>
      <c r="D959" s="114"/>
      <c r="E959" s="114"/>
    </row>
    <row r="960" spans="1:5" x14ac:dyDescent="0.25">
      <c r="A960" s="113"/>
      <c r="B960" s="114"/>
      <c r="C960" s="114"/>
      <c r="D960" s="114"/>
      <c r="E960" s="114"/>
    </row>
    <row r="961" spans="1:5" x14ac:dyDescent="0.25">
      <c r="A961" s="113"/>
      <c r="B961" s="114"/>
      <c r="C961" s="114"/>
      <c r="D961" s="114"/>
      <c r="E961" s="114"/>
    </row>
    <row r="962" spans="1:5" x14ac:dyDescent="0.25">
      <c r="A962" s="113"/>
      <c r="B962" s="114"/>
      <c r="C962" s="114"/>
      <c r="D962" s="114"/>
      <c r="E962" s="114"/>
    </row>
    <row r="963" spans="1:5" x14ac:dyDescent="0.25">
      <c r="A963" s="113"/>
      <c r="B963" s="114"/>
      <c r="C963" s="114"/>
      <c r="D963" s="114"/>
      <c r="E963" s="114"/>
    </row>
    <row r="964" spans="1:5" x14ac:dyDescent="0.25">
      <c r="A964" s="113"/>
      <c r="B964" s="114"/>
      <c r="C964" s="114"/>
      <c r="D964" s="114"/>
      <c r="E964" s="114"/>
    </row>
    <row r="965" spans="1:5" x14ac:dyDescent="0.25">
      <c r="A965" s="113"/>
      <c r="B965" s="114"/>
      <c r="C965" s="114"/>
      <c r="D965" s="114"/>
      <c r="E965" s="114"/>
    </row>
    <row r="966" spans="1:5" x14ac:dyDescent="0.25">
      <c r="A966" s="113"/>
      <c r="B966" s="114"/>
      <c r="C966" s="114"/>
      <c r="D966" s="114"/>
      <c r="E966" s="114"/>
    </row>
    <row r="967" spans="1:5" x14ac:dyDescent="0.25">
      <c r="A967" s="113"/>
      <c r="B967" s="114"/>
      <c r="C967" s="114"/>
      <c r="D967" s="114"/>
      <c r="E967" s="114"/>
    </row>
    <row r="968" spans="1:5" x14ac:dyDescent="0.25">
      <c r="A968" s="113"/>
      <c r="B968" s="114"/>
      <c r="C968" s="114"/>
      <c r="D968" s="114"/>
      <c r="E968" s="114"/>
    </row>
    <row r="969" spans="1:5" x14ac:dyDescent="0.25">
      <c r="A969" s="113"/>
      <c r="B969" s="114"/>
      <c r="C969" s="114"/>
      <c r="D969" s="114"/>
      <c r="E969" s="114"/>
    </row>
    <row r="970" spans="1:5" x14ac:dyDescent="0.25">
      <c r="A970" s="113"/>
      <c r="B970" s="114"/>
      <c r="C970" s="114"/>
      <c r="D970" s="114"/>
      <c r="E970" s="114"/>
    </row>
    <row r="971" spans="1:5" x14ac:dyDescent="0.25">
      <c r="A971" s="113"/>
      <c r="B971" s="114"/>
      <c r="C971" s="114"/>
      <c r="D971" s="114"/>
      <c r="E971" s="114"/>
    </row>
    <row r="972" spans="1:5" x14ac:dyDescent="0.25">
      <c r="A972" s="113"/>
      <c r="B972" s="114"/>
      <c r="C972" s="114"/>
      <c r="D972" s="114"/>
      <c r="E972" s="114"/>
    </row>
    <row r="973" spans="1:5" x14ac:dyDescent="0.25">
      <c r="A973" s="113"/>
      <c r="B973" s="114"/>
      <c r="C973" s="114"/>
      <c r="D973" s="114"/>
      <c r="E973" s="114"/>
    </row>
    <row r="974" spans="1:5" x14ac:dyDescent="0.25">
      <c r="A974" s="113"/>
      <c r="B974" s="114"/>
      <c r="C974" s="114"/>
      <c r="D974" s="114"/>
      <c r="E974" s="114"/>
    </row>
    <row r="975" spans="1:5" x14ac:dyDescent="0.25">
      <c r="A975" s="113"/>
      <c r="B975" s="114"/>
      <c r="C975" s="114"/>
      <c r="D975" s="114"/>
      <c r="E975" s="114"/>
    </row>
    <row r="976" spans="1:5" x14ac:dyDescent="0.25">
      <c r="A976" s="113"/>
      <c r="B976" s="114"/>
      <c r="C976" s="114"/>
      <c r="D976" s="114"/>
      <c r="E976" s="114"/>
    </row>
    <row r="977" spans="1:5" x14ac:dyDescent="0.25">
      <c r="A977" s="113"/>
      <c r="B977" s="114"/>
      <c r="C977" s="114"/>
      <c r="D977" s="114"/>
      <c r="E977" s="114"/>
    </row>
    <row r="978" spans="1:5" x14ac:dyDescent="0.25">
      <c r="A978" s="113"/>
      <c r="B978" s="114"/>
      <c r="C978" s="114"/>
      <c r="D978" s="114"/>
      <c r="E978" s="114"/>
    </row>
    <row r="979" spans="1:5" x14ac:dyDescent="0.25">
      <c r="A979" s="113"/>
      <c r="B979" s="114"/>
      <c r="C979" s="114"/>
      <c r="D979" s="114"/>
      <c r="E979" s="114"/>
    </row>
    <row r="980" spans="1:5" x14ac:dyDescent="0.25">
      <c r="A980" s="113"/>
      <c r="B980" s="114"/>
      <c r="C980" s="114"/>
      <c r="D980" s="114"/>
      <c r="E980" s="114"/>
    </row>
    <row r="981" spans="1:5" x14ac:dyDescent="0.25">
      <c r="A981" s="113"/>
      <c r="B981" s="114"/>
      <c r="C981" s="114"/>
      <c r="D981" s="114"/>
      <c r="E981" s="114"/>
    </row>
    <row r="982" spans="1:5" x14ac:dyDescent="0.25">
      <c r="A982" s="113"/>
      <c r="B982" s="114"/>
      <c r="C982" s="114"/>
      <c r="D982" s="114"/>
      <c r="E982" s="114"/>
    </row>
    <row r="983" spans="1:5" x14ac:dyDescent="0.25">
      <c r="A983" s="113"/>
      <c r="B983" s="114"/>
      <c r="C983" s="114"/>
      <c r="D983" s="114"/>
      <c r="E983" s="114"/>
    </row>
    <row r="984" spans="1:5" x14ac:dyDescent="0.25">
      <c r="A984" s="113"/>
      <c r="B984" s="114"/>
      <c r="C984" s="114"/>
      <c r="D984" s="114"/>
      <c r="E984" s="114"/>
    </row>
    <row r="985" spans="1:5" x14ac:dyDescent="0.25">
      <c r="A985" s="113"/>
      <c r="B985" s="114"/>
      <c r="C985" s="114"/>
      <c r="D985" s="114"/>
      <c r="E985" s="114"/>
    </row>
    <row r="986" spans="1:5" x14ac:dyDescent="0.25">
      <c r="A986" s="113"/>
      <c r="B986" s="114"/>
      <c r="C986" s="114"/>
      <c r="D986" s="114"/>
      <c r="E986" s="114"/>
    </row>
    <row r="987" spans="1:5" x14ac:dyDescent="0.25">
      <c r="A987" s="113"/>
      <c r="B987" s="114"/>
      <c r="C987" s="114"/>
      <c r="D987" s="114"/>
      <c r="E987" s="114"/>
    </row>
    <row r="988" spans="1:5" x14ac:dyDescent="0.25">
      <c r="A988" s="113"/>
      <c r="B988" s="114"/>
      <c r="C988" s="114"/>
      <c r="D988" s="114"/>
      <c r="E988" s="114"/>
    </row>
    <row r="989" spans="1:5" x14ac:dyDescent="0.25">
      <c r="A989" s="113"/>
      <c r="B989" s="114"/>
      <c r="C989" s="114"/>
      <c r="D989" s="114"/>
      <c r="E989" s="114"/>
    </row>
    <row r="990" spans="1:5" x14ac:dyDescent="0.25">
      <c r="A990" s="113"/>
      <c r="B990" s="114"/>
      <c r="C990" s="114"/>
      <c r="D990" s="114"/>
      <c r="E990" s="114"/>
    </row>
    <row r="991" spans="1:5" x14ac:dyDescent="0.25">
      <c r="A991" s="113"/>
      <c r="B991" s="114"/>
      <c r="C991" s="114"/>
      <c r="D991" s="114"/>
      <c r="E991" s="114"/>
    </row>
    <row r="992" spans="1:5" x14ac:dyDescent="0.25">
      <c r="A992" s="113"/>
      <c r="B992" s="114"/>
      <c r="C992" s="114"/>
      <c r="D992" s="114"/>
      <c r="E992" s="114"/>
    </row>
    <row r="993" spans="1:5" x14ac:dyDescent="0.25">
      <c r="A993" s="113"/>
      <c r="B993" s="114"/>
      <c r="C993" s="114"/>
      <c r="D993" s="114"/>
      <c r="E993" s="114"/>
    </row>
    <row r="994" spans="1:5" x14ac:dyDescent="0.25">
      <c r="A994" s="113"/>
      <c r="B994" s="114"/>
      <c r="C994" s="114"/>
      <c r="D994" s="114"/>
      <c r="E994" s="114"/>
    </row>
    <row r="995" spans="1:5" x14ac:dyDescent="0.25">
      <c r="A995" s="113"/>
      <c r="B995" s="114"/>
      <c r="C995" s="114"/>
      <c r="D995" s="114"/>
      <c r="E995" s="114"/>
    </row>
    <row r="996" spans="1:5" x14ac:dyDescent="0.25">
      <c r="A996" s="113"/>
      <c r="B996" s="114"/>
      <c r="C996" s="114"/>
      <c r="D996" s="114"/>
      <c r="E996" s="114"/>
    </row>
    <row r="997" spans="1:5" x14ac:dyDescent="0.25">
      <c r="A997" s="113"/>
      <c r="B997" s="114"/>
      <c r="C997" s="114"/>
      <c r="D997" s="114"/>
      <c r="E997" s="114"/>
    </row>
    <row r="998" spans="1:5" x14ac:dyDescent="0.25">
      <c r="A998" s="113"/>
      <c r="B998" s="114"/>
      <c r="C998" s="114"/>
      <c r="D998" s="114"/>
      <c r="E998" s="114"/>
    </row>
    <row r="999" spans="1:5" x14ac:dyDescent="0.25">
      <c r="A999" s="113"/>
      <c r="B999" s="114"/>
      <c r="C999" s="114"/>
      <c r="D999" s="114"/>
      <c r="E999" s="114"/>
    </row>
    <row r="1000" spans="1:5" x14ac:dyDescent="0.25">
      <c r="A1000" s="113"/>
      <c r="B1000" s="114"/>
      <c r="C1000" s="114"/>
      <c r="D1000" s="114"/>
      <c r="E1000" s="114"/>
    </row>
    <row r="1001" spans="1:5" x14ac:dyDescent="0.25">
      <c r="A1001" s="113"/>
      <c r="B1001" s="114"/>
      <c r="C1001" s="114"/>
      <c r="D1001" s="114"/>
      <c r="E1001" s="114"/>
    </row>
    <row r="1002" spans="1:5" x14ac:dyDescent="0.25">
      <c r="A1002" s="113"/>
      <c r="B1002" s="114"/>
      <c r="C1002" s="114"/>
      <c r="D1002" s="114"/>
      <c r="E1002" s="114"/>
    </row>
    <row r="1003" spans="1:5" x14ac:dyDescent="0.25">
      <c r="A1003" s="113"/>
      <c r="B1003" s="114"/>
      <c r="C1003" s="114"/>
      <c r="D1003" s="114"/>
      <c r="E1003" s="114"/>
    </row>
    <row r="1004" spans="1:5" x14ac:dyDescent="0.25">
      <c r="A1004" s="113"/>
      <c r="B1004" s="114"/>
      <c r="C1004" s="114"/>
      <c r="D1004" s="114"/>
      <c r="E1004" s="114"/>
    </row>
    <row r="1005" spans="1:5" x14ac:dyDescent="0.25">
      <c r="A1005" s="113"/>
      <c r="B1005" s="114"/>
      <c r="C1005" s="114"/>
      <c r="D1005" s="114"/>
      <c r="E1005" s="114"/>
    </row>
    <row r="1006" spans="1:5" x14ac:dyDescent="0.25">
      <c r="A1006" s="113"/>
      <c r="B1006" s="114"/>
      <c r="C1006" s="114"/>
      <c r="D1006" s="114"/>
      <c r="E1006" s="114"/>
    </row>
    <row r="1007" spans="1:5" x14ac:dyDescent="0.25">
      <c r="A1007" s="113"/>
      <c r="B1007" s="114"/>
      <c r="C1007" s="114"/>
      <c r="D1007" s="114"/>
      <c r="E1007" s="114"/>
    </row>
    <row r="1008" spans="1:5" x14ac:dyDescent="0.25">
      <c r="A1008" s="113"/>
      <c r="B1008" s="114"/>
      <c r="C1008" s="114"/>
      <c r="D1008" s="114"/>
      <c r="E1008" s="114"/>
    </row>
    <row r="1009" spans="1:5" x14ac:dyDescent="0.25">
      <c r="A1009" s="113"/>
      <c r="B1009" s="114"/>
      <c r="C1009" s="114"/>
      <c r="D1009" s="114"/>
      <c r="E1009" s="114"/>
    </row>
    <row r="1010" spans="1:5" x14ac:dyDescent="0.25">
      <c r="A1010" s="113"/>
      <c r="B1010" s="114"/>
      <c r="C1010" s="114"/>
      <c r="D1010" s="114"/>
      <c r="E1010" s="114"/>
    </row>
    <row r="1011" spans="1:5" x14ac:dyDescent="0.25">
      <c r="A1011" s="113"/>
      <c r="B1011" s="114"/>
      <c r="C1011" s="114"/>
      <c r="D1011" s="114"/>
      <c r="E1011" s="114"/>
    </row>
    <row r="1012" spans="1:5" x14ac:dyDescent="0.25">
      <c r="A1012" s="113"/>
      <c r="B1012" s="114"/>
      <c r="C1012" s="114"/>
      <c r="D1012" s="114"/>
      <c r="E1012" s="114"/>
    </row>
    <row r="1013" spans="1:5" x14ac:dyDescent="0.25">
      <c r="A1013" s="113"/>
      <c r="B1013" s="114"/>
      <c r="C1013" s="114"/>
      <c r="D1013" s="114"/>
      <c r="E1013" s="114"/>
    </row>
    <row r="1014" spans="1:5" x14ac:dyDescent="0.25">
      <c r="A1014" s="113"/>
      <c r="B1014" s="114"/>
      <c r="C1014" s="114"/>
      <c r="D1014" s="114"/>
      <c r="E1014" s="114"/>
    </row>
    <row r="1015" spans="1:5" x14ac:dyDescent="0.25">
      <c r="A1015" s="113"/>
      <c r="B1015" s="114"/>
      <c r="C1015" s="114"/>
      <c r="D1015" s="114"/>
      <c r="E1015" s="114"/>
    </row>
    <row r="1016" spans="1:5" x14ac:dyDescent="0.25">
      <c r="A1016" s="113"/>
      <c r="B1016" s="114"/>
      <c r="C1016" s="114"/>
      <c r="D1016" s="114"/>
      <c r="E1016" s="114"/>
    </row>
    <row r="1017" spans="1:5" x14ac:dyDescent="0.25">
      <c r="A1017" s="113"/>
      <c r="B1017" s="114"/>
      <c r="C1017" s="114"/>
      <c r="D1017" s="114"/>
      <c r="E1017" s="114"/>
    </row>
    <row r="1018" spans="1:5" x14ac:dyDescent="0.25">
      <c r="A1018" s="113"/>
      <c r="B1018" s="114"/>
      <c r="C1018" s="114"/>
      <c r="D1018" s="114"/>
      <c r="E1018" s="114"/>
    </row>
    <row r="1019" spans="1:5" x14ac:dyDescent="0.25">
      <c r="A1019" s="113"/>
      <c r="B1019" s="114"/>
      <c r="C1019" s="114"/>
      <c r="D1019" s="114"/>
      <c r="E1019" s="114"/>
    </row>
    <row r="1020" spans="1:5" x14ac:dyDescent="0.25">
      <c r="A1020" s="113"/>
      <c r="B1020" s="114"/>
      <c r="C1020" s="114"/>
      <c r="D1020" s="114"/>
      <c r="E1020" s="114"/>
    </row>
    <row r="1021" spans="1:5" x14ac:dyDescent="0.25">
      <c r="A1021" s="113"/>
      <c r="B1021" s="114"/>
      <c r="C1021" s="114"/>
      <c r="D1021" s="114"/>
      <c r="E1021" s="114"/>
    </row>
    <row r="1022" spans="1:5" x14ac:dyDescent="0.25">
      <c r="A1022" s="113"/>
      <c r="B1022" s="114"/>
      <c r="C1022" s="114"/>
      <c r="D1022" s="114"/>
      <c r="E1022" s="114"/>
    </row>
    <row r="1023" spans="1:5" x14ac:dyDescent="0.25">
      <c r="A1023" s="113"/>
      <c r="B1023" s="114"/>
      <c r="C1023" s="114"/>
      <c r="D1023" s="114"/>
      <c r="E1023" s="114"/>
    </row>
    <row r="1024" spans="1:5" x14ac:dyDescent="0.25">
      <c r="A1024" s="113"/>
      <c r="B1024" s="114"/>
      <c r="C1024" s="114"/>
      <c r="D1024" s="114"/>
      <c r="E1024" s="114"/>
    </row>
    <row r="1025" spans="1:5" x14ac:dyDescent="0.25">
      <c r="A1025" s="113"/>
      <c r="B1025" s="114"/>
      <c r="C1025" s="114"/>
      <c r="D1025" s="114"/>
      <c r="E1025" s="114"/>
    </row>
    <row r="1026" spans="1:5" x14ac:dyDescent="0.25">
      <c r="A1026" s="113"/>
      <c r="B1026" s="114"/>
      <c r="C1026" s="114"/>
      <c r="D1026" s="114"/>
      <c r="E1026" s="114"/>
    </row>
    <row r="1027" spans="1:5" x14ac:dyDescent="0.25">
      <c r="A1027" s="113"/>
      <c r="B1027" s="114"/>
      <c r="C1027" s="114"/>
      <c r="D1027" s="114"/>
      <c r="E1027" s="114"/>
    </row>
    <row r="1028" spans="1:5" x14ac:dyDescent="0.25">
      <c r="A1028" s="113"/>
      <c r="B1028" s="114"/>
      <c r="C1028" s="114"/>
      <c r="D1028" s="114"/>
      <c r="E1028" s="114"/>
    </row>
    <row r="1029" spans="1:5" x14ac:dyDescent="0.25">
      <c r="A1029" s="113"/>
      <c r="B1029" s="114"/>
      <c r="C1029" s="114"/>
      <c r="D1029" s="114"/>
      <c r="E1029" s="114"/>
    </row>
    <row r="1030" spans="1:5" x14ac:dyDescent="0.25">
      <c r="A1030" s="113"/>
      <c r="B1030" s="114"/>
      <c r="C1030" s="114"/>
      <c r="D1030" s="114"/>
      <c r="E1030" s="114"/>
    </row>
    <row r="1031" spans="1:5" x14ac:dyDescent="0.25">
      <c r="A1031" s="113"/>
      <c r="B1031" s="114"/>
      <c r="C1031" s="114"/>
      <c r="D1031" s="114"/>
      <c r="E1031" s="114"/>
    </row>
    <row r="1032" spans="1:5" x14ac:dyDescent="0.25">
      <c r="A1032" s="113"/>
      <c r="B1032" s="114"/>
      <c r="C1032" s="114"/>
      <c r="D1032" s="114"/>
      <c r="E1032" s="114"/>
    </row>
    <row r="1033" spans="1:5" x14ac:dyDescent="0.25">
      <c r="A1033" s="113"/>
      <c r="B1033" s="114"/>
      <c r="C1033" s="114"/>
      <c r="D1033" s="114"/>
      <c r="E1033" s="114"/>
    </row>
    <row r="1034" spans="1:5" x14ac:dyDescent="0.25">
      <c r="A1034" s="113"/>
      <c r="B1034" s="114"/>
      <c r="C1034" s="114"/>
      <c r="D1034" s="114"/>
      <c r="E1034" s="114"/>
    </row>
    <row r="1035" spans="1:5" x14ac:dyDescent="0.25">
      <c r="A1035" s="113"/>
      <c r="B1035" s="114"/>
      <c r="C1035" s="114"/>
      <c r="D1035" s="114"/>
      <c r="E1035" s="114"/>
    </row>
    <row r="1036" spans="1:5" x14ac:dyDescent="0.25">
      <c r="A1036" s="113"/>
      <c r="B1036" s="114"/>
      <c r="C1036" s="114"/>
      <c r="D1036" s="114"/>
      <c r="E1036" s="114"/>
    </row>
    <row r="1037" spans="1:5" x14ac:dyDescent="0.25">
      <c r="A1037" s="113"/>
      <c r="B1037" s="114"/>
      <c r="C1037" s="114"/>
      <c r="D1037" s="114"/>
      <c r="E1037" s="114"/>
    </row>
    <row r="1038" spans="1:5" x14ac:dyDescent="0.25">
      <c r="A1038" s="113"/>
      <c r="B1038" s="114"/>
      <c r="C1038" s="114"/>
      <c r="D1038" s="114"/>
      <c r="E1038" s="114"/>
    </row>
    <row r="1039" spans="1:5" x14ac:dyDescent="0.25">
      <c r="A1039" s="113"/>
      <c r="B1039" s="114"/>
      <c r="C1039" s="114"/>
      <c r="D1039" s="114"/>
      <c r="E1039" s="114"/>
    </row>
    <row r="1040" spans="1:5" x14ac:dyDescent="0.25">
      <c r="A1040" s="113"/>
      <c r="B1040" s="114"/>
      <c r="C1040" s="114"/>
      <c r="D1040" s="114"/>
      <c r="E1040" s="114"/>
    </row>
    <row r="1041" spans="1:5" x14ac:dyDescent="0.25">
      <c r="A1041" s="113"/>
      <c r="B1041" s="114"/>
      <c r="C1041" s="114"/>
      <c r="D1041" s="114"/>
      <c r="E1041" s="114"/>
    </row>
    <row r="1042" spans="1:5" x14ac:dyDescent="0.25">
      <c r="A1042" s="113"/>
      <c r="B1042" s="114"/>
      <c r="C1042" s="114"/>
      <c r="D1042" s="114"/>
      <c r="E1042" s="114"/>
    </row>
    <row r="1043" spans="1:5" x14ac:dyDescent="0.25">
      <c r="A1043" s="113"/>
      <c r="B1043" s="114"/>
      <c r="C1043" s="114"/>
      <c r="D1043" s="114"/>
      <c r="E1043" s="114"/>
    </row>
    <row r="1044" spans="1:5" x14ac:dyDescent="0.25">
      <c r="A1044" s="113"/>
      <c r="B1044" s="114"/>
      <c r="C1044" s="114"/>
      <c r="D1044" s="114"/>
      <c r="E1044" s="114"/>
    </row>
    <row r="1045" spans="1:5" x14ac:dyDescent="0.25">
      <c r="A1045" s="113"/>
      <c r="B1045" s="114"/>
      <c r="C1045" s="114"/>
      <c r="D1045" s="114"/>
      <c r="E1045" s="114"/>
    </row>
    <row r="1046" spans="1:5" x14ac:dyDescent="0.25">
      <c r="A1046" s="113"/>
      <c r="B1046" s="114"/>
      <c r="C1046" s="114"/>
      <c r="D1046" s="114"/>
      <c r="E1046" s="114"/>
    </row>
    <row r="1047" spans="1:5" x14ac:dyDescent="0.25">
      <c r="A1047" s="113"/>
      <c r="B1047" s="114"/>
      <c r="C1047" s="114"/>
      <c r="D1047" s="114"/>
      <c r="E1047" s="114"/>
    </row>
    <row r="1048" spans="1:5" x14ac:dyDescent="0.25">
      <c r="A1048" s="113"/>
      <c r="B1048" s="114"/>
      <c r="C1048" s="114"/>
      <c r="D1048" s="114"/>
      <c r="E1048" s="114"/>
    </row>
    <row r="1049" spans="1:5" x14ac:dyDescent="0.25">
      <c r="A1049" s="113"/>
      <c r="B1049" s="114"/>
      <c r="C1049" s="114"/>
      <c r="D1049" s="114"/>
      <c r="E1049" s="114"/>
    </row>
    <row r="1050" spans="1:5" x14ac:dyDescent="0.25">
      <c r="A1050" s="113"/>
      <c r="B1050" s="114"/>
      <c r="C1050" s="114"/>
      <c r="D1050" s="114"/>
      <c r="E1050" s="114"/>
    </row>
    <row r="1051" spans="1:5" x14ac:dyDescent="0.25">
      <c r="A1051" s="113"/>
      <c r="B1051" s="114"/>
      <c r="C1051" s="114"/>
      <c r="D1051" s="114"/>
      <c r="E1051" s="114"/>
    </row>
    <row r="1052" spans="1:5" x14ac:dyDescent="0.25">
      <c r="A1052" s="113"/>
      <c r="B1052" s="114"/>
      <c r="C1052" s="114"/>
      <c r="D1052" s="114"/>
      <c r="E1052" s="114"/>
    </row>
    <row r="1053" spans="1:5" x14ac:dyDescent="0.25">
      <c r="A1053" s="113"/>
      <c r="B1053" s="114"/>
      <c r="C1053" s="114"/>
      <c r="D1053" s="114"/>
      <c r="E1053" s="114"/>
    </row>
    <row r="1054" spans="1:5" x14ac:dyDescent="0.25">
      <c r="A1054" s="113"/>
      <c r="B1054" s="114"/>
      <c r="C1054" s="114"/>
      <c r="D1054" s="114"/>
      <c r="E1054" s="114"/>
    </row>
    <row r="1055" spans="1:5" x14ac:dyDescent="0.25">
      <c r="A1055" s="113"/>
      <c r="B1055" s="114"/>
      <c r="C1055" s="114"/>
      <c r="D1055" s="114"/>
      <c r="E1055" s="114"/>
    </row>
    <row r="1056" spans="1:5" x14ac:dyDescent="0.25">
      <c r="A1056" s="113"/>
      <c r="B1056" s="114"/>
      <c r="C1056" s="114"/>
      <c r="D1056" s="114"/>
      <c r="E1056" s="114"/>
    </row>
    <row r="1057" spans="1:5" x14ac:dyDescent="0.25">
      <c r="A1057" s="113"/>
      <c r="B1057" s="114"/>
      <c r="C1057" s="114"/>
      <c r="D1057" s="114"/>
      <c r="E1057" s="114"/>
    </row>
    <row r="1058" spans="1:5" x14ac:dyDescent="0.25">
      <c r="A1058" s="113"/>
      <c r="B1058" s="114"/>
      <c r="C1058" s="114"/>
      <c r="D1058" s="114"/>
      <c r="E1058" s="114"/>
    </row>
    <row r="1059" spans="1:5" x14ac:dyDescent="0.25">
      <c r="A1059" s="113"/>
      <c r="B1059" s="114"/>
      <c r="C1059" s="114"/>
      <c r="D1059" s="114"/>
      <c r="E1059" s="114"/>
    </row>
    <row r="1060" spans="1:5" x14ac:dyDescent="0.25">
      <c r="A1060" s="113"/>
      <c r="B1060" s="114"/>
      <c r="C1060" s="114"/>
      <c r="D1060" s="114"/>
      <c r="E1060" s="114"/>
    </row>
    <row r="1061" spans="1:5" x14ac:dyDescent="0.25">
      <c r="A1061" s="113"/>
      <c r="B1061" s="114"/>
      <c r="C1061" s="114"/>
      <c r="D1061" s="114"/>
      <c r="E1061" s="114"/>
    </row>
    <row r="1062" spans="1:5" x14ac:dyDescent="0.25">
      <c r="A1062" s="113"/>
      <c r="B1062" s="114"/>
      <c r="C1062" s="114"/>
      <c r="D1062" s="114"/>
      <c r="E1062" s="114"/>
    </row>
    <row r="1063" spans="1:5" x14ac:dyDescent="0.25">
      <c r="A1063" s="113"/>
      <c r="B1063" s="114"/>
      <c r="C1063" s="114"/>
      <c r="D1063" s="114"/>
      <c r="E1063" s="114"/>
    </row>
    <row r="1064" spans="1:5" x14ac:dyDescent="0.25">
      <c r="A1064" s="113"/>
      <c r="B1064" s="114"/>
      <c r="C1064" s="114"/>
      <c r="D1064" s="114"/>
      <c r="E1064" s="114"/>
    </row>
    <row r="1065" spans="1:5" x14ac:dyDescent="0.25">
      <c r="A1065" s="113"/>
      <c r="B1065" s="114"/>
      <c r="C1065" s="114"/>
      <c r="D1065" s="114"/>
      <c r="E1065" s="114"/>
    </row>
    <row r="1066" spans="1:5" x14ac:dyDescent="0.25">
      <c r="A1066" s="113"/>
      <c r="B1066" s="114"/>
      <c r="C1066" s="114"/>
      <c r="D1066" s="114"/>
      <c r="E1066" s="114"/>
    </row>
    <row r="1067" spans="1:5" x14ac:dyDescent="0.25">
      <c r="A1067" s="113"/>
      <c r="B1067" s="114"/>
      <c r="C1067" s="114"/>
      <c r="D1067" s="114"/>
      <c r="E1067" s="114"/>
    </row>
    <row r="1068" spans="1:5" x14ac:dyDescent="0.25">
      <c r="A1068" s="113"/>
      <c r="B1068" s="114"/>
      <c r="C1068" s="114"/>
      <c r="D1068" s="114"/>
      <c r="E1068" s="114"/>
    </row>
    <row r="1069" spans="1:5" x14ac:dyDescent="0.25">
      <c r="A1069" s="113"/>
      <c r="B1069" s="114"/>
      <c r="C1069" s="114"/>
      <c r="D1069" s="114"/>
      <c r="E1069" s="114"/>
    </row>
    <row r="1070" spans="1:5" x14ac:dyDescent="0.25">
      <c r="A1070" s="113"/>
      <c r="B1070" s="114"/>
      <c r="C1070" s="114"/>
      <c r="D1070" s="114"/>
      <c r="E1070" s="114"/>
    </row>
    <row r="1071" spans="1:5" x14ac:dyDescent="0.25">
      <c r="A1071" s="113"/>
      <c r="B1071" s="114"/>
      <c r="C1071" s="114"/>
      <c r="D1071" s="114"/>
      <c r="E1071" s="114"/>
    </row>
    <row r="1072" spans="1:5" x14ac:dyDescent="0.25">
      <c r="A1072" s="113"/>
      <c r="B1072" s="114"/>
      <c r="C1072" s="114"/>
      <c r="D1072" s="114"/>
      <c r="E1072" s="114"/>
    </row>
    <row r="1073" spans="1:5" x14ac:dyDescent="0.25">
      <c r="A1073" s="113"/>
      <c r="B1073" s="114"/>
      <c r="C1073" s="114"/>
      <c r="D1073" s="114"/>
      <c r="E1073" s="114"/>
    </row>
    <row r="1074" spans="1:5" x14ac:dyDescent="0.25">
      <c r="A1074" s="113"/>
      <c r="B1074" s="114"/>
      <c r="C1074" s="114"/>
      <c r="D1074" s="114"/>
      <c r="E1074" s="114"/>
    </row>
    <row r="1075" spans="1:5" x14ac:dyDescent="0.25">
      <c r="A1075" s="113"/>
      <c r="B1075" s="114"/>
      <c r="C1075" s="114"/>
      <c r="D1075" s="114"/>
      <c r="E1075" s="114"/>
    </row>
    <row r="1076" spans="1:5" x14ac:dyDescent="0.25">
      <c r="A1076" s="113"/>
      <c r="B1076" s="114"/>
      <c r="C1076" s="114"/>
      <c r="D1076" s="114"/>
      <c r="E1076" s="114"/>
    </row>
    <row r="1077" spans="1:5" x14ac:dyDescent="0.25">
      <c r="A1077" s="113"/>
      <c r="B1077" s="114"/>
      <c r="C1077" s="114"/>
      <c r="D1077" s="114"/>
      <c r="E1077" s="114"/>
    </row>
    <row r="1078" spans="1:5" x14ac:dyDescent="0.25">
      <c r="A1078" s="113"/>
      <c r="B1078" s="114"/>
      <c r="C1078" s="114"/>
      <c r="D1078" s="114"/>
      <c r="E1078" s="114"/>
    </row>
    <row r="1079" spans="1:5" x14ac:dyDescent="0.25">
      <c r="A1079" s="113"/>
      <c r="B1079" s="114"/>
      <c r="C1079" s="114"/>
      <c r="D1079" s="114"/>
      <c r="E1079" s="114"/>
    </row>
    <row r="1080" spans="1:5" x14ac:dyDescent="0.25">
      <c r="A1080" s="113"/>
      <c r="B1080" s="114"/>
      <c r="C1080" s="114"/>
      <c r="D1080" s="114"/>
      <c r="E1080" s="114"/>
    </row>
    <row r="1081" spans="1:5" x14ac:dyDescent="0.25">
      <c r="A1081" s="113"/>
      <c r="B1081" s="114"/>
      <c r="C1081" s="114"/>
      <c r="D1081" s="114"/>
      <c r="E1081" s="114"/>
    </row>
    <row r="1082" spans="1:5" x14ac:dyDescent="0.25">
      <c r="A1082" s="113"/>
      <c r="B1082" s="114"/>
      <c r="C1082" s="114"/>
      <c r="D1082" s="114"/>
      <c r="E1082" s="114"/>
    </row>
    <row r="1083" spans="1:5" x14ac:dyDescent="0.25">
      <c r="A1083" s="113"/>
      <c r="B1083" s="114"/>
      <c r="C1083" s="114"/>
      <c r="D1083" s="114"/>
      <c r="E1083" s="114"/>
    </row>
    <row r="1084" spans="1:5" x14ac:dyDescent="0.25">
      <c r="A1084" s="113"/>
      <c r="B1084" s="114"/>
      <c r="C1084" s="114"/>
      <c r="D1084" s="114"/>
      <c r="E1084" s="114"/>
    </row>
    <row r="1085" spans="1:5" x14ac:dyDescent="0.25">
      <c r="A1085" s="113"/>
      <c r="B1085" s="114"/>
      <c r="C1085" s="114"/>
      <c r="D1085" s="114"/>
      <c r="E1085" s="114"/>
    </row>
    <row r="1086" spans="1:5" x14ac:dyDescent="0.25">
      <c r="A1086" s="113"/>
      <c r="B1086" s="114"/>
      <c r="C1086" s="114"/>
      <c r="D1086" s="114"/>
      <c r="E1086" s="114"/>
    </row>
    <row r="1087" spans="1:5" x14ac:dyDescent="0.25">
      <c r="A1087" s="113"/>
      <c r="B1087" s="114"/>
      <c r="C1087" s="114"/>
      <c r="D1087" s="114"/>
      <c r="E1087" s="114"/>
    </row>
    <row r="1088" spans="1:5" x14ac:dyDescent="0.25">
      <c r="A1088" s="113"/>
      <c r="B1088" s="114"/>
      <c r="C1088" s="114"/>
      <c r="D1088" s="114"/>
      <c r="E1088" s="114"/>
    </row>
    <row r="1089" spans="1:5" x14ac:dyDescent="0.25">
      <c r="A1089" s="113"/>
      <c r="B1089" s="114"/>
      <c r="C1089" s="114"/>
      <c r="D1089" s="114"/>
      <c r="E1089" s="114"/>
    </row>
    <row r="1090" spans="1:5" x14ac:dyDescent="0.25">
      <c r="A1090" s="113"/>
      <c r="B1090" s="114"/>
      <c r="C1090" s="114"/>
      <c r="D1090" s="114"/>
      <c r="E1090" s="114"/>
    </row>
    <row r="1091" spans="1:5" x14ac:dyDescent="0.25">
      <c r="A1091" s="113"/>
      <c r="B1091" s="114"/>
      <c r="C1091" s="114"/>
      <c r="D1091" s="114"/>
      <c r="E1091" s="114"/>
    </row>
    <row r="1092" spans="1:5" x14ac:dyDescent="0.25">
      <c r="A1092" s="113"/>
      <c r="B1092" s="114"/>
      <c r="C1092" s="114"/>
      <c r="D1092" s="114"/>
      <c r="E1092" s="114"/>
    </row>
    <row r="1093" spans="1:5" x14ac:dyDescent="0.25">
      <c r="A1093" s="113"/>
      <c r="B1093" s="114"/>
      <c r="C1093" s="114"/>
      <c r="D1093" s="114"/>
      <c r="E1093" s="114"/>
    </row>
    <row r="1094" spans="1:5" x14ac:dyDescent="0.25">
      <c r="A1094" s="113"/>
      <c r="B1094" s="114"/>
      <c r="C1094" s="114"/>
      <c r="D1094" s="114"/>
      <c r="E1094" s="114"/>
    </row>
    <row r="1095" spans="1:5" x14ac:dyDescent="0.25">
      <c r="A1095" s="113"/>
      <c r="B1095" s="114"/>
      <c r="C1095" s="114"/>
      <c r="D1095" s="114"/>
      <c r="E1095" s="114"/>
    </row>
    <row r="1096" spans="1:5" x14ac:dyDescent="0.25">
      <c r="A1096" s="113"/>
      <c r="B1096" s="114"/>
      <c r="C1096" s="114"/>
      <c r="D1096" s="114"/>
      <c r="E1096" s="114"/>
    </row>
    <row r="1097" spans="1:5" x14ac:dyDescent="0.25">
      <c r="A1097" s="113"/>
      <c r="B1097" s="114"/>
      <c r="C1097" s="114"/>
      <c r="D1097" s="114"/>
      <c r="E1097" s="114"/>
    </row>
    <row r="1098" spans="1:5" x14ac:dyDescent="0.25">
      <c r="A1098" s="113"/>
      <c r="B1098" s="114"/>
      <c r="C1098" s="114"/>
      <c r="D1098" s="114"/>
      <c r="E1098" s="114"/>
    </row>
    <row r="1099" spans="1:5" x14ac:dyDescent="0.25">
      <c r="A1099" s="113"/>
      <c r="B1099" s="114"/>
      <c r="C1099" s="114"/>
      <c r="D1099" s="114"/>
      <c r="E1099" s="114"/>
    </row>
    <row r="1100" spans="1:5" x14ac:dyDescent="0.25">
      <c r="A1100" s="113"/>
      <c r="B1100" s="114"/>
      <c r="C1100" s="114"/>
      <c r="D1100" s="114"/>
      <c r="E1100" s="114"/>
    </row>
    <row r="1101" spans="1:5" x14ac:dyDescent="0.25">
      <c r="A1101" s="113"/>
      <c r="B1101" s="114"/>
      <c r="C1101" s="114"/>
      <c r="D1101" s="114"/>
      <c r="E1101" s="114"/>
    </row>
    <row r="1102" spans="1:5" x14ac:dyDescent="0.25">
      <c r="A1102" s="113"/>
      <c r="B1102" s="114"/>
      <c r="C1102" s="114"/>
      <c r="D1102" s="114"/>
      <c r="E1102" s="114"/>
    </row>
    <row r="1103" spans="1:5" x14ac:dyDescent="0.25">
      <c r="A1103" s="113"/>
      <c r="B1103" s="114"/>
      <c r="C1103" s="114"/>
      <c r="D1103" s="114"/>
      <c r="E1103" s="114"/>
    </row>
    <row r="1104" spans="1:5" x14ac:dyDescent="0.25">
      <c r="A1104" s="113"/>
      <c r="B1104" s="114"/>
      <c r="C1104" s="114"/>
      <c r="D1104" s="114"/>
      <c r="E1104" s="114"/>
    </row>
    <row r="1105" spans="1:5" x14ac:dyDescent="0.25">
      <c r="A1105" s="113"/>
      <c r="B1105" s="114"/>
      <c r="C1105" s="114"/>
      <c r="D1105" s="114"/>
      <c r="E1105" s="114"/>
    </row>
    <row r="1106" spans="1:5" x14ac:dyDescent="0.25">
      <c r="A1106" s="113"/>
      <c r="B1106" s="114"/>
      <c r="C1106" s="114"/>
      <c r="D1106" s="114"/>
      <c r="E1106" s="114"/>
    </row>
    <row r="1107" spans="1:5" x14ac:dyDescent="0.25">
      <c r="A1107" s="113"/>
      <c r="B1107" s="114"/>
      <c r="C1107" s="114"/>
      <c r="D1107" s="114"/>
      <c r="E1107" s="114"/>
    </row>
    <row r="1108" spans="1:5" x14ac:dyDescent="0.25">
      <c r="A1108" s="113"/>
      <c r="B1108" s="114"/>
      <c r="C1108" s="114"/>
      <c r="D1108" s="114"/>
      <c r="E1108" s="114"/>
    </row>
    <row r="1109" spans="1:5" x14ac:dyDescent="0.25">
      <c r="A1109" s="113"/>
      <c r="B1109" s="114"/>
      <c r="C1109" s="114"/>
      <c r="D1109" s="114"/>
      <c r="E1109" s="114"/>
    </row>
    <row r="1110" spans="1:5" x14ac:dyDescent="0.25">
      <c r="A1110" s="113"/>
      <c r="B1110" s="114"/>
      <c r="C1110" s="114"/>
      <c r="D1110" s="114"/>
      <c r="E1110" s="114"/>
    </row>
    <row r="1111" spans="1:5" x14ac:dyDescent="0.25">
      <c r="A1111" s="113"/>
      <c r="B1111" s="114"/>
      <c r="C1111" s="114"/>
      <c r="D1111" s="114"/>
      <c r="E1111" s="114"/>
    </row>
    <row r="1112" spans="1:5" x14ac:dyDescent="0.25">
      <c r="A1112" s="113"/>
      <c r="B1112" s="114"/>
      <c r="C1112" s="114"/>
      <c r="D1112" s="114"/>
      <c r="E1112" s="114"/>
    </row>
    <row r="1113" spans="1:5" x14ac:dyDescent="0.25">
      <c r="A1113" s="113"/>
      <c r="B1113" s="114"/>
      <c r="C1113" s="114"/>
      <c r="D1113" s="114"/>
      <c r="E1113" s="114"/>
    </row>
    <row r="1114" spans="1:5" x14ac:dyDescent="0.25">
      <c r="A1114" s="113"/>
      <c r="B1114" s="114"/>
      <c r="C1114" s="114"/>
      <c r="D1114" s="114"/>
      <c r="E1114" s="114"/>
    </row>
    <row r="1115" spans="1:5" x14ac:dyDescent="0.25">
      <c r="A1115" s="113"/>
      <c r="B1115" s="114"/>
      <c r="C1115" s="114"/>
      <c r="D1115" s="114"/>
      <c r="E1115" s="114"/>
    </row>
    <row r="1116" spans="1:5" x14ac:dyDescent="0.25">
      <c r="A1116" s="113"/>
      <c r="B1116" s="114"/>
      <c r="C1116" s="114"/>
      <c r="D1116" s="114"/>
      <c r="E1116" s="114"/>
    </row>
    <row r="1117" spans="1:5" x14ac:dyDescent="0.25">
      <c r="A1117" s="113"/>
      <c r="B1117" s="114"/>
      <c r="C1117" s="114"/>
      <c r="D1117" s="114"/>
      <c r="E1117" s="114"/>
    </row>
    <row r="1118" spans="1:5" x14ac:dyDescent="0.25">
      <c r="A1118" s="113"/>
      <c r="B1118" s="114"/>
      <c r="C1118" s="114"/>
      <c r="D1118" s="114"/>
      <c r="E1118" s="114"/>
    </row>
    <row r="1119" spans="1:5" x14ac:dyDescent="0.25">
      <c r="A1119" s="113"/>
      <c r="B1119" s="114"/>
      <c r="C1119" s="114"/>
      <c r="D1119" s="114"/>
      <c r="E1119" s="114"/>
    </row>
    <row r="1120" spans="1:5" x14ac:dyDescent="0.25">
      <c r="A1120" s="113"/>
      <c r="B1120" s="114"/>
      <c r="C1120" s="114"/>
      <c r="D1120" s="114"/>
      <c r="E1120" s="114"/>
    </row>
    <row r="1121" spans="1:5" x14ac:dyDescent="0.25">
      <c r="A1121" s="113"/>
      <c r="B1121" s="114"/>
      <c r="C1121" s="114"/>
      <c r="D1121" s="114"/>
      <c r="E1121" s="114"/>
    </row>
    <row r="1122" spans="1:5" x14ac:dyDescent="0.25">
      <c r="A1122" s="113"/>
      <c r="B1122" s="114"/>
      <c r="C1122" s="114"/>
      <c r="D1122" s="114"/>
      <c r="E1122" s="114"/>
    </row>
    <row r="1123" spans="1:5" x14ac:dyDescent="0.25">
      <c r="A1123" s="113"/>
      <c r="B1123" s="114"/>
      <c r="C1123" s="114"/>
      <c r="D1123" s="114"/>
      <c r="E1123" s="114"/>
    </row>
    <row r="1124" spans="1:5" x14ac:dyDescent="0.25">
      <c r="A1124" s="113"/>
      <c r="B1124" s="114"/>
      <c r="C1124" s="114"/>
      <c r="D1124" s="114"/>
      <c r="E1124" s="114"/>
    </row>
    <row r="1125" spans="1:5" x14ac:dyDescent="0.25">
      <c r="A1125" s="113"/>
      <c r="B1125" s="114"/>
      <c r="C1125" s="114"/>
      <c r="D1125" s="114"/>
      <c r="E1125" s="114"/>
    </row>
    <row r="1126" spans="1:5" x14ac:dyDescent="0.25">
      <c r="A1126" s="113"/>
      <c r="B1126" s="114"/>
      <c r="C1126" s="114"/>
      <c r="D1126" s="114"/>
      <c r="E1126" s="114"/>
    </row>
    <row r="1127" spans="1:5" x14ac:dyDescent="0.25">
      <c r="A1127" s="113"/>
      <c r="B1127" s="114"/>
      <c r="C1127" s="114"/>
      <c r="D1127" s="114"/>
      <c r="E1127" s="114"/>
    </row>
    <row r="1128" spans="1:5" x14ac:dyDescent="0.25">
      <c r="A1128" s="113"/>
      <c r="B1128" s="114"/>
      <c r="C1128" s="114"/>
      <c r="D1128" s="114"/>
      <c r="E1128" s="114"/>
    </row>
    <row r="1129" spans="1:5" x14ac:dyDescent="0.25">
      <c r="A1129" s="113"/>
      <c r="B1129" s="114"/>
      <c r="C1129" s="114"/>
      <c r="D1129" s="114"/>
      <c r="E1129" s="114"/>
    </row>
    <row r="1130" spans="1:5" x14ac:dyDescent="0.25">
      <c r="A1130" s="113"/>
      <c r="B1130" s="114"/>
      <c r="C1130" s="114"/>
      <c r="D1130" s="114"/>
      <c r="E1130" s="114"/>
    </row>
    <row r="1131" spans="1:5" x14ac:dyDescent="0.25">
      <c r="A1131" s="113"/>
      <c r="B1131" s="114"/>
      <c r="C1131" s="114"/>
      <c r="D1131" s="114"/>
      <c r="E1131" s="114"/>
    </row>
    <row r="1132" spans="1:5" x14ac:dyDescent="0.25">
      <c r="A1132" s="113"/>
      <c r="B1132" s="114"/>
      <c r="C1132" s="114"/>
      <c r="D1132" s="114"/>
      <c r="E1132" s="114"/>
    </row>
    <row r="1133" spans="1:5" x14ac:dyDescent="0.25">
      <c r="A1133" s="113"/>
      <c r="B1133" s="114"/>
      <c r="C1133" s="114"/>
      <c r="D1133" s="114"/>
      <c r="E1133" s="114"/>
    </row>
    <row r="1134" spans="1:5" x14ac:dyDescent="0.25">
      <c r="A1134" s="113"/>
      <c r="B1134" s="114"/>
      <c r="C1134" s="114"/>
      <c r="D1134" s="114"/>
      <c r="E1134" s="114"/>
    </row>
    <row r="1135" spans="1:5" x14ac:dyDescent="0.25">
      <c r="A1135" s="113"/>
      <c r="B1135" s="114"/>
      <c r="C1135" s="114"/>
      <c r="D1135" s="114"/>
      <c r="E1135" s="114"/>
    </row>
    <row r="1136" spans="1:5" x14ac:dyDescent="0.25">
      <c r="A1136" s="113"/>
      <c r="B1136" s="114"/>
      <c r="C1136" s="114"/>
      <c r="D1136" s="114"/>
      <c r="E1136" s="114"/>
    </row>
    <row r="1137" spans="1:5" x14ac:dyDescent="0.25">
      <c r="A1137" s="113"/>
      <c r="B1137" s="114"/>
      <c r="C1137" s="114"/>
      <c r="D1137" s="114"/>
      <c r="E1137" s="114"/>
    </row>
    <row r="1138" spans="1:5" x14ac:dyDescent="0.25">
      <c r="A1138" s="113"/>
      <c r="B1138" s="114"/>
      <c r="C1138" s="114"/>
      <c r="D1138" s="114"/>
      <c r="E1138" s="114"/>
    </row>
    <row r="1139" spans="1:5" x14ac:dyDescent="0.25">
      <c r="A1139" s="113"/>
      <c r="B1139" s="114"/>
      <c r="C1139" s="114"/>
      <c r="D1139" s="114"/>
      <c r="E1139" s="114"/>
    </row>
    <row r="1140" spans="1:5" x14ac:dyDescent="0.25">
      <c r="A1140" s="113"/>
      <c r="B1140" s="114"/>
      <c r="C1140" s="114"/>
      <c r="D1140" s="114"/>
      <c r="E1140" s="114"/>
    </row>
    <row r="1141" spans="1:5" x14ac:dyDescent="0.25">
      <c r="A1141" s="113"/>
      <c r="B1141" s="114"/>
      <c r="C1141" s="114"/>
      <c r="D1141" s="114"/>
      <c r="E1141" s="114"/>
    </row>
    <row r="1142" spans="1:5" x14ac:dyDescent="0.25">
      <c r="A1142" s="113"/>
      <c r="B1142" s="114"/>
      <c r="C1142" s="114"/>
      <c r="D1142" s="114"/>
      <c r="E1142" s="114"/>
    </row>
    <row r="1143" spans="1:5" x14ac:dyDescent="0.25">
      <c r="A1143" s="113"/>
      <c r="B1143" s="114"/>
      <c r="C1143" s="114"/>
      <c r="D1143" s="114"/>
      <c r="E1143" s="114"/>
    </row>
    <row r="1144" spans="1:5" x14ac:dyDescent="0.25">
      <c r="A1144" s="113"/>
      <c r="B1144" s="114"/>
      <c r="C1144" s="114"/>
      <c r="D1144" s="114"/>
      <c r="E1144" s="114"/>
    </row>
    <row r="1145" spans="1:5" x14ac:dyDescent="0.25">
      <c r="A1145" s="113"/>
      <c r="B1145" s="114"/>
      <c r="C1145" s="114"/>
      <c r="D1145" s="114"/>
      <c r="E1145" s="114"/>
    </row>
    <row r="1146" spans="1:5" x14ac:dyDescent="0.25">
      <c r="A1146" s="113"/>
      <c r="B1146" s="114"/>
      <c r="C1146" s="114"/>
      <c r="D1146" s="114"/>
      <c r="E1146" s="114"/>
    </row>
    <row r="1147" spans="1:5" x14ac:dyDescent="0.25">
      <c r="A1147" s="113"/>
      <c r="B1147" s="114"/>
      <c r="C1147" s="114"/>
      <c r="D1147" s="114"/>
      <c r="E1147" s="114"/>
    </row>
    <row r="1148" spans="1:5" x14ac:dyDescent="0.25">
      <c r="A1148" s="113"/>
      <c r="B1148" s="114"/>
      <c r="C1148" s="114"/>
      <c r="D1148" s="114"/>
      <c r="E1148" s="114"/>
    </row>
    <row r="1149" spans="1:5" x14ac:dyDescent="0.25">
      <c r="A1149" s="113"/>
      <c r="B1149" s="114"/>
      <c r="C1149" s="114"/>
      <c r="D1149" s="114"/>
      <c r="E1149" s="114"/>
    </row>
    <row r="1150" spans="1:5" x14ac:dyDescent="0.25">
      <c r="A1150" s="113"/>
      <c r="B1150" s="114"/>
      <c r="C1150" s="114"/>
      <c r="D1150" s="114"/>
      <c r="E1150" s="114"/>
    </row>
    <row r="1151" spans="1:5" x14ac:dyDescent="0.25">
      <c r="A1151" s="113"/>
      <c r="B1151" s="114"/>
      <c r="C1151" s="114"/>
      <c r="D1151" s="114"/>
      <c r="E1151" s="114"/>
    </row>
    <row r="1152" spans="1:5" x14ac:dyDescent="0.25">
      <c r="A1152" s="113"/>
      <c r="B1152" s="114"/>
      <c r="C1152" s="114"/>
      <c r="D1152" s="114"/>
      <c r="E1152" s="114"/>
    </row>
    <row r="1153" spans="1:5" x14ac:dyDescent="0.25">
      <c r="A1153" s="113"/>
      <c r="B1153" s="114"/>
      <c r="C1153" s="114"/>
      <c r="D1153" s="114"/>
      <c r="E1153" s="114"/>
    </row>
    <row r="1154" spans="1:5" x14ac:dyDescent="0.25">
      <c r="A1154" s="113"/>
      <c r="B1154" s="114"/>
      <c r="C1154" s="114"/>
      <c r="D1154" s="114"/>
      <c r="E1154" s="114"/>
    </row>
    <row r="1155" spans="1:5" x14ac:dyDescent="0.25">
      <c r="A1155" s="113"/>
      <c r="B1155" s="114"/>
      <c r="C1155" s="114"/>
      <c r="D1155" s="114"/>
      <c r="E1155" s="114"/>
    </row>
    <row r="1156" spans="1:5" x14ac:dyDescent="0.25">
      <c r="A1156" s="113"/>
      <c r="B1156" s="114"/>
      <c r="C1156" s="114"/>
      <c r="D1156" s="114"/>
      <c r="E1156" s="114"/>
    </row>
    <row r="1157" spans="1:5" x14ac:dyDescent="0.25">
      <c r="A1157" s="113"/>
      <c r="B1157" s="114"/>
      <c r="C1157" s="114"/>
      <c r="D1157" s="114"/>
      <c r="E1157" s="114"/>
    </row>
    <row r="1158" spans="1:5" x14ac:dyDescent="0.25">
      <c r="A1158" s="113"/>
      <c r="B1158" s="114"/>
      <c r="C1158" s="114"/>
      <c r="D1158" s="114"/>
      <c r="E1158" s="114"/>
    </row>
    <row r="1159" spans="1:5" x14ac:dyDescent="0.25">
      <c r="A1159" s="113"/>
      <c r="B1159" s="114"/>
      <c r="C1159" s="114"/>
      <c r="D1159" s="114"/>
      <c r="E1159" s="114"/>
    </row>
    <row r="1160" spans="1:5" x14ac:dyDescent="0.25">
      <c r="A1160" s="113"/>
      <c r="B1160" s="114"/>
      <c r="C1160" s="114"/>
      <c r="D1160" s="114"/>
      <c r="E1160" s="114"/>
    </row>
    <row r="1161" spans="1:5" x14ac:dyDescent="0.25">
      <c r="A1161" s="113"/>
      <c r="B1161" s="114"/>
      <c r="C1161" s="114"/>
      <c r="D1161" s="114"/>
      <c r="E1161" s="114"/>
    </row>
    <row r="1162" spans="1:5" x14ac:dyDescent="0.25">
      <c r="A1162" s="113"/>
      <c r="B1162" s="114"/>
      <c r="C1162" s="114"/>
      <c r="D1162" s="114"/>
      <c r="E1162" s="114"/>
    </row>
    <row r="1163" spans="1:5" x14ac:dyDescent="0.25">
      <c r="A1163" s="113"/>
      <c r="B1163" s="114"/>
      <c r="C1163" s="114"/>
      <c r="D1163" s="114"/>
      <c r="E1163" s="114"/>
    </row>
    <row r="1164" spans="1:5" x14ac:dyDescent="0.25">
      <c r="A1164" s="113"/>
      <c r="B1164" s="114"/>
      <c r="C1164" s="114"/>
      <c r="D1164" s="114"/>
      <c r="E1164" s="114"/>
    </row>
    <row r="1165" spans="1:5" x14ac:dyDescent="0.25">
      <c r="A1165" s="113"/>
      <c r="B1165" s="114"/>
      <c r="C1165" s="114"/>
      <c r="D1165" s="114"/>
      <c r="E1165" s="114"/>
    </row>
    <row r="1166" spans="1:5" x14ac:dyDescent="0.25">
      <c r="A1166" s="113"/>
      <c r="B1166" s="114"/>
      <c r="C1166" s="114"/>
      <c r="D1166" s="114"/>
      <c r="E1166" s="114"/>
    </row>
    <row r="1167" spans="1:5" x14ac:dyDescent="0.25">
      <c r="A1167" s="113"/>
      <c r="B1167" s="114"/>
      <c r="C1167" s="114"/>
      <c r="D1167" s="114"/>
      <c r="E1167" s="114"/>
    </row>
    <row r="1168" spans="1:5" x14ac:dyDescent="0.25">
      <c r="A1168" s="113"/>
      <c r="B1168" s="114"/>
      <c r="C1168" s="114"/>
      <c r="D1168" s="114"/>
      <c r="E1168" s="114"/>
    </row>
    <row r="1169" spans="1:5" x14ac:dyDescent="0.25">
      <c r="A1169" s="113"/>
      <c r="B1169" s="114"/>
      <c r="C1169" s="114"/>
      <c r="D1169" s="114"/>
      <c r="E1169" s="114"/>
    </row>
    <row r="1170" spans="1:5" x14ac:dyDescent="0.25">
      <c r="A1170" s="113"/>
      <c r="B1170" s="114"/>
      <c r="C1170" s="114"/>
      <c r="D1170" s="114"/>
      <c r="E1170" s="114"/>
    </row>
    <row r="1171" spans="1:5" x14ac:dyDescent="0.25">
      <c r="A1171" s="113"/>
      <c r="B1171" s="114"/>
      <c r="C1171" s="114"/>
      <c r="D1171" s="114"/>
      <c r="E1171" s="114"/>
    </row>
    <row r="1172" spans="1:5" x14ac:dyDescent="0.25">
      <c r="A1172" s="113"/>
      <c r="B1172" s="114"/>
      <c r="C1172" s="114"/>
      <c r="D1172" s="114"/>
      <c r="E1172" s="114"/>
    </row>
    <row r="1173" spans="1:5" x14ac:dyDescent="0.25">
      <c r="A1173" s="113"/>
      <c r="B1173" s="114"/>
      <c r="C1173" s="114"/>
      <c r="D1173" s="114"/>
      <c r="E1173" s="114"/>
    </row>
    <row r="1174" spans="1:5" x14ac:dyDescent="0.25">
      <c r="A1174" s="113"/>
      <c r="B1174" s="114"/>
      <c r="C1174" s="114"/>
      <c r="D1174" s="114"/>
      <c r="E1174" s="114"/>
    </row>
    <row r="1175" spans="1:5" x14ac:dyDescent="0.25">
      <c r="A1175" s="113"/>
      <c r="B1175" s="114"/>
      <c r="C1175" s="114"/>
      <c r="D1175" s="114"/>
      <c r="E1175" s="114"/>
    </row>
    <row r="1176" spans="1:5" x14ac:dyDescent="0.25">
      <c r="A1176" s="113"/>
      <c r="B1176" s="114"/>
      <c r="C1176" s="114"/>
      <c r="D1176" s="114"/>
      <c r="E1176" s="114"/>
    </row>
    <row r="1177" spans="1:5" x14ac:dyDescent="0.25">
      <c r="A1177" s="113"/>
      <c r="B1177" s="114"/>
      <c r="C1177" s="114"/>
      <c r="D1177" s="114"/>
      <c r="E1177" s="114"/>
    </row>
    <row r="1178" spans="1:5" x14ac:dyDescent="0.25">
      <c r="A1178" s="113"/>
      <c r="B1178" s="114"/>
      <c r="C1178" s="114"/>
      <c r="D1178" s="114"/>
      <c r="E1178" s="114"/>
    </row>
    <row r="1179" spans="1:5" x14ac:dyDescent="0.25">
      <c r="A1179" s="113"/>
      <c r="B1179" s="114"/>
      <c r="C1179" s="114"/>
      <c r="D1179" s="114"/>
      <c r="E1179" s="114"/>
    </row>
    <row r="1180" spans="1:5" x14ac:dyDescent="0.25">
      <c r="A1180" s="113"/>
      <c r="B1180" s="114"/>
      <c r="C1180" s="114"/>
      <c r="D1180" s="114"/>
      <c r="E1180" s="114"/>
    </row>
    <row r="1181" spans="1:5" x14ac:dyDescent="0.25">
      <c r="A1181" s="113"/>
      <c r="B1181" s="114"/>
      <c r="C1181" s="114"/>
      <c r="D1181" s="114"/>
      <c r="E1181" s="114"/>
    </row>
    <row r="1182" spans="1:5" x14ac:dyDescent="0.25">
      <c r="A1182" s="113"/>
      <c r="B1182" s="114"/>
      <c r="C1182" s="114"/>
      <c r="D1182" s="114"/>
      <c r="E1182" s="114"/>
    </row>
    <row r="1183" spans="1:5" x14ac:dyDescent="0.25">
      <c r="A1183" s="113"/>
      <c r="B1183" s="114"/>
      <c r="C1183" s="114"/>
      <c r="D1183" s="114"/>
      <c r="E1183" s="114"/>
    </row>
    <row r="1184" spans="1:5" x14ac:dyDescent="0.25">
      <c r="A1184" s="113"/>
      <c r="B1184" s="114"/>
      <c r="C1184" s="114"/>
      <c r="D1184" s="114"/>
      <c r="E1184" s="114"/>
    </row>
    <row r="1185" spans="1:5" x14ac:dyDescent="0.25">
      <c r="A1185" s="113"/>
      <c r="B1185" s="114"/>
      <c r="C1185" s="114"/>
      <c r="D1185" s="114"/>
      <c r="E1185" s="114"/>
    </row>
    <row r="1186" spans="1:5" x14ac:dyDescent="0.25">
      <c r="A1186" s="113"/>
      <c r="B1186" s="114"/>
      <c r="C1186" s="114"/>
      <c r="D1186" s="114"/>
      <c r="E1186" s="114"/>
    </row>
    <row r="1187" spans="1:5" x14ac:dyDescent="0.25">
      <c r="A1187" s="113"/>
      <c r="B1187" s="114"/>
      <c r="C1187" s="114"/>
      <c r="D1187" s="114"/>
      <c r="E1187" s="114"/>
    </row>
    <row r="1188" spans="1:5" x14ac:dyDescent="0.25">
      <c r="A1188" s="113"/>
      <c r="B1188" s="114"/>
      <c r="C1188" s="114"/>
      <c r="D1188" s="114"/>
      <c r="E1188" s="114"/>
    </row>
    <row r="1189" spans="1:5" x14ac:dyDescent="0.25">
      <c r="A1189" s="113"/>
      <c r="B1189" s="114"/>
      <c r="C1189" s="114"/>
      <c r="D1189" s="114"/>
      <c r="E1189" s="114"/>
    </row>
    <row r="1190" spans="1:5" x14ac:dyDescent="0.25">
      <c r="A1190" s="113"/>
      <c r="B1190" s="114"/>
      <c r="C1190" s="114"/>
      <c r="D1190" s="114"/>
      <c r="E1190" s="114"/>
    </row>
    <row r="1191" spans="1:5" x14ac:dyDescent="0.25">
      <c r="A1191" s="113"/>
      <c r="B1191" s="114"/>
      <c r="C1191" s="114"/>
      <c r="D1191" s="114"/>
      <c r="E1191" s="114"/>
    </row>
    <row r="1192" spans="1:5" x14ac:dyDescent="0.25">
      <c r="A1192" s="113"/>
      <c r="B1192" s="114"/>
      <c r="C1192" s="114"/>
      <c r="D1192" s="114"/>
      <c r="E1192" s="114"/>
    </row>
    <row r="1193" spans="1:5" x14ac:dyDescent="0.25">
      <c r="A1193" s="113"/>
      <c r="B1193" s="114"/>
      <c r="C1193" s="114"/>
      <c r="D1193" s="114"/>
      <c r="E1193" s="114"/>
    </row>
    <row r="1194" spans="1:5" x14ac:dyDescent="0.25">
      <c r="A1194" s="113"/>
      <c r="B1194" s="114"/>
      <c r="C1194" s="114"/>
      <c r="D1194" s="114"/>
      <c r="E1194" s="114"/>
    </row>
    <row r="1195" spans="1:5" x14ac:dyDescent="0.25">
      <c r="A1195" s="113"/>
      <c r="B1195" s="114"/>
      <c r="C1195" s="114"/>
      <c r="D1195" s="114"/>
      <c r="E1195" s="114"/>
    </row>
    <row r="1196" spans="1:5" x14ac:dyDescent="0.25">
      <c r="A1196" s="113"/>
      <c r="B1196" s="114"/>
      <c r="C1196" s="114"/>
      <c r="D1196" s="114"/>
      <c r="E1196" s="114"/>
    </row>
    <row r="1197" spans="1:5" x14ac:dyDescent="0.25">
      <c r="A1197" s="113"/>
      <c r="B1197" s="114"/>
      <c r="C1197" s="114"/>
      <c r="D1197" s="114"/>
      <c r="E1197" s="114"/>
    </row>
    <row r="1198" spans="1:5" x14ac:dyDescent="0.25">
      <c r="A1198" s="113"/>
      <c r="B1198" s="114"/>
      <c r="C1198" s="114"/>
      <c r="D1198" s="114"/>
      <c r="E1198" s="114"/>
    </row>
    <row r="1199" spans="1:5" x14ac:dyDescent="0.25">
      <c r="A1199" s="113"/>
      <c r="B1199" s="114"/>
      <c r="C1199" s="114"/>
      <c r="D1199" s="114"/>
      <c r="E1199" s="114"/>
    </row>
    <row r="1200" spans="1:5" x14ac:dyDescent="0.25">
      <c r="A1200" s="113"/>
      <c r="B1200" s="114"/>
      <c r="C1200" s="114"/>
      <c r="D1200" s="114"/>
      <c r="E1200" s="114"/>
    </row>
    <row r="1201" spans="1:5" x14ac:dyDescent="0.25">
      <c r="A1201" s="113"/>
      <c r="B1201" s="114"/>
      <c r="C1201" s="114"/>
      <c r="D1201" s="114"/>
      <c r="E1201" s="114"/>
    </row>
    <row r="1202" spans="1:5" x14ac:dyDescent="0.25">
      <c r="A1202" s="113"/>
      <c r="B1202" s="114"/>
      <c r="C1202" s="114"/>
      <c r="D1202" s="114"/>
      <c r="E1202" s="114"/>
    </row>
    <row r="1203" spans="1:5" x14ac:dyDescent="0.25">
      <c r="A1203" s="113"/>
      <c r="B1203" s="114"/>
      <c r="C1203" s="114"/>
      <c r="D1203" s="114"/>
      <c r="E1203" s="114"/>
    </row>
    <row r="1204" spans="1:5" x14ac:dyDescent="0.25">
      <c r="A1204" s="113"/>
      <c r="B1204" s="114"/>
      <c r="C1204" s="114"/>
      <c r="D1204" s="114"/>
      <c r="E1204" s="114"/>
    </row>
    <row r="1205" spans="1:5" x14ac:dyDescent="0.25">
      <c r="A1205" s="113"/>
      <c r="B1205" s="114"/>
      <c r="C1205" s="114"/>
      <c r="D1205" s="114"/>
      <c r="E1205" s="114"/>
    </row>
    <row r="1206" spans="1:5" x14ac:dyDescent="0.25">
      <c r="A1206" s="113"/>
      <c r="B1206" s="114"/>
      <c r="C1206" s="114"/>
      <c r="D1206" s="114"/>
      <c r="E1206" s="114"/>
    </row>
    <row r="1207" spans="1:5" x14ac:dyDescent="0.25">
      <c r="A1207" s="113"/>
      <c r="B1207" s="114"/>
      <c r="C1207" s="114"/>
      <c r="D1207" s="114"/>
      <c r="E1207" s="114"/>
    </row>
    <row r="1208" spans="1:5" x14ac:dyDescent="0.25">
      <c r="A1208" s="113"/>
      <c r="B1208" s="114"/>
      <c r="C1208" s="114"/>
      <c r="D1208" s="114"/>
      <c r="E1208" s="114"/>
    </row>
    <row r="1209" spans="1:5" x14ac:dyDescent="0.25">
      <c r="A1209" s="113"/>
      <c r="B1209" s="114"/>
      <c r="C1209" s="114"/>
      <c r="D1209" s="114"/>
      <c r="E1209" s="114"/>
    </row>
    <row r="1210" spans="1:5" x14ac:dyDescent="0.25">
      <c r="A1210" s="113"/>
      <c r="B1210" s="114"/>
      <c r="C1210" s="114"/>
      <c r="D1210" s="114"/>
      <c r="E1210" s="114"/>
    </row>
    <row r="1211" spans="1:5" x14ac:dyDescent="0.25">
      <c r="A1211" s="113"/>
      <c r="B1211" s="114"/>
      <c r="C1211" s="114"/>
      <c r="D1211" s="114"/>
      <c r="E1211" s="114"/>
    </row>
    <row r="1212" spans="1:5" x14ac:dyDescent="0.25">
      <c r="A1212" s="113"/>
      <c r="B1212" s="114"/>
      <c r="C1212" s="114"/>
      <c r="D1212" s="114"/>
      <c r="E1212" s="114"/>
    </row>
    <row r="1213" spans="1:5" x14ac:dyDescent="0.25">
      <c r="A1213" s="113"/>
      <c r="B1213" s="114"/>
      <c r="C1213" s="114"/>
      <c r="D1213" s="114"/>
      <c r="E1213" s="114"/>
    </row>
    <row r="1214" spans="1:5" x14ac:dyDescent="0.25">
      <c r="A1214" s="113"/>
      <c r="B1214" s="114"/>
      <c r="C1214" s="114"/>
      <c r="D1214" s="114"/>
      <c r="E1214" s="114"/>
    </row>
    <row r="1215" spans="1:5" x14ac:dyDescent="0.25">
      <c r="A1215" s="113"/>
      <c r="B1215" s="114"/>
      <c r="C1215" s="114"/>
      <c r="D1215" s="114"/>
      <c r="E1215" s="114"/>
    </row>
    <row r="1216" spans="1:5" x14ac:dyDescent="0.25">
      <c r="A1216" s="113"/>
      <c r="B1216" s="114"/>
      <c r="C1216" s="114"/>
      <c r="D1216" s="114"/>
      <c r="E1216" s="114"/>
    </row>
    <row r="1217" spans="1:5" x14ac:dyDescent="0.25">
      <c r="A1217" s="113"/>
      <c r="B1217" s="114"/>
      <c r="C1217" s="114"/>
      <c r="D1217" s="114"/>
      <c r="E1217" s="114"/>
    </row>
    <row r="1218" spans="1:5" x14ac:dyDescent="0.25">
      <c r="A1218" s="113"/>
      <c r="B1218" s="114"/>
      <c r="C1218" s="114"/>
      <c r="D1218" s="114"/>
      <c r="E1218" s="114"/>
    </row>
    <row r="1219" spans="1:5" x14ac:dyDescent="0.25">
      <c r="A1219" s="113"/>
      <c r="B1219" s="114"/>
      <c r="C1219" s="114"/>
      <c r="D1219" s="114"/>
      <c r="E1219" s="114"/>
    </row>
    <row r="1220" spans="1:5" x14ac:dyDescent="0.25">
      <c r="A1220" s="113"/>
      <c r="B1220" s="114"/>
      <c r="C1220" s="114"/>
      <c r="D1220" s="114"/>
      <c r="E1220" s="114"/>
    </row>
    <row r="1221" spans="1:5" x14ac:dyDescent="0.25">
      <c r="A1221" s="113"/>
      <c r="B1221" s="114"/>
      <c r="C1221" s="114"/>
      <c r="D1221" s="114"/>
      <c r="E1221" s="114"/>
    </row>
    <row r="1222" spans="1:5" x14ac:dyDescent="0.25">
      <c r="A1222" s="113"/>
      <c r="B1222" s="114"/>
      <c r="C1222" s="114"/>
      <c r="D1222" s="114"/>
      <c r="E1222" s="114"/>
    </row>
    <row r="1223" spans="1:5" x14ac:dyDescent="0.25">
      <c r="A1223" s="113"/>
      <c r="B1223" s="114"/>
      <c r="C1223" s="114"/>
      <c r="D1223" s="114"/>
      <c r="E1223" s="114"/>
    </row>
    <row r="1224" spans="1:5" x14ac:dyDescent="0.25">
      <c r="A1224" s="113"/>
      <c r="B1224" s="114"/>
      <c r="C1224" s="114"/>
      <c r="D1224" s="114"/>
      <c r="E1224" s="114"/>
    </row>
    <row r="1225" spans="1:5" x14ac:dyDescent="0.25">
      <c r="A1225" s="113"/>
      <c r="B1225" s="114"/>
      <c r="C1225" s="114"/>
      <c r="D1225" s="114"/>
      <c r="E1225" s="114"/>
    </row>
    <row r="1226" spans="1:5" x14ac:dyDescent="0.25">
      <c r="A1226" s="113"/>
      <c r="B1226" s="114"/>
      <c r="C1226" s="114"/>
      <c r="D1226" s="114"/>
      <c r="E1226" s="114"/>
    </row>
    <row r="1227" spans="1:5" x14ac:dyDescent="0.25">
      <c r="A1227" s="113"/>
      <c r="B1227" s="114"/>
      <c r="C1227" s="114"/>
      <c r="D1227" s="114"/>
      <c r="E1227" s="114"/>
    </row>
    <row r="1228" spans="1:5" x14ac:dyDescent="0.25">
      <c r="A1228" s="113"/>
      <c r="B1228" s="114"/>
      <c r="C1228" s="114"/>
      <c r="D1228" s="114"/>
      <c r="E1228" s="114"/>
    </row>
    <row r="1229" spans="1:5" x14ac:dyDescent="0.25">
      <c r="A1229" s="113"/>
      <c r="B1229" s="114"/>
      <c r="C1229" s="114"/>
      <c r="D1229" s="114"/>
      <c r="E1229" s="114"/>
    </row>
    <row r="1230" spans="1:5" x14ac:dyDescent="0.25">
      <c r="A1230" s="113"/>
      <c r="B1230" s="114"/>
      <c r="C1230" s="114"/>
      <c r="D1230" s="114"/>
      <c r="E1230" s="114"/>
    </row>
    <row r="1231" spans="1:5" x14ac:dyDescent="0.25">
      <c r="A1231" s="113"/>
      <c r="B1231" s="114"/>
      <c r="C1231" s="114"/>
      <c r="D1231" s="114"/>
      <c r="E1231" s="114"/>
    </row>
    <row r="1232" spans="1:5" x14ac:dyDescent="0.25">
      <c r="A1232" s="113"/>
      <c r="B1232" s="114"/>
      <c r="C1232" s="114"/>
      <c r="D1232" s="114"/>
      <c r="E1232" s="114"/>
    </row>
    <row r="1233" spans="1:5" x14ac:dyDescent="0.25">
      <c r="A1233" s="113"/>
      <c r="B1233" s="114"/>
      <c r="C1233" s="114"/>
      <c r="D1233" s="114"/>
      <c r="E1233" s="114"/>
    </row>
    <row r="1234" spans="1:5" x14ac:dyDescent="0.25">
      <c r="A1234" s="113"/>
      <c r="B1234" s="114"/>
      <c r="C1234" s="114"/>
      <c r="D1234" s="114"/>
      <c r="E1234" s="114"/>
    </row>
    <row r="1235" spans="1:5" x14ac:dyDescent="0.25">
      <c r="A1235" s="113"/>
      <c r="B1235" s="114"/>
      <c r="C1235" s="114"/>
      <c r="D1235" s="114"/>
      <c r="E1235" s="114"/>
    </row>
    <row r="1236" spans="1:5" x14ac:dyDescent="0.25">
      <c r="A1236" s="113"/>
      <c r="B1236" s="114"/>
      <c r="C1236" s="114"/>
      <c r="D1236" s="114"/>
      <c r="E1236" s="114"/>
    </row>
    <row r="1237" spans="1:5" x14ac:dyDescent="0.25">
      <c r="A1237" s="113"/>
      <c r="B1237" s="114"/>
      <c r="C1237" s="114"/>
      <c r="D1237" s="114"/>
      <c r="E1237" s="114"/>
    </row>
    <row r="1238" spans="1:5" x14ac:dyDescent="0.25">
      <c r="A1238" s="113"/>
      <c r="B1238" s="114"/>
      <c r="C1238" s="114"/>
      <c r="D1238" s="114"/>
      <c r="E1238" s="114"/>
    </row>
    <row r="1239" spans="1:5" x14ac:dyDescent="0.25">
      <c r="A1239" s="113"/>
      <c r="B1239" s="114"/>
      <c r="C1239" s="114"/>
      <c r="D1239" s="114"/>
      <c r="E1239" s="114"/>
    </row>
    <row r="1240" spans="1:5" x14ac:dyDescent="0.25">
      <c r="A1240" s="113"/>
      <c r="B1240" s="114"/>
      <c r="C1240" s="114"/>
      <c r="D1240" s="114"/>
      <c r="E1240" s="114"/>
    </row>
    <row r="1241" spans="1:5" x14ac:dyDescent="0.25">
      <c r="A1241" s="113"/>
      <c r="B1241" s="114"/>
      <c r="C1241" s="114"/>
      <c r="D1241" s="114"/>
      <c r="E1241" s="114"/>
    </row>
    <row r="1242" spans="1:5" x14ac:dyDescent="0.25">
      <c r="A1242" s="113"/>
      <c r="B1242" s="114"/>
      <c r="C1242" s="114"/>
      <c r="D1242" s="114"/>
      <c r="E1242" s="114"/>
    </row>
    <row r="1243" spans="1:5" x14ac:dyDescent="0.25">
      <c r="A1243" s="113"/>
      <c r="B1243" s="114"/>
      <c r="C1243" s="114"/>
      <c r="D1243" s="114"/>
      <c r="E1243" s="114"/>
    </row>
    <row r="1244" spans="1:5" x14ac:dyDescent="0.25">
      <c r="A1244" s="113"/>
      <c r="B1244" s="114"/>
      <c r="C1244" s="114"/>
      <c r="D1244" s="114"/>
      <c r="E1244" s="114"/>
    </row>
    <row r="1245" spans="1:5" x14ac:dyDescent="0.25">
      <c r="A1245" s="113"/>
      <c r="B1245" s="114"/>
      <c r="C1245" s="114"/>
      <c r="D1245" s="114"/>
      <c r="E1245" s="114"/>
    </row>
    <row r="1246" spans="1:5" x14ac:dyDescent="0.25">
      <c r="A1246" s="113"/>
      <c r="B1246" s="114"/>
      <c r="C1246" s="114"/>
      <c r="D1246" s="114"/>
      <c r="E1246" s="114"/>
    </row>
    <row r="1247" spans="1:5" x14ac:dyDescent="0.25">
      <c r="A1247" s="113"/>
      <c r="B1247" s="114"/>
      <c r="C1247" s="114"/>
      <c r="D1247" s="114"/>
      <c r="E1247" s="114"/>
    </row>
    <row r="1248" spans="1:5" x14ac:dyDescent="0.25">
      <c r="A1248" s="113"/>
      <c r="B1248" s="114"/>
      <c r="C1248" s="114"/>
      <c r="D1248" s="114"/>
      <c r="E1248" s="114"/>
    </row>
    <row r="1249" spans="1:5" x14ac:dyDescent="0.25">
      <c r="A1249" s="113"/>
      <c r="B1249" s="114"/>
      <c r="C1249" s="114"/>
      <c r="D1249" s="114"/>
      <c r="E1249" s="114"/>
    </row>
    <row r="1250" spans="1:5" x14ac:dyDescent="0.25">
      <c r="A1250" s="113"/>
      <c r="B1250" s="114"/>
      <c r="C1250" s="114"/>
      <c r="D1250" s="114"/>
      <c r="E1250" s="114"/>
    </row>
    <row r="1251" spans="1:5" x14ac:dyDescent="0.25">
      <c r="A1251" s="113"/>
      <c r="B1251" s="114"/>
      <c r="C1251" s="114"/>
      <c r="D1251" s="114"/>
      <c r="E1251" s="114"/>
    </row>
    <row r="1252" spans="1:5" x14ac:dyDescent="0.25">
      <c r="A1252" s="113"/>
      <c r="B1252" s="114"/>
      <c r="C1252" s="114"/>
      <c r="D1252" s="114"/>
      <c r="E1252" s="114"/>
    </row>
    <row r="1253" spans="1:5" x14ac:dyDescent="0.25">
      <c r="A1253" s="113"/>
      <c r="B1253" s="114"/>
      <c r="C1253" s="114"/>
      <c r="D1253" s="114"/>
      <c r="E1253" s="114"/>
    </row>
    <row r="1254" spans="1:5" x14ac:dyDescent="0.25">
      <c r="A1254" s="113"/>
      <c r="B1254" s="114"/>
      <c r="C1254" s="114"/>
      <c r="D1254" s="114"/>
      <c r="E1254" s="114"/>
    </row>
    <row r="1255" spans="1:5" x14ac:dyDescent="0.25">
      <c r="A1255" s="113"/>
      <c r="B1255" s="114"/>
      <c r="C1255" s="114"/>
      <c r="D1255" s="114"/>
      <c r="E1255" s="114"/>
    </row>
    <row r="1256" spans="1:5" x14ac:dyDescent="0.25">
      <c r="A1256" s="113"/>
      <c r="B1256" s="114"/>
      <c r="C1256" s="114"/>
      <c r="D1256" s="114"/>
      <c r="E1256" s="114"/>
    </row>
    <row r="1257" spans="1:5" x14ac:dyDescent="0.25">
      <c r="A1257" s="113"/>
      <c r="B1257" s="114"/>
      <c r="C1257" s="114"/>
      <c r="D1257" s="114"/>
      <c r="E1257" s="114"/>
    </row>
    <row r="1258" spans="1:5" x14ac:dyDescent="0.25">
      <c r="A1258" s="113"/>
      <c r="B1258" s="114"/>
      <c r="C1258" s="114"/>
      <c r="D1258" s="114"/>
      <c r="E1258" s="114"/>
    </row>
    <row r="1259" spans="1:5" x14ac:dyDescent="0.25">
      <c r="A1259" s="113"/>
      <c r="B1259" s="114"/>
      <c r="C1259" s="114"/>
      <c r="D1259" s="114"/>
      <c r="E1259" s="114"/>
    </row>
    <row r="1260" spans="1:5" x14ac:dyDescent="0.25">
      <c r="A1260" s="113"/>
      <c r="B1260" s="114"/>
      <c r="C1260" s="114"/>
      <c r="D1260" s="114"/>
      <c r="E1260" s="114"/>
    </row>
    <row r="1261" spans="1:5" x14ac:dyDescent="0.25">
      <c r="A1261" s="113"/>
      <c r="B1261" s="114"/>
      <c r="C1261" s="114"/>
      <c r="D1261" s="114"/>
      <c r="E1261" s="114"/>
    </row>
    <row r="1262" spans="1:5" x14ac:dyDescent="0.25">
      <c r="A1262" s="113"/>
      <c r="B1262" s="114"/>
      <c r="C1262" s="114"/>
      <c r="D1262" s="114"/>
      <c r="E1262" s="114"/>
    </row>
    <row r="1263" spans="1:5" x14ac:dyDescent="0.25">
      <c r="A1263" s="113"/>
      <c r="B1263" s="114"/>
      <c r="C1263" s="114"/>
      <c r="D1263" s="114"/>
      <c r="E1263" s="114"/>
    </row>
    <row r="1264" spans="1:5" x14ac:dyDescent="0.25">
      <c r="A1264" s="113"/>
      <c r="B1264" s="114"/>
      <c r="C1264" s="114"/>
      <c r="D1264" s="114"/>
      <c r="E1264" s="114"/>
    </row>
    <row r="1265" spans="1:5" x14ac:dyDescent="0.25">
      <c r="A1265" s="113"/>
      <c r="B1265" s="114"/>
      <c r="C1265" s="114"/>
      <c r="D1265" s="114"/>
      <c r="E1265" s="114"/>
    </row>
    <row r="1266" spans="1:5" x14ac:dyDescent="0.25">
      <c r="A1266" s="113"/>
      <c r="B1266" s="114"/>
      <c r="C1266" s="114"/>
      <c r="D1266" s="114"/>
      <c r="E1266" s="114"/>
    </row>
    <row r="1267" spans="1:5" x14ac:dyDescent="0.25">
      <c r="A1267" s="113"/>
      <c r="B1267" s="114"/>
      <c r="C1267" s="114"/>
      <c r="D1267" s="114"/>
      <c r="E1267" s="114"/>
    </row>
    <row r="1268" spans="1:5" x14ac:dyDescent="0.25">
      <c r="A1268" s="113"/>
      <c r="B1268" s="114"/>
      <c r="C1268" s="114"/>
      <c r="D1268" s="114"/>
      <c r="E1268" s="114"/>
    </row>
    <row r="1269" spans="1:5" x14ac:dyDescent="0.25">
      <c r="A1269" s="113"/>
      <c r="B1269" s="114"/>
      <c r="C1269" s="114"/>
      <c r="D1269" s="114"/>
      <c r="E1269" s="114"/>
    </row>
    <row r="1270" spans="1:5" x14ac:dyDescent="0.25">
      <c r="A1270" s="113"/>
      <c r="B1270" s="114"/>
      <c r="C1270" s="114"/>
      <c r="D1270" s="114"/>
      <c r="E1270" s="114"/>
    </row>
    <row r="1271" spans="1:5" x14ac:dyDescent="0.25">
      <c r="A1271" s="113"/>
      <c r="B1271" s="114"/>
      <c r="C1271" s="114"/>
      <c r="D1271" s="114"/>
      <c r="E1271" s="114"/>
    </row>
    <row r="1272" spans="1:5" x14ac:dyDescent="0.25">
      <c r="A1272" s="113"/>
      <c r="B1272" s="114"/>
      <c r="C1272" s="114"/>
      <c r="D1272" s="114"/>
      <c r="E1272" s="114"/>
    </row>
    <row r="1273" spans="1:5" x14ac:dyDescent="0.25">
      <c r="A1273" s="113"/>
      <c r="B1273" s="114"/>
      <c r="C1273" s="114"/>
      <c r="D1273" s="114"/>
      <c r="E1273" s="114"/>
    </row>
    <row r="1274" spans="1:5" x14ac:dyDescent="0.25">
      <c r="A1274" s="113"/>
      <c r="B1274" s="114"/>
      <c r="C1274" s="114"/>
      <c r="D1274" s="114"/>
      <c r="E1274" s="114"/>
    </row>
    <row r="1275" spans="1:5" x14ac:dyDescent="0.25">
      <c r="A1275" s="113"/>
      <c r="B1275" s="114"/>
      <c r="C1275" s="114"/>
      <c r="D1275" s="114"/>
      <c r="E1275" s="114"/>
    </row>
    <row r="1276" spans="1:5" x14ac:dyDescent="0.25">
      <c r="A1276" s="113"/>
      <c r="B1276" s="114"/>
      <c r="C1276" s="114"/>
      <c r="D1276" s="114"/>
      <c r="E1276" s="114"/>
    </row>
    <row r="1277" spans="1:5" x14ac:dyDescent="0.25">
      <c r="A1277" s="113"/>
      <c r="B1277" s="114"/>
      <c r="C1277" s="114"/>
      <c r="D1277" s="114"/>
      <c r="E1277" s="114"/>
    </row>
    <row r="1278" spans="1:5" x14ac:dyDescent="0.25">
      <c r="A1278" s="113"/>
      <c r="B1278" s="114"/>
      <c r="C1278" s="114"/>
      <c r="D1278" s="114"/>
      <c r="E1278" s="114"/>
    </row>
    <row r="1279" spans="1:5" x14ac:dyDescent="0.25">
      <c r="A1279" s="113"/>
      <c r="B1279" s="114"/>
      <c r="C1279" s="114"/>
      <c r="D1279" s="114"/>
      <c r="E1279" s="114"/>
    </row>
    <row r="1280" spans="1:5" x14ac:dyDescent="0.25">
      <c r="A1280" s="113"/>
      <c r="B1280" s="114"/>
      <c r="C1280" s="114"/>
      <c r="D1280" s="114"/>
      <c r="E1280" s="114"/>
    </row>
    <row r="1281" spans="1:5" x14ac:dyDescent="0.25">
      <c r="A1281" s="113"/>
      <c r="B1281" s="114"/>
      <c r="C1281" s="114"/>
      <c r="D1281" s="114"/>
      <c r="E1281" s="114"/>
    </row>
    <row r="1282" spans="1:5" x14ac:dyDescent="0.25">
      <c r="A1282" s="113"/>
      <c r="B1282" s="114"/>
      <c r="C1282" s="114"/>
      <c r="D1282" s="114"/>
      <c r="E1282" s="114"/>
    </row>
    <row r="1283" spans="1:5" x14ac:dyDescent="0.25">
      <c r="A1283" s="113"/>
      <c r="B1283" s="114"/>
      <c r="C1283" s="114"/>
      <c r="D1283" s="114"/>
      <c r="E1283" s="114"/>
    </row>
    <row r="1284" spans="1:5" x14ac:dyDescent="0.25">
      <c r="A1284" s="113"/>
      <c r="B1284" s="114"/>
      <c r="C1284" s="114"/>
      <c r="D1284" s="114"/>
      <c r="E1284" s="114"/>
    </row>
    <row r="1285" spans="1:5" x14ac:dyDescent="0.25">
      <c r="A1285" s="113"/>
      <c r="B1285" s="114"/>
      <c r="C1285" s="114"/>
      <c r="D1285" s="114"/>
      <c r="E1285" s="114"/>
    </row>
    <row r="1286" spans="1:5" x14ac:dyDescent="0.25">
      <c r="A1286" s="113"/>
      <c r="B1286" s="114"/>
      <c r="C1286" s="114"/>
      <c r="D1286" s="114"/>
      <c r="E1286" s="114"/>
    </row>
    <row r="1287" spans="1:5" x14ac:dyDescent="0.25">
      <c r="A1287" s="113"/>
      <c r="B1287" s="114"/>
      <c r="C1287" s="114"/>
      <c r="D1287" s="114"/>
      <c r="E1287" s="114"/>
    </row>
    <row r="1288" spans="1:5" x14ac:dyDescent="0.25">
      <c r="A1288" s="113"/>
      <c r="B1288" s="114"/>
      <c r="C1288" s="114"/>
      <c r="D1288" s="114"/>
      <c r="E1288" s="114"/>
    </row>
    <row r="1289" spans="1:5" x14ac:dyDescent="0.25">
      <c r="A1289" s="113"/>
      <c r="B1289" s="114"/>
      <c r="C1289" s="114"/>
      <c r="D1289" s="114"/>
      <c r="E1289" s="114"/>
    </row>
    <row r="1290" spans="1:5" x14ac:dyDescent="0.25">
      <c r="A1290" s="113"/>
      <c r="B1290" s="114"/>
      <c r="C1290" s="114"/>
      <c r="D1290" s="114"/>
      <c r="E1290" s="114"/>
    </row>
    <row r="1291" spans="1:5" x14ac:dyDescent="0.25">
      <c r="A1291" s="113"/>
      <c r="B1291" s="114"/>
      <c r="C1291" s="114"/>
      <c r="D1291" s="114"/>
      <c r="E1291" s="114"/>
    </row>
    <row r="1292" spans="1:5" x14ac:dyDescent="0.25">
      <c r="A1292" s="113"/>
      <c r="B1292" s="114"/>
      <c r="C1292" s="114"/>
      <c r="D1292" s="114"/>
      <c r="E1292" s="114"/>
    </row>
    <row r="1293" spans="1:5" x14ac:dyDescent="0.25">
      <c r="A1293" s="113"/>
      <c r="B1293" s="114"/>
      <c r="C1293" s="114"/>
      <c r="D1293" s="114"/>
      <c r="E1293" s="114"/>
    </row>
    <row r="1294" spans="1:5" x14ac:dyDescent="0.25">
      <c r="A1294" s="113"/>
      <c r="B1294" s="114"/>
      <c r="C1294" s="114"/>
      <c r="D1294" s="114"/>
      <c r="E1294" s="114"/>
    </row>
    <row r="1295" spans="1:5" x14ac:dyDescent="0.25">
      <c r="A1295" s="113"/>
      <c r="B1295" s="114"/>
      <c r="C1295" s="114"/>
      <c r="D1295" s="114"/>
      <c r="E1295" s="114"/>
    </row>
    <row r="1296" spans="1:5" x14ac:dyDescent="0.25">
      <c r="A1296" s="113"/>
      <c r="B1296" s="114"/>
      <c r="C1296" s="114"/>
      <c r="D1296" s="114"/>
      <c r="E1296" s="114"/>
    </row>
    <row r="1297" spans="1:5" x14ac:dyDescent="0.25">
      <c r="A1297" s="113"/>
      <c r="B1297" s="114"/>
      <c r="C1297" s="114"/>
      <c r="D1297" s="114"/>
      <c r="E1297" s="114"/>
    </row>
    <row r="1298" spans="1:5" x14ac:dyDescent="0.25">
      <c r="A1298" s="113"/>
      <c r="B1298" s="114"/>
      <c r="C1298" s="114"/>
      <c r="D1298" s="114"/>
      <c r="E1298" s="114"/>
    </row>
    <row r="1299" spans="1:5" x14ac:dyDescent="0.25">
      <c r="A1299" s="113"/>
      <c r="B1299" s="114"/>
      <c r="C1299" s="114"/>
      <c r="D1299" s="114"/>
      <c r="E1299" s="114"/>
    </row>
    <row r="1300" spans="1:5" x14ac:dyDescent="0.25">
      <c r="A1300" s="113"/>
      <c r="B1300" s="114"/>
      <c r="C1300" s="114"/>
      <c r="D1300" s="114"/>
      <c r="E1300" s="114"/>
    </row>
    <row r="1301" spans="1:5" x14ac:dyDescent="0.25">
      <c r="A1301" s="113"/>
      <c r="B1301" s="114"/>
      <c r="C1301" s="114"/>
      <c r="D1301" s="114"/>
      <c r="E1301" s="114"/>
    </row>
    <row r="1302" spans="1:5" x14ac:dyDescent="0.25">
      <c r="A1302" s="113"/>
      <c r="B1302" s="114"/>
      <c r="C1302" s="114"/>
      <c r="D1302" s="114"/>
      <c r="E1302" s="114"/>
    </row>
    <row r="1303" spans="1:5" x14ac:dyDescent="0.25">
      <c r="A1303" s="113"/>
      <c r="B1303" s="114"/>
      <c r="C1303" s="114"/>
      <c r="D1303" s="114"/>
      <c r="E1303" s="114"/>
    </row>
    <row r="1304" spans="1:5" x14ac:dyDescent="0.25">
      <c r="A1304" s="113"/>
      <c r="B1304" s="114"/>
      <c r="C1304" s="114"/>
      <c r="D1304" s="114"/>
      <c r="E1304" s="114"/>
    </row>
    <row r="1305" spans="1:5" x14ac:dyDescent="0.25">
      <c r="A1305" s="113"/>
      <c r="B1305" s="114"/>
      <c r="C1305" s="114"/>
      <c r="D1305" s="114"/>
      <c r="E1305" s="114"/>
    </row>
    <row r="1306" spans="1:5" x14ac:dyDescent="0.25">
      <c r="A1306" s="113"/>
      <c r="B1306" s="114"/>
      <c r="C1306" s="114"/>
      <c r="D1306" s="114"/>
      <c r="E1306" s="114"/>
    </row>
    <row r="1307" spans="1:5" x14ac:dyDescent="0.25">
      <c r="A1307" s="113"/>
      <c r="B1307" s="114"/>
      <c r="C1307" s="114"/>
      <c r="D1307" s="114"/>
      <c r="E1307" s="114"/>
    </row>
    <row r="1308" spans="1:5" x14ac:dyDescent="0.25">
      <c r="A1308" s="113"/>
      <c r="B1308" s="114"/>
      <c r="C1308" s="114"/>
      <c r="D1308" s="114"/>
      <c r="E1308" s="114"/>
    </row>
    <row r="1309" spans="1:5" x14ac:dyDescent="0.25">
      <c r="A1309" s="113"/>
      <c r="B1309" s="114"/>
      <c r="C1309" s="114"/>
      <c r="D1309" s="114"/>
      <c r="E1309" s="114"/>
    </row>
    <row r="1310" spans="1:5" x14ac:dyDescent="0.25">
      <c r="A1310" s="113"/>
      <c r="B1310" s="114"/>
      <c r="C1310" s="114"/>
      <c r="D1310" s="114"/>
      <c r="E1310" s="114"/>
    </row>
    <row r="1311" spans="1:5" x14ac:dyDescent="0.25">
      <c r="A1311" s="113"/>
      <c r="B1311" s="114"/>
      <c r="C1311" s="114"/>
      <c r="D1311" s="114"/>
      <c r="E1311" s="114"/>
    </row>
    <row r="1312" spans="1:5" x14ac:dyDescent="0.25">
      <c r="A1312" s="113"/>
      <c r="B1312" s="114"/>
      <c r="C1312" s="114"/>
      <c r="D1312" s="114"/>
      <c r="E1312" s="114"/>
    </row>
    <row r="1313" spans="1:5" x14ac:dyDescent="0.25">
      <c r="A1313" s="113"/>
      <c r="B1313" s="114"/>
      <c r="C1313" s="114"/>
      <c r="D1313" s="114"/>
      <c r="E1313" s="114"/>
    </row>
    <row r="1314" spans="1:5" x14ac:dyDescent="0.25">
      <c r="A1314" s="113"/>
      <c r="B1314" s="114"/>
      <c r="C1314" s="114"/>
      <c r="D1314" s="114"/>
      <c r="E1314" s="114"/>
    </row>
    <row r="1315" spans="1:5" x14ac:dyDescent="0.25">
      <c r="A1315" s="113"/>
      <c r="B1315" s="114"/>
      <c r="C1315" s="114"/>
      <c r="D1315" s="114"/>
      <c r="E1315" s="114"/>
    </row>
    <row r="1316" spans="1:5" x14ac:dyDescent="0.25">
      <c r="A1316" s="113"/>
      <c r="B1316" s="114"/>
      <c r="C1316" s="114"/>
      <c r="D1316" s="114"/>
      <c r="E1316" s="114"/>
    </row>
    <row r="1317" spans="1:5" x14ac:dyDescent="0.25">
      <c r="A1317" s="113"/>
      <c r="B1317" s="114"/>
      <c r="C1317" s="114"/>
      <c r="D1317" s="114"/>
      <c r="E1317" s="114"/>
    </row>
    <row r="1318" spans="1:5" x14ac:dyDescent="0.25">
      <c r="A1318" s="113"/>
      <c r="B1318" s="114"/>
      <c r="C1318" s="114"/>
      <c r="D1318" s="114"/>
      <c r="E1318" s="114"/>
    </row>
    <row r="1319" spans="1:5" x14ac:dyDescent="0.25">
      <c r="A1319" s="113"/>
      <c r="B1319" s="114"/>
      <c r="C1319" s="114"/>
      <c r="D1319" s="114"/>
      <c r="E1319" s="114"/>
    </row>
    <row r="1320" spans="1:5" x14ac:dyDescent="0.25">
      <c r="A1320" s="113"/>
      <c r="B1320" s="114"/>
      <c r="C1320" s="114"/>
      <c r="D1320" s="114"/>
      <c r="E1320" s="114"/>
    </row>
    <row r="1321" spans="1:5" x14ac:dyDescent="0.25">
      <c r="A1321" s="113"/>
      <c r="B1321" s="114"/>
      <c r="C1321" s="114"/>
      <c r="D1321" s="114"/>
      <c r="E1321" s="114"/>
    </row>
    <row r="1322" spans="1:5" x14ac:dyDescent="0.25">
      <c r="A1322" s="113"/>
      <c r="B1322" s="114"/>
      <c r="C1322" s="114"/>
      <c r="D1322" s="114"/>
      <c r="E1322" s="114"/>
    </row>
    <row r="1323" spans="1:5" x14ac:dyDescent="0.25">
      <c r="A1323" s="113"/>
      <c r="B1323" s="114"/>
      <c r="C1323" s="114"/>
      <c r="D1323" s="114"/>
      <c r="E1323" s="114"/>
    </row>
    <row r="1324" spans="1:5" x14ac:dyDescent="0.25">
      <c r="A1324" s="113"/>
      <c r="B1324" s="114"/>
      <c r="C1324" s="114"/>
      <c r="D1324" s="114"/>
      <c r="E1324" s="114"/>
    </row>
    <row r="1325" spans="1:5" x14ac:dyDescent="0.25">
      <c r="A1325" s="113"/>
      <c r="B1325" s="114"/>
      <c r="C1325" s="114"/>
      <c r="D1325" s="114"/>
      <c r="E1325" s="114"/>
    </row>
    <row r="1326" spans="1:5" x14ac:dyDescent="0.25">
      <c r="A1326" s="113"/>
      <c r="B1326" s="114"/>
      <c r="C1326" s="114"/>
      <c r="D1326" s="114"/>
      <c r="E1326" s="114"/>
    </row>
    <row r="1327" spans="1:5" x14ac:dyDescent="0.25">
      <c r="A1327" s="113"/>
      <c r="B1327" s="114"/>
      <c r="C1327" s="114"/>
      <c r="D1327" s="114"/>
      <c r="E1327" s="114"/>
    </row>
    <row r="1328" spans="1:5" x14ac:dyDescent="0.25">
      <c r="A1328" s="113"/>
      <c r="B1328" s="114"/>
      <c r="C1328" s="114"/>
      <c r="D1328" s="114"/>
      <c r="E1328" s="114"/>
    </row>
    <row r="1329" spans="1:5" x14ac:dyDescent="0.25">
      <c r="A1329" s="113"/>
      <c r="B1329" s="114"/>
      <c r="C1329" s="114"/>
      <c r="D1329" s="114"/>
      <c r="E1329" s="114"/>
    </row>
    <row r="1330" spans="1:5" x14ac:dyDescent="0.25">
      <c r="A1330" s="113"/>
      <c r="B1330" s="114"/>
      <c r="C1330" s="114"/>
      <c r="D1330" s="114"/>
      <c r="E1330" s="114"/>
    </row>
    <row r="1331" spans="1:5" x14ac:dyDescent="0.25">
      <c r="A1331" s="113"/>
      <c r="B1331" s="114"/>
      <c r="C1331" s="114"/>
      <c r="D1331" s="114"/>
      <c r="E1331" s="114"/>
    </row>
    <row r="1332" spans="1:5" x14ac:dyDescent="0.25">
      <c r="A1332" s="113"/>
      <c r="B1332" s="114"/>
      <c r="C1332" s="114"/>
      <c r="D1332" s="114"/>
      <c r="E1332" s="114"/>
    </row>
    <row r="1333" spans="1:5" x14ac:dyDescent="0.25">
      <c r="A1333" s="113"/>
      <c r="B1333" s="114"/>
      <c r="C1333" s="114"/>
      <c r="D1333" s="114"/>
      <c r="E1333" s="114"/>
    </row>
    <row r="1334" spans="1:5" x14ac:dyDescent="0.25">
      <c r="A1334" s="113"/>
      <c r="B1334" s="114"/>
      <c r="C1334" s="114"/>
      <c r="D1334" s="114"/>
      <c r="E1334" s="114"/>
    </row>
    <row r="1335" spans="1:5" x14ac:dyDescent="0.25">
      <c r="A1335" s="113"/>
      <c r="B1335" s="114"/>
      <c r="C1335" s="114"/>
      <c r="D1335" s="114"/>
      <c r="E1335" s="114"/>
    </row>
    <row r="1336" spans="1:5" x14ac:dyDescent="0.25">
      <c r="A1336" s="113"/>
      <c r="B1336" s="114"/>
      <c r="C1336" s="114"/>
      <c r="D1336" s="114"/>
      <c r="E1336" s="114"/>
    </row>
    <row r="1337" spans="1:5" x14ac:dyDescent="0.25">
      <c r="A1337" s="113"/>
      <c r="B1337" s="114"/>
      <c r="C1337" s="114"/>
      <c r="D1337" s="114"/>
      <c r="E1337" s="114"/>
    </row>
    <row r="1338" spans="1:5" x14ac:dyDescent="0.25">
      <c r="A1338" s="113"/>
      <c r="B1338" s="114"/>
      <c r="C1338" s="114"/>
      <c r="D1338" s="114"/>
      <c r="E1338" s="114"/>
    </row>
    <row r="1339" spans="1:5" x14ac:dyDescent="0.25">
      <c r="A1339" s="113"/>
      <c r="B1339" s="114"/>
      <c r="C1339" s="114"/>
      <c r="D1339" s="114"/>
      <c r="E1339" s="114"/>
    </row>
    <row r="1340" spans="1:5" x14ac:dyDescent="0.25">
      <c r="A1340" s="113"/>
      <c r="B1340" s="114"/>
      <c r="C1340" s="114"/>
      <c r="D1340" s="114"/>
      <c r="E1340" s="114"/>
    </row>
    <row r="1341" spans="1:5" x14ac:dyDescent="0.25">
      <c r="A1341" s="113"/>
      <c r="B1341" s="114"/>
      <c r="C1341" s="114"/>
      <c r="D1341" s="114"/>
      <c r="E1341" s="114"/>
    </row>
    <row r="1342" spans="1:5" x14ac:dyDescent="0.25">
      <c r="A1342" s="113"/>
      <c r="B1342" s="114"/>
      <c r="C1342" s="114"/>
      <c r="D1342" s="114"/>
      <c r="E1342" s="114"/>
    </row>
    <row r="1343" spans="1:5" x14ac:dyDescent="0.25">
      <c r="A1343" s="113"/>
      <c r="B1343" s="114"/>
      <c r="C1343" s="114"/>
      <c r="D1343" s="114"/>
      <c r="E1343" s="114"/>
    </row>
    <row r="1344" spans="1:5" x14ac:dyDescent="0.25">
      <c r="A1344" s="113"/>
      <c r="B1344" s="114"/>
      <c r="C1344" s="114"/>
      <c r="D1344" s="114"/>
      <c r="E1344" s="114"/>
    </row>
    <row r="1345" spans="1:5" x14ac:dyDescent="0.25">
      <c r="A1345" s="113"/>
      <c r="B1345" s="114"/>
      <c r="C1345" s="114"/>
      <c r="D1345" s="114"/>
      <c r="E1345" s="114"/>
    </row>
    <row r="1346" spans="1:5" x14ac:dyDescent="0.25">
      <c r="A1346" s="113"/>
      <c r="B1346" s="114"/>
      <c r="C1346" s="114"/>
      <c r="D1346" s="114"/>
      <c r="E1346" s="114"/>
    </row>
    <row r="1347" spans="1:5" x14ac:dyDescent="0.25">
      <c r="A1347" s="113"/>
      <c r="B1347" s="114"/>
      <c r="C1347" s="114"/>
      <c r="D1347" s="114"/>
      <c r="E1347" s="114"/>
    </row>
    <row r="1348" spans="1:5" x14ac:dyDescent="0.25">
      <c r="A1348" s="113"/>
      <c r="B1348" s="114"/>
      <c r="C1348" s="114"/>
      <c r="D1348" s="114"/>
      <c r="E1348" s="114"/>
    </row>
    <row r="1349" spans="1:5" x14ac:dyDescent="0.25">
      <c r="A1349" s="113"/>
      <c r="B1349" s="114"/>
      <c r="C1349" s="114"/>
      <c r="D1349" s="114"/>
      <c r="E1349" s="114"/>
    </row>
    <row r="1350" spans="1:5" x14ac:dyDescent="0.25">
      <c r="A1350" s="113"/>
      <c r="B1350" s="114"/>
      <c r="C1350" s="114"/>
      <c r="D1350" s="114"/>
      <c r="E1350" s="114"/>
    </row>
    <row r="1351" spans="1:5" x14ac:dyDescent="0.25">
      <c r="A1351" s="113"/>
      <c r="B1351" s="114"/>
      <c r="C1351" s="114"/>
      <c r="D1351" s="114"/>
      <c r="E1351" s="114"/>
    </row>
    <row r="1352" spans="1:5" x14ac:dyDescent="0.25">
      <c r="A1352" s="113"/>
      <c r="B1352" s="114"/>
      <c r="C1352" s="114"/>
      <c r="D1352" s="114"/>
      <c r="E1352" s="114"/>
    </row>
    <row r="1353" spans="1:5" x14ac:dyDescent="0.25">
      <c r="A1353" s="113"/>
      <c r="B1353" s="114"/>
      <c r="C1353" s="114"/>
      <c r="D1353" s="114"/>
      <c r="E1353" s="114"/>
    </row>
    <row r="1354" spans="1:5" x14ac:dyDescent="0.25">
      <c r="A1354" s="113"/>
      <c r="B1354" s="114"/>
      <c r="C1354" s="114"/>
      <c r="D1354" s="114"/>
      <c r="E1354" s="114"/>
    </row>
    <row r="1355" spans="1:5" x14ac:dyDescent="0.25">
      <c r="A1355" s="113"/>
      <c r="B1355" s="114"/>
      <c r="C1355" s="114"/>
      <c r="D1355" s="114"/>
      <c r="E1355" s="114"/>
    </row>
    <row r="1356" spans="1:5" x14ac:dyDescent="0.25">
      <c r="A1356" s="113"/>
      <c r="B1356" s="114"/>
      <c r="C1356" s="114"/>
      <c r="D1356" s="114"/>
      <c r="E1356" s="114"/>
    </row>
    <row r="1357" spans="1:5" x14ac:dyDescent="0.25">
      <c r="A1357" s="113"/>
      <c r="B1357" s="114"/>
      <c r="C1357" s="114"/>
      <c r="D1357" s="114"/>
      <c r="E1357" s="114"/>
    </row>
    <row r="1358" spans="1:5" x14ac:dyDescent="0.25">
      <c r="A1358" s="113"/>
      <c r="B1358" s="114"/>
      <c r="C1358" s="114"/>
      <c r="D1358" s="114"/>
      <c r="E1358" s="114"/>
    </row>
    <row r="1359" spans="1:5" x14ac:dyDescent="0.25">
      <c r="A1359" s="113"/>
      <c r="B1359" s="114"/>
      <c r="C1359" s="114"/>
      <c r="D1359" s="114"/>
      <c r="E1359" s="114"/>
    </row>
    <row r="1360" spans="1:5" x14ac:dyDescent="0.25">
      <c r="A1360" s="113"/>
      <c r="B1360" s="114"/>
      <c r="C1360" s="114"/>
      <c r="D1360" s="114"/>
      <c r="E1360" s="114"/>
    </row>
    <row r="1361" spans="1:5" x14ac:dyDescent="0.25">
      <c r="A1361" s="113"/>
      <c r="B1361" s="114"/>
      <c r="C1361" s="114"/>
      <c r="D1361" s="114"/>
      <c r="E1361" s="114"/>
    </row>
    <row r="1362" spans="1:5" x14ac:dyDescent="0.25">
      <c r="A1362" s="113"/>
      <c r="B1362" s="114"/>
      <c r="C1362" s="114"/>
      <c r="D1362" s="114"/>
      <c r="E1362" s="114"/>
    </row>
    <row r="1363" spans="1:5" x14ac:dyDescent="0.25">
      <c r="A1363" s="113"/>
      <c r="B1363" s="114"/>
      <c r="C1363" s="114"/>
      <c r="D1363" s="114"/>
      <c r="E1363" s="114"/>
    </row>
    <row r="1364" spans="1:5" x14ac:dyDescent="0.25">
      <c r="A1364" s="113"/>
      <c r="B1364" s="114"/>
      <c r="C1364" s="114"/>
      <c r="D1364" s="114"/>
      <c r="E1364" s="114"/>
    </row>
    <row r="1365" spans="1:5" x14ac:dyDescent="0.25">
      <c r="A1365" s="113"/>
      <c r="B1365" s="114"/>
      <c r="C1365" s="114"/>
      <c r="D1365" s="114"/>
      <c r="E1365" s="114"/>
    </row>
    <row r="1366" spans="1:5" x14ac:dyDescent="0.25">
      <c r="A1366" s="113"/>
      <c r="B1366" s="114"/>
      <c r="C1366" s="114"/>
      <c r="D1366" s="114"/>
      <c r="E1366" s="114"/>
    </row>
    <row r="1367" spans="1:5" x14ac:dyDescent="0.25">
      <c r="A1367" s="113"/>
      <c r="B1367" s="114"/>
      <c r="C1367" s="114"/>
      <c r="D1367" s="114"/>
      <c r="E1367" s="114"/>
    </row>
    <row r="1368" spans="1:5" x14ac:dyDescent="0.25">
      <c r="A1368" s="113"/>
      <c r="B1368" s="114"/>
      <c r="C1368" s="114"/>
      <c r="D1368" s="114"/>
      <c r="E1368" s="114"/>
    </row>
    <row r="1369" spans="1:5" x14ac:dyDescent="0.25">
      <c r="A1369" s="113"/>
      <c r="B1369" s="114"/>
      <c r="C1369" s="114"/>
      <c r="D1369" s="114"/>
      <c r="E1369" s="114"/>
    </row>
    <row r="1370" spans="1:5" x14ac:dyDescent="0.25">
      <c r="A1370" s="113"/>
      <c r="B1370" s="114"/>
      <c r="C1370" s="114"/>
      <c r="D1370" s="114"/>
      <c r="E1370" s="114"/>
    </row>
    <row r="1371" spans="1:5" x14ac:dyDescent="0.25">
      <c r="A1371" s="113"/>
      <c r="B1371" s="114"/>
      <c r="C1371" s="114"/>
      <c r="D1371" s="114"/>
      <c r="E1371" s="114"/>
    </row>
    <row r="1372" spans="1:5" x14ac:dyDescent="0.25">
      <c r="A1372" s="113"/>
      <c r="B1372" s="114"/>
      <c r="C1372" s="114"/>
      <c r="D1372" s="114"/>
      <c r="E1372" s="114"/>
    </row>
    <row r="1373" spans="1:5" x14ac:dyDescent="0.25">
      <c r="A1373" s="113"/>
      <c r="B1373" s="114"/>
      <c r="C1373" s="114"/>
      <c r="D1373" s="114"/>
      <c r="E1373" s="114"/>
    </row>
    <row r="1374" spans="1:5" x14ac:dyDescent="0.25">
      <c r="A1374" s="113"/>
      <c r="B1374" s="114"/>
      <c r="C1374" s="114"/>
      <c r="D1374" s="114"/>
      <c r="E1374" s="114"/>
    </row>
    <row r="1375" spans="1:5" x14ac:dyDescent="0.25">
      <c r="A1375" s="113"/>
      <c r="B1375" s="114"/>
      <c r="C1375" s="114"/>
      <c r="D1375" s="114"/>
      <c r="E1375" s="114"/>
    </row>
    <row r="1376" spans="1:5" x14ac:dyDescent="0.25">
      <c r="A1376" s="113"/>
      <c r="B1376" s="114"/>
      <c r="C1376" s="114"/>
      <c r="D1376" s="114"/>
      <c r="E1376" s="114"/>
    </row>
    <row r="1377" spans="1:5" x14ac:dyDescent="0.25">
      <c r="A1377" s="113"/>
      <c r="B1377" s="114"/>
      <c r="C1377" s="114"/>
      <c r="D1377" s="114"/>
      <c r="E1377" s="114"/>
    </row>
    <row r="1378" spans="1:5" x14ac:dyDescent="0.25">
      <c r="A1378" s="113"/>
      <c r="B1378" s="114"/>
      <c r="C1378" s="114"/>
      <c r="D1378" s="114"/>
      <c r="E1378" s="114"/>
    </row>
    <row r="1379" spans="1:5" x14ac:dyDescent="0.25">
      <c r="A1379" s="113"/>
      <c r="B1379" s="114"/>
      <c r="C1379" s="114"/>
      <c r="D1379" s="114"/>
      <c r="E1379" s="114"/>
    </row>
    <row r="1380" spans="1:5" x14ac:dyDescent="0.25">
      <c r="A1380" s="113"/>
      <c r="B1380" s="114"/>
      <c r="C1380" s="114"/>
      <c r="D1380" s="114"/>
      <c r="E1380" s="114"/>
    </row>
    <row r="1381" spans="1:5" x14ac:dyDescent="0.25">
      <c r="A1381" s="113"/>
      <c r="B1381" s="114"/>
      <c r="C1381" s="114"/>
      <c r="D1381" s="114"/>
      <c r="E1381" s="114"/>
    </row>
    <row r="1382" spans="1:5" x14ac:dyDescent="0.25">
      <c r="A1382" s="113"/>
      <c r="B1382" s="114"/>
      <c r="C1382" s="114"/>
      <c r="D1382" s="114"/>
      <c r="E1382" s="114"/>
    </row>
    <row r="1383" spans="1:5" x14ac:dyDescent="0.25">
      <c r="A1383" s="113"/>
      <c r="B1383" s="114"/>
      <c r="C1383" s="114"/>
      <c r="D1383" s="114"/>
      <c r="E1383" s="114"/>
    </row>
    <row r="1384" spans="1:5" x14ac:dyDescent="0.25">
      <c r="A1384" s="113"/>
      <c r="B1384" s="114"/>
      <c r="C1384" s="114"/>
      <c r="D1384" s="114"/>
      <c r="E1384" s="114"/>
    </row>
    <row r="1385" spans="1:5" x14ac:dyDescent="0.25">
      <c r="A1385" s="113"/>
      <c r="B1385" s="114"/>
      <c r="C1385" s="114"/>
      <c r="D1385" s="114"/>
      <c r="E1385" s="114"/>
    </row>
    <row r="1386" spans="1:5" x14ac:dyDescent="0.25">
      <c r="A1386" s="113"/>
      <c r="B1386" s="114"/>
      <c r="C1386" s="114"/>
      <c r="D1386" s="114"/>
      <c r="E1386" s="114"/>
    </row>
    <row r="1387" spans="1:5" x14ac:dyDescent="0.25">
      <c r="A1387" s="113"/>
      <c r="B1387" s="114"/>
      <c r="C1387" s="114"/>
      <c r="D1387" s="114"/>
      <c r="E1387" s="114"/>
    </row>
    <row r="1388" spans="1:5" x14ac:dyDescent="0.25">
      <c r="A1388" s="113"/>
      <c r="B1388" s="114"/>
      <c r="C1388" s="114"/>
      <c r="D1388" s="114"/>
      <c r="E1388" s="114"/>
    </row>
    <row r="1389" spans="1:5" x14ac:dyDescent="0.25">
      <c r="A1389" s="113"/>
      <c r="B1389" s="114"/>
      <c r="C1389" s="114"/>
      <c r="D1389" s="114"/>
      <c r="E1389" s="114"/>
    </row>
    <row r="1390" spans="1:5" x14ac:dyDescent="0.25">
      <c r="A1390" s="113"/>
      <c r="B1390" s="114"/>
      <c r="C1390" s="114"/>
      <c r="D1390" s="114"/>
      <c r="E1390" s="114"/>
    </row>
    <row r="1391" spans="1:5" x14ac:dyDescent="0.25">
      <c r="A1391" s="113"/>
      <c r="B1391" s="114"/>
      <c r="C1391" s="114"/>
      <c r="D1391" s="114"/>
      <c r="E1391" s="114"/>
    </row>
    <row r="1392" spans="1:5" x14ac:dyDescent="0.25">
      <c r="A1392" s="113"/>
      <c r="B1392" s="114"/>
      <c r="C1392" s="114"/>
      <c r="D1392" s="114"/>
      <c r="E1392" s="114"/>
    </row>
    <row r="1393" spans="1:5" x14ac:dyDescent="0.25">
      <c r="A1393" s="113"/>
      <c r="B1393" s="114"/>
      <c r="C1393" s="114"/>
      <c r="D1393" s="114"/>
      <c r="E1393" s="114"/>
    </row>
    <row r="1394" spans="1:5" x14ac:dyDescent="0.25">
      <c r="A1394" s="113"/>
      <c r="B1394" s="114"/>
      <c r="C1394" s="114"/>
      <c r="D1394" s="114"/>
      <c r="E1394" s="114"/>
    </row>
    <row r="1395" spans="1:5" x14ac:dyDescent="0.25">
      <c r="A1395" s="113"/>
      <c r="B1395" s="114"/>
      <c r="C1395" s="114"/>
      <c r="D1395" s="114"/>
      <c r="E1395" s="114"/>
    </row>
    <row r="1396" spans="1:5" x14ac:dyDescent="0.25">
      <c r="A1396" s="113"/>
      <c r="B1396" s="114"/>
      <c r="C1396" s="114"/>
      <c r="D1396" s="114"/>
      <c r="E1396" s="114"/>
    </row>
    <row r="1397" spans="1:5" x14ac:dyDescent="0.25">
      <c r="A1397" s="113"/>
      <c r="B1397" s="114"/>
      <c r="C1397" s="114"/>
      <c r="D1397" s="114"/>
      <c r="E1397" s="114"/>
    </row>
    <row r="1398" spans="1:5" x14ac:dyDescent="0.25">
      <c r="A1398" s="113"/>
      <c r="B1398" s="114"/>
      <c r="C1398" s="114"/>
      <c r="D1398" s="114"/>
      <c r="E1398" s="114"/>
    </row>
    <row r="1399" spans="1:5" x14ac:dyDescent="0.25">
      <c r="A1399" s="113"/>
      <c r="B1399" s="114"/>
      <c r="C1399" s="114"/>
      <c r="D1399" s="114"/>
      <c r="E1399" s="114"/>
    </row>
    <row r="1400" spans="1:5" x14ac:dyDescent="0.25">
      <c r="A1400" s="113"/>
      <c r="B1400" s="114"/>
      <c r="C1400" s="114"/>
      <c r="D1400" s="114"/>
      <c r="E1400" s="114"/>
    </row>
    <row r="1401" spans="1:5" x14ac:dyDescent="0.25">
      <c r="A1401" s="113"/>
      <c r="B1401" s="114"/>
      <c r="C1401" s="114"/>
      <c r="D1401" s="114"/>
      <c r="E1401" s="114"/>
    </row>
    <row r="1402" spans="1:5" x14ac:dyDescent="0.25">
      <c r="A1402" s="113"/>
      <c r="B1402" s="114"/>
      <c r="C1402" s="114"/>
      <c r="D1402" s="114"/>
      <c r="E1402" s="114"/>
    </row>
    <row r="1403" spans="1:5" x14ac:dyDescent="0.25">
      <c r="A1403" s="113"/>
      <c r="B1403" s="114"/>
      <c r="C1403" s="114"/>
      <c r="D1403" s="114"/>
      <c r="E1403" s="114"/>
    </row>
    <row r="1404" spans="1:5" x14ac:dyDescent="0.25">
      <c r="A1404" s="113"/>
      <c r="B1404" s="114"/>
      <c r="C1404" s="114"/>
      <c r="D1404" s="114"/>
      <c r="E1404" s="114"/>
    </row>
    <row r="1405" spans="1:5" x14ac:dyDescent="0.25">
      <c r="A1405" s="113"/>
      <c r="B1405" s="114"/>
      <c r="C1405" s="114"/>
      <c r="D1405" s="114"/>
      <c r="E1405" s="114"/>
    </row>
    <row r="1406" spans="1:5" x14ac:dyDescent="0.25">
      <c r="A1406" s="113"/>
      <c r="B1406" s="114"/>
      <c r="C1406" s="114"/>
      <c r="D1406" s="114"/>
      <c r="E1406" s="114"/>
    </row>
    <row r="1407" spans="1:5" x14ac:dyDescent="0.25">
      <c r="A1407" s="113"/>
      <c r="B1407" s="114"/>
      <c r="C1407" s="114"/>
      <c r="D1407" s="114"/>
      <c r="E1407" s="114"/>
    </row>
    <row r="1408" spans="1:5" x14ac:dyDescent="0.25">
      <c r="A1408" s="113"/>
      <c r="B1408" s="114"/>
      <c r="C1408" s="114"/>
      <c r="D1408" s="114"/>
      <c r="E1408" s="114"/>
    </row>
    <row r="1409" spans="1:5" x14ac:dyDescent="0.25">
      <c r="A1409" s="113"/>
      <c r="B1409" s="114"/>
      <c r="C1409" s="114"/>
      <c r="D1409" s="114"/>
      <c r="E1409" s="114"/>
    </row>
    <row r="1410" spans="1:5" x14ac:dyDescent="0.25">
      <c r="A1410" s="113"/>
      <c r="B1410" s="114"/>
      <c r="C1410" s="114"/>
      <c r="D1410" s="114"/>
      <c r="E1410" s="114"/>
    </row>
    <row r="1411" spans="1:5" x14ac:dyDescent="0.25">
      <c r="A1411" s="113"/>
      <c r="B1411" s="114"/>
      <c r="C1411" s="114"/>
      <c r="D1411" s="114"/>
      <c r="E1411" s="114"/>
    </row>
    <row r="1412" spans="1:5" x14ac:dyDescent="0.25">
      <c r="A1412" s="113"/>
      <c r="B1412" s="114"/>
      <c r="C1412" s="114"/>
      <c r="D1412" s="114"/>
      <c r="E1412" s="114"/>
    </row>
    <row r="1413" spans="1:5" x14ac:dyDescent="0.25">
      <c r="A1413" s="113"/>
      <c r="B1413" s="114"/>
      <c r="C1413" s="114"/>
      <c r="D1413" s="114"/>
      <c r="E1413" s="114"/>
    </row>
    <row r="1414" spans="1:5" x14ac:dyDescent="0.25">
      <c r="A1414" s="113"/>
      <c r="B1414" s="114"/>
      <c r="C1414" s="114"/>
      <c r="D1414" s="114"/>
      <c r="E1414" s="114"/>
    </row>
    <row r="1415" spans="1:5" x14ac:dyDescent="0.25">
      <c r="A1415" s="113"/>
      <c r="B1415" s="114"/>
      <c r="C1415" s="114"/>
      <c r="D1415" s="114"/>
      <c r="E1415" s="114"/>
    </row>
    <row r="1416" spans="1:5" x14ac:dyDescent="0.25">
      <c r="A1416" s="113"/>
      <c r="B1416" s="114"/>
      <c r="C1416" s="114"/>
      <c r="D1416" s="114"/>
      <c r="E1416" s="114"/>
    </row>
    <row r="1417" spans="1:5" x14ac:dyDescent="0.25">
      <c r="A1417" s="113"/>
      <c r="B1417" s="114"/>
      <c r="C1417" s="114"/>
      <c r="D1417" s="114"/>
      <c r="E1417" s="114"/>
    </row>
    <row r="1418" spans="1:5" x14ac:dyDescent="0.25">
      <c r="A1418" s="113"/>
      <c r="B1418" s="114"/>
      <c r="C1418" s="114"/>
      <c r="D1418" s="114"/>
      <c r="E1418" s="114"/>
    </row>
    <row r="1419" spans="1:5" x14ac:dyDescent="0.25">
      <c r="A1419" s="113"/>
      <c r="B1419" s="114"/>
      <c r="C1419" s="114"/>
      <c r="D1419" s="114"/>
      <c r="E1419" s="114"/>
    </row>
    <row r="1420" spans="1:5" x14ac:dyDescent="0.25">
      <c r="A1420" s="113"/>
      <c r="B1420" s="114"/>
      <c r="C1420" s="114"/>
      <c r="D1420" s="114"/>
      <c r="E1420" s="114"/>
    </row>
    <row r="1421" spans="1:5" x14ac:dyDescent="0.25">
      <c r="A1421" s="113"/>
      <c r="B1421" s="114"/>
      <c r="C1421" s="114"/>
      <c r="D1421" s="114"/>
      <c r="E1421" s="114"/>
    </row>
    <row r="1422" spans="1:5" x14ac:dyDescent="0.25">
      <c r="A1422" s="113"/>
      <c r="B1422" s="114"/>
      <c r="C1422" s="114"/>
      <c r="D1422" s="114"/>
      <c r="E1422" s="114"/>
    </row>
    <row r="1423" spans="1:5" x14ac:dyDescent="0.25">
      <c r="A1423" s="113"/>
      <c r="B1423" s="114"/>
      <c r="C1423" s="114"/>
      <c r="D1423" s="114"/>
      <c r="E1423" s="114"/>
    </row>
    <row r="1424" spans="1:5" x14ac:dyDescent="0.25">
      <c r="A1424" s="113"/>
      <c r="B1424" s="114"/>
      <c r="C1424" s="114"/>
      <c r="D1424" s="114"/>
      <c r="E1424" s="114"/>
    </row>
    <row r="1425" spans="1:5" x14ac:dyDescent="0.25">
      <c r="A1425" s="113"/>
      <c r="B1425" s="114"/>
      <c r="C1425" s="114"/>
      <c r="D1425" s="114"/>
      <c r="E1425" s="114"/>
    </row>
    <row r="1426" spans="1:5" x14ac:dyDescent="0.25">
      <c r="A1426" s="113"/>
      <c r="B1426" s="114"/>
      <c r="C1426" s="114"/>
      <c r="D1426" s="114"/>
      <c r="E1426" s="114"/>
    </row>
    <row r="1427" spans="1:5" x14ac:dyDescent="0.25">
      <c r="A1427" s="113"/>
      <c r="B1427" s="114"/>
      <c r="C1427" s="114"/>
      <c r="D1427" s="114"/>
      <c r="E1427" s="114"/>
    </row>
    <row r="1428" spans="1:5" x14ac:dyDescent="0.25">
      <c r="A1428" s="113"/>
      <c r="B1428" s="114"/>
      <c r="C1428" s="114"/>
      <c r="D1428" s="114"/>
      <c r="E1428" s="114"/>
    </row>
    <row r="1429" spans="1:5" x14ac:dyDescent="0.25">
      <c r="A1429" s="113"/>
      <c r="B1429" s="114"/>
      <c r="C1429" s="114"/>
      <c r="D1429" s="114"/>
      <c r="E1429" s="114"/>
    </row>
    <row r="1430" spans="1:5" x14ac:dyDescent="0.25">
      <c r="A1430" s="113"/>
      <c r="B1430" s="114"/>
      <c r="C1430" s="114"/>
      <c r="D1430" s="114"/>
      <c r="E1430" s="114"/>
    </row>
    <row r="1431" spans="1:5" x14ac:dyDescent="0.25">
      <c r="A1431" s="113"/>
      <c r="B1431" s="114"/>
      <c r="C1431" s="114"/>
      <c r="D1431" s="114"/>
      <c r="E1431" s="114"/>
    </row>
    <row r="1432" spans="1:5" x14ac:dyDescent="0.25">
      <c r="A1432" s="113"/>
      <c r="B1432" s="114"/>
      <c r="C1432" s="114"/>
      <c r="D1432" s="114"/>
      <c r="E1432" s="114"/>
    </row>
    <row r="1433" spans="1:5" x14ac:dyDescent="0.25">
      <c r="A1433" s="113"/>
      <c r="B1433" s="114"/>
      <c r="C1433" s="114"/>
      <c r="D1433" s="114"/>
      <c r="E1433" s="114"/>
    </row>
    <row r="1434" spans="1:5" x14ac:dyDescent="0.25">
      <c r="A1434" s="113"/>
      <c r="B1434" s="114"/>
      <c r="C1434" s="114"/>
      <c r="D1434" s="114"/>
      <c r="E1434" s="114"/>
    </row>
    <row r="1435" spans="1:5" x14ac:dyDescent="0.25">
      <c r="A1435" s="113"/>
      <c r="B1435" s="114"/>
      <c r="C1435" s="114"/>
      <c r="D1435" s="114"/>
      <c r="E1435" s="114"/>
    </row>
    <row r="1436" spans="1:5" x14ac:dyDescent="0.25">
      <c r="A1436" s="113"/>
      <c r="B1436" s="114"/>
      <c r="C1436" s="114"/>
      <c r="D1436" s="114"/>
      <c r="E1436" s="114"/>
    </row>
    <row r="1437" spans="1:5" x14ac:dyDescent="0.25">
      <c r="A1437" s="113"/>
      <c r="B1437" s="114"/>
      <c r="C1437" s="114"/>
      <c r="D1437" s="114"/>
      <c r="E1437" s="114"/>
    </row>
    <row r="1438" spans="1:5" x14ac:dyDescent="0.25">
      <c r="A1438" s="113"/>
      <c r="B1438" s="114"/>
      <c r="C1438" s="114"/>
      <c r="D1438" s="114"/>
      <c r="E1438" s="114"/>
    </row>
    <row r="1439" spans="1:5" x14ac:dyDescent="0.25">
      <c r="A1439" s="113"/>
      <c r="B1439" s="114"/>
      <c r="C1439" s="114"/>
      <c r="D1439" s="114"/>
      <c r="E1439" s="114"/>
    </row>
    <row r="1440" spans="1:5" x14ac:dyDescent="0.25">
      <c r="A1440" s="113"/>
      <c r="B1440" s="114"/>
      <c r="C1440" s="114"/>
      <c r="D1440" s="114"/>
      <c r="E1440" s="114"/>
    </row>
    <row r="1441" spans="1:5" x14ac:dyDescent="0.25">
      <c r="A1441" s="113"/>
      <c r="B1441" s="114"/>
      <c r="C1441" s="114"/>
      <c r="D1441" s="114"/>
      <c r="E1441" s="114"/>
    </row>
    <row r="1442" spans="1:5" x14ac:dyDescent="0.25">
      <c r="A1442" s="113"/>
      <c r="B1442" s="114"/>
      <c r="C1442" s="114"/>
      <c r="D1442" s="114"/>
      <c r="E1442" s="114"/>
    </row>
    <row r="1443" spans="1:5" x14ac:dyDescent="0.25">
      <c r="A1443" s="113"/>
      <c r="B1443" s="114"/>
      <c r="C1443" s="114"/>
      <c r="D1443" s="114"/>
      <c r="E1443" s="114"/>
    </row>
    <row r="1444" spans="1:5" x14ac:dyDescent="0.25">
      <c r="A1444" s="113"/>
      <c r="B1444" s="114"/>
      <c r="C1444" s="114"/>
      <c r="D1444" s="114"/>
      <c r="E1444" s="114"/>
    </row>
    <row r="1445" spans="1:5" x14ac:dyDescent="0.25">
      <c r="A1445" s="113"/>
      <c r="B1445" s="114"/>
      <c r="C1445" s="114"/>
      <c r="D1445" s="114"/>
      <c r="E1445" s="114"/>
    </row>
    <row r="1446" spans="1:5" x14ac:dyDescent="0.25">
      <c r="A1446" s="113"/>
      <c r="B1446" s="114"/>
      <c r="C1446" s="114"/>
      <c r="D1446" s="114"/>
      <c r="E1446" s="114"/>
    </row>
    <row r="1447" spans="1:5" x14ac:dyDescent="0.25">
      <c r="A1447" s="113"/>
      <c r="B1447" s="114"/>
      <c r="C1447" s="114"/>
      <c r="D1447" s="114"/>
      <c r="E1447" s="114"/>
    </row>
    <row r="1448" spans="1:5" x14ac:dyDescent="0.25">
      <c r="A1448" s="113"/>
      <c r="B1448" s="114"/>
      <c r="C1448" s="114"/>
      <c r="D1448" s="114"/>
      <c r="E1448" s="114"/>
    </row>
    <row r="1449" spans="1:5" x14ac:dyDescent="0.25">
      <c r="A1449" s="113"/>
      <c r="B1449" s="114"/>
      <c r="C1449" s="114"/>
      <c r="D1449" s="114"/>
      <c r="E1449" s="114"/>
    </row>
    <row r="1450" spans="1:5" x14ac:dyDescent="0.25">
      <c r="A1450" s="113"/>
      <c r="B1450" s="114"/>
      <c r="C1450" s="114"/>
      <c r="D1450" s="114"/>
      <c r="E1450" s="114"/>
    </row>
    <row r="1451" spans="1:5" x14ac:dyDescent="0.25">
      <c r="A1451" s="113"/>
      <c r="B1451" s="114"/>
      <c r="C1451" s="114"/>
      <c r="D1451" s="114"/>
      <c r="E1451" s="114"/>
    </row>
    <row r="1452" spans="1:5" x14ac:dyDescent="0.25">
      <c r="A1452" s="113"/>
      <c r="B1452" s="114"/>
      <c r="C1452" s="114"/>
      <c r="D1452" s="114"/>
      <c r="E1452" s="114"/>
    </row>
    <row r="1453" spans="1:5" x14ac:dyDescent="0.25">
      <c r="A1453" s="113"/>
      <c r="B1453" s="114"/>
      <c r="C1453" s="114"/>
      <c r="D1453" s="114"/>
      <c r="E1453" s="114"/>
    </row>
    <row r="1454" spans="1:5" x14ac:dyDescent="0.25">
      <c r="A1454" s="113"/>
      <c r="B1454" s="114"/>
      <c r="C1454" s="114"/>
      <c r="D1454" s="114"/>
      <c r="E1454" s="114"/>
    </row>
    <row r="1455" spans="1:5" x14ac:dyDescent="0.25">
      <c r="A1455" s="113"/>
      <c r="B1455" s="114"/>
      <c r="C1455" s="114"/>
      <c r="D1455" s="114"/>
      <c r="E1455" s="114"/>
    </row>
    <row r="1456" spans="1:5" x14ac:dyDescent="0.25">
      <c r="A1456" s="113"/>
      <c r="B1456" s="114"/>
      <c r="C1456" s="114"/>
      <c r="D1456" s="114"/>
      <c r="E1456" s="114"/>
    </row>
    <row r="1457" spans="1:5" x14ac:dyDescent="0.25">
      <c r="A1457" s="113"/>
      <c r="B1457" s="114"/>
      <c r="C1457" s="114"/>
      <c r="D1457" s="114"/>
      <c r="E1457" s="114"/>
    </row>
    <row r="1458" spans="1:5" x14ac:dyDescent="0.25">
      <c r="A1458" s="113"/>
      <c r="B1458" s="114"/>
      <c r="C1458" s="114"/>
      <c r="D1458" s="114"/>
      <c r="E1458" s="114"/>
    </row>
    <row r="1459" spans="1:5" x14ac:dyDescent="0.25">
      <c r="A1459" s="113"/>
      <c r="B1459" s="114"/>
      <c r="C1459" s="114"/>
      <c r="D1459" s="114"/>
      <c r="E1459" s="114"/>
    </row>
    <row r="1460" spans="1:5" x14ac:dyDescent="0.25">
      <c r="A1460" s="113"/>
      <c r="B1460" s="114"/>
      <c r="C1460" s="114"/>
      <c r="D1460" s="114"/>
      <c r="E1460" s="114"/>
    </row>
    <row r="1461" spans="1:5" x14ac:dyDescent="0.25">
      <c r="A1461" s="113"/>
      <c r="B1461" s="114"/>
      <c r="C1461" s="114"/>
      <c r="D1461" s="114"/>
      <c r="E1461" s="114"/>
    </row>
    <row r="1462" spans="1:5" x14ac:dyDescent="0.25">
      <c r="A1462" s="113"/>
      <c r="B1462" s="114"/>
      <c r="C1462" s="114"/>
      <c r="D1462" s="114"/>
      <c r="E1462" s="114"/>
    </row>
    <row r="1463" spans="1:5" x14ac:dyDescent="0.25">
      <c r="A1463" s="113"/>
      <c r="B1463" s="114"/>
      <c r="C1463" s="114"/>
      <c r="D1463" s="114"/>
      <c r="E1463" s="114"/>
    </row>
    <row r="1464" spans="1:5" x14ac:dyDescent="0.25">
      <c r="A1464" s="113"/>
      <c r="B1464" s="114"/>
      <c r="C1464" s="114"/>
      <c r="D1464" s="114"/>
      <c r="E1464" s="114"/>
    </row>
    <row r="1465" spans="1:5" x14ac:dyDescent="0.25">
      <c r="A1465" s="113"/>
      <c r="B1465" s="114"/>
      <c r="C1465" s="114"/>
      <c r="D1465" s="114"/>
      <c r="E1465" s="114"/>
    </row>
    <row r="1466" spans="1:5" x14ac:dyDescent="0.25">
      <c r="A1466" s="113"/>
      <c r="B1466" s="114"/>
      <c r="C1466" s="114"/>
      <c r="D1466" s="114"/>
      <c r="E1466" s="114"/>
    </row>
    <row r="1467" spans="1:5" x14ac:dyDescent="0.25">
      <c r="A1467" s="113"/>
      <c r="B1467" s="114"/>
      <c r="C1467" s="114"/>
      <c r="D1467" s="114"/>
      <c r="E1467" s="114"/>
    </row>
    <row r="1468" spans="1:5" x14ac:dyDescent="0.25">
      <c r="A1468" s="113"/>
      <c r="B1468" s="114"/>
      <c r="C1468" s="114"/>
      <c r="D1468" s="114"/>
      <c r="E1468" s="114"/>
    </row>
    <row r="1469" spans="1:5" x14ac:dyDescent="0.25">
      <c r="A1469" s="113"/>
      <c r="B1469" s="114"/>
      <c r="C1469" s="114"/>
      <c r="D1469" s="114"/>
      <c r="E1469" s="114"/>
    </row>
    <row r="1470" spans="1:5" x14ac:dyDescent="0.25">
      <c r="A1470" s="113"/>
      <c r="B1470" s="114"/>
      <c r="C1470" s="114"/>
      <c r="D1470" s="114"/>
      <c r="E1470" s="114"/>
    </row>
    <row r="1471" spans="1:5" x14ac:dyDescent="0.25">
      <c r="A1471" s="113"/>
      <c r="B1471" s="114"/>
      <c r="C1471" s="114"/>
      <c r="D1471" s="114"/>
      <c r="E1471" s="114"/>
    </row>
    <row r="1472" spans="1:5" x14ac:dyDescent="0.25">
      <c r="A1472" s="113"/>
      <c r="B1472" s="114"/>
      <c r="C1472" s="114"/>
      <c r="D1472" s="114"/>
      <c r="E1472" s="114"/>
    </row>
    <row r="1473" spans="1:5" x14ac:dyDescent="0.25">
      <c r="A1473" s="113"/>
      <c r="B1473" s="114"/>
      <c r="C1473" s="114"/>
      <c r="D1473" s="114"/>
      <c r="E1473" s="114"/>
    </row>
    <row r="1474" spans="1:5" x14ac:dyDescent="0.25">
      <c r="A1474" s="113"/>
      <c r="B1474" s="114"/>
      <c r="C1474" s="114"/>
      <c r="D1474" s="114"/>
      <c r="E1474" s="114"/>
    </row>
    <row r="1475" spans="1:5" x14ac:dyDescent="0.25">
      <c r="A1475" s="113"/>
      <c r="B1475" s="114"/>
      <c r="C1475" s="114"/>
      <c r="D1475" s="114"/>
      <c r="E1475" s="114"/>
    </row>
    <row r="1476" spans="1:5" x14ac:dyDescent="0.25">
      <c r="A1476" s="113"/>
      <c r="B1476" s="114"/>
      <c r="C1476" s="114"/>
      <c r="D1476" s="114"/>
      <c r="E1476" s="114"/>
    </row>
    <row r="1477" spans="1:5" x14ac:dyDescent="0.25">
      <c r="A1477" s="113"/>
      <c r="B1477" s="114"/>
      <c r="C1477" s="114"/>
      <c r="D1477" s="114"/>
      <c r="E1477" s="114"/>
    </row>
    <row r="1478" spans="1:5" x14ac:dyDescent="0.25">
      <c r="A1478" s="113"/>
      <c r="B1478" s="114"/>
      <c r="C1478" s="114"/>
      <c r="D1478" s="114"/>
      <c r="E1478" s="114"/>
    </row>
    <row r="1479" spans="1:5" x14ac:dyDescent="0.25">
      <c r="A1479" s="113"/>
      <c r="B1479" s="114"/>
      <c r="C1479" s="114"/>
      <c r="D1479" s="114"/>
      <c r="E1479" s="114"/>
    </row>
    <row r="1480" spans="1:5" x14ac:dyDescent="0.25">
      <c r="A1480" s="113"/>
      <c r="B1480" s="114"/>
      <c r="C1480" s="114"/>
      <c r="D1480" s="114"/>
      <c r="E1480" s="114"/>
    </row>
    <row r="1481" spans="1:5" x14ac:dyDescent="0.25">
      <c r="A1481" s="113"/>
      <c r="B1481" s="114"/>
      <c r="C1481" s="114"/>
      <c r="D1481" s="114"/>
      <c r="E1481" s="114"/>
    </row>
    <row r="1482" spans="1:5" x14ac:dyDescent="0.25">
      <c r="A1482" s="113"/>
      <c r="B1482" s="114"/>
      <c r="C1482" s="114"/>
      <c r="D1482" s="114"/>
      <c r="E1482" s="114"/>
    </row>
    <row r="1483" spans="1:5" x14ac:dyDescent="0.25">
      <c r="A1483" s="113"/>
      <c r="B1483" s="114"/>
      <c r="C1483" s="114"/>
      <c r="D1483" s="114"/>
      <c r="E1483" s="114"/>
    </row>
    <row r="1484" spans="1:5" x14ac:dyDescent="0.25">
      <c r="A1484" s="113"/>
      <c r="B1484" s="114"/>
      <c r="C1484" s="114"/>
      <c r="D1484" s="114"/>
      <c r="E1484" s="114"/>
    </row>
    <row r="1485" spans="1:5" x14ac:dyDescent="0.25">
      <c r="A1485" s="113"/>
      <c r="B1485" s="114"/>
      <c r="C1485" s="114"/>
      <c r="D1485" s="114"/>
      <c r="E1485" s="114"/>
    </row>
    <row r="1486" spans="1:5" x14ac:dyDescent="0.25">
      <c r="A1486" s="113"/>
      <c r="B1486" s="114"/>
      <c r="C1486" s="114"/>
      <c r="D1486" s="114"/>
      <c r="E1486" s="114"/>
    </row>
    <row r="1487" spans="1:5" x14ac:dyDescent="0.25">
      <c r="A1487" s="113"/>
      <c r="B1487" s="114"/>
      <c r="C1487" s="114"/>
      <c r="D1487" s="114"/>
      <c r="E1487" s="114"/>
    </row>
    <row r="1488" spans="1:5" x14ac:dyDescent="0.25">
      <c r="A1488" s="113"/>
      <c r="B1488" s="114"/>
      <c r="C1488" s="114"/>
      <c r="D1488" s="114"/>
      <c r="E1488" s="114"/>
    </row>
    <row r="1489" spans="1:5" x14ac:dyDescent="0.25">
      <c r="A1489" s="113"/>
      <c r="B1489" s="114"/>
      <c r="C1489" s="114"/>
      <c r="D1489" s="114"/>
      <c r="E1489" s="114"/>
    </row>
    <row r="1490" spans="1:5" x14ac:dyDescent="0.25">
      <c r="A1490" s="113"/>
      <c r="B1490" s="114"/>
      <c r="C1490" s="114"/>
      <c r="D1490" s="114"/>
      <c r="E1490" s="114"/>
    </row>
    <row r="1491" spans="1:5" x14ac:dyDescent="0.25">
      <c r="A1491" s="113"/>
      <c r="B1491" s="114"/>
      <c r="C1491" s="114"/>
      <c r="D1491" s="114"/>
      <c r="E1491" s="114"/>
    </row>
    <row r="1492" spans="1:5" x14ac:dyDescent="0.25">
      <c r="A1492" s="113"/>
      <c r="B1492" s="114"/>
      <c r="C1492" s="114"/>
      <c r="D1492" s="114"/>
      <c r="E1492" s="114"/>
    </row>
    <row r="1493" spans="1:5" x14ac:dyDescent="0.25">
      <c r="A1493" s="113"/>
      <c r="B1493" s="114"/>
      <c r="C1493" s="114"/>
      <c r="D1493" s="114"/>
      <c r="E1493" s="114"/>
    </row>
    <row r="1494" spans="1:5" x14ac:dyDescent="0.25">
      <c r="A1494" s="113"/>
      <c r="B1494" s="114"/>
      <c r="C1494" s="114"/>
      <c r="D1494" s="114"/>
      <c r="E1494" s="114"/>
    </row>
    <row r="1495" spans="1:5" x14ac:dyDescent="0.25">
      <c r="A1495" s="113"/>
      <c r="B1495" s="114"/>
      <c r="C1495" s="114"/>
      <c r="D1495" s="114"/>
      <c r="E1495" s="114"/>
    </row>
    <row r="1496" spans="1:5" x14ac:dyDescent="0.25">
      <c r="A1496" s="113"/>
      <c r="B1496" s="114"/>
      <c r="C1496" s="114"/>
      <c r="D1496" s="114"/>
      <c r="E1496" s="114"/>
    </row>
    <row r="1497" spans="1:5" x14ac:dyDescent="0.25">
      <c r="A1497" s="113"/>
      <c r="B1497" s="114"/>
      <c r="C1497" s="114"/>
      <c r="D1497" s="114"/>
      <c r="E1497" s="114"/>
    </row>
    <row r="1498" spans="1:5" x14ac:dyDescent="0.25">
      <c r="A1498" s="113"/>
      <c r="B1498" s="114"/>
      <c r="C1498" s="114"/>
      <c r="D1498" s="114"/>
      <c r="E1498" s="114"/>
    </row>
    <row r="1499" spans="1:5" x14ac:dyDescent="0.25">
      <c r="A1499" s="113"/>
      <c r="B1499" s="114"/>
      <c r="C1499" s="114"/>
      <c r="D1499" s="114"/>
      <c r="E1499" s="114"/>
    </row>
    <row r="1500" spans="1:5" x14ac:dyDescent="0.25">
      <c r="A1500" s="113"/>
      <c r="B1500" s="114"/>
      <c r="C1500" s="114"/>
      <c r="D1500" s="114"/>
      <c r="E1500" s="114"/>
    </row>
    <row r="1501" spans="1:5" x14ac:dyDescent="0.25">
      <c r="A1501" s="113"/>
      <c r="B1501" s="114"/>
      <c r="C1501" s="114"/>
      <c r="D1501" s="114"/>
      <c r="E1501" s="114"/>
    </row>
    <row r="1502" spans="1:5" x14ac:dyDescent="0.25">
      <c r="A1502" s="113"/>
      <c r="B1502" s="114"/>
      <c r="C1502" s="114"/>
      <c r="D1502" s="114"/>
      <c r="E1502" s="114"/>
    </row>
    <row r="1503" spans="1:5" x14ac:dyDescent="0.25">
      <c r="A1503" s="113"/>
      <c r="B1503" s="114"/>
      <c r="C1503" s="114"/>
      <c r="D1503" s="114"/>
      <c r="E1503" s="114"/>
    </row>
    <row r="1504" spans="1:5" x14ac:dyDescent="0.25">
      <c r="A1504" s="113"/>
      <c r="B1504" s="114"/>
      <c r="C1504" s="114"/>
      <c r="D1504" s="114"/>
      <c r="E1504" s="114"/>
    </row>
    <row r="1505" spans="1:5" x14ac:dyDescent="0.25">
      <c r="A1505" s="113"/>
      <c r="B1505" s="114"/>
      <c r="C1505" s="114"/>
      <c r="D1505" s="114"/>
      <c r="E1505" s="114"/>
    </row>
    <row r="1506" spans="1:5" x14ac:dyDescent="0.25">
      <c r="A1506" s="113"/>
      <c r="B1506" s="114"/>
      <c r="C1506" s="114"/>
      <c r="D1506" s="114"/>
      <c r="E1506" s="114"/>
    </row>
    <row r="1507" spans="1:5" x14ac:dyDescent="0.25">
      <c r="A1507" s="113"/>
      <c r="B1507" s="114"/>
      <c r="C1507" s="114"/>
      <c r="D1507" s="114"/>
      <c r="E1507" s="114"/>
    </row>
    <row r="1508" spans="1:5" x14ac:dyDescent="0.25">
      <c r="A1508" s="113"/>
      <c r="B1508" s="114"/>
      <c r="C1508" s="114"/>
      <c r="D1508" s="114"/>
      <c r="E1508" s="114"/>
    </row>
    <row r="1509" spans="1:5" x14ac:dyDescent="0.25">
      <c r="A1509" s="113"/>
      <c r="B1509" s="114"/>
      <c r="C1509" s="114"/>
      <c r="D1509" s="114"/>
      <c r="E1509" s="114"/>
    </row>
    <row r="1510" spans="1:5" x14ac:dyDescent="0.25">
      <c r="A1510" s="113"/>
      <c r="B1510" s="114"/>
      <c r="C1510" s="114"/>
      <c r="D1510" s="114"/>
      <c r="E1510" s="114"/>
    </row>
    <row r="1511" spans="1:5" x14ac:dyDescent="0.25">
      <c r="A1511" s="113"/>
      <c r="B1511" s="114"/>
      <c r="C1511" s="114"/>
      <c r="D1511" s="114"/>
      <c r="E1511" s="114"/>
    </row>
    <row r="1512" spans="1:5" x14ac:dyDescent="0.25">
      <c r="A1512" s="113"/>
      <c r="B1512" s="114"/>
      <c r="C1512" s="114"/>
      <c r="D1512" s="114"/>
      <c r="E1512" s="114"/>
    </row>
    <row r="1513" spans="1:5" x14ac:dyDescent="0.25">
      <c r="A1513" s="113"/>
      <c r="B1513" s="114"/>
      <c r="C1513" s="114"/>
      <c r="D1513" s="114"/>
      <c r="E1513" s="114"/>
    </row>
    <row r="1514" spans="1:5" x14ac:dyDescent="0.25">
      <c r="A1514" s="113"/>
      <c r="B1514" s="114"/>
      <c r="C1514" s="114"/>
      <c r="D1514" s="114"/>
      <c r="E1514" s="114"/>
    </row>
    <row r="1515" spans="1:5" x14ac:dyDescent="0.25">
      <c r="A1515" s="113"/>
      <c r="B1515" s="114"/>
      <c r="C1515" s="114"/>
      <c r="D1515" s="114"/>
      <c r="E1515" s="114"/>
    </row>
    <row r="1516" spans="1:5" x14ac:dyDescent="0.25">
      <c r="A1516" s="113"/>
      <c r="B1516" s="114"/>
      <c r="C1516" s="114"/>
      <c r="D1516" s="114"/>
      <c r="E1516" s="114"/>
    </row>
    <row r="1517" spans="1:5" x14ac:dyDescent="0.25">
      <c r="A1517" s="113"/>
      <c r="B1517" s="114"/>
      <c r="C1517" s="114"/>
      <c r="D1517" s="114"/>
      <c r="E1517" s="114"/>
    </row>
    <row r="1518" spans="1:5" x14ac:dyDescent="0.25">
      <c r="A1518" s="113"/>
      <c r="B1518" s="114"/>
      <c r="C1518" s="114"/>
      <c r="D1518" s="114"/>
      <c r="E1518" s="114"/>
    </row>
    <row r="1519" spans="1:5" x14ac:dyDescent="0.25">
      <c r="A1519" s="113"/>
      <c r="B1519" s="114"/>
      <c r="C1519" s="114"/>
      <c r="D1519" s="114"/>
      <c r="E1519" s="114"/>
    </row>
    <row r="1520" spans="1:5" x14ac:dyDescent="0.25">
      <c r="A1520" s="113"/>
      <c r="B1520" s="114"/>
      <c r="C1520" s="114"/>
      <c r="D1520" s="114"/>
      <c r="E1520" s="114"/>
    </row>
    <row r="1521" spans="1:5" x14ac:dyDescent="0.25">
      <c r="A1521" s="113"/>
      <c r="B1521" s="114"/>
      <c r="C1521" s="114"/>
      <c r="D1521" s="114"/>
      <c r="E1521" s="114"/>
    </row>
    <row r="1522" spans="1:5" x14ac:dyDescent="0.25">
      <c r="A1522" s="113"/>
      <c r="B1522" s="114"/>
      <c r="C1522" s="114"/>
      <c r="D1522" s="114"/>
      <c r="E1522" s="114"/>
    </row>
    <row r="1523" spans="1:5" x14ac:dyDescent="0.25">
      <c r="A1523" s="113"/>
      <c r="B1523" s="114"/>
      <c r="C1523" s="114"/>
      <c r="D1523" s="114"/>
      <c r="E1523" s="114"/>
    </row>
    <row r="1524" spans="1:5" x14ac:dyDescent="0.25">
      <c r="A1524" s="113"/>
      <c r="B1524" s="114"/>
      <c r="C1524" s="114"/>
      <c r="D1524" s="114"/>
      <c r="E1524" s="114"/>
    </row>
    <row r="1525" spans="1:5" x14ac:dyDescent="0.25">
      <c r="A1525" s="113"/>
      <c r="B1525" s="114"/>
      <c r="C1525" s="114"/>
      <c r="D1525" s="114"/>
      <c r="E1525" s="114"/>
    </row>
    <row r="1526" spans="1:5" x14ac:dyDescent="0.25">
      <c r="A1526" s="113"/>
      <c r="B1526" s="114"/>
      <c r="C1526" s="114"/>
      <c r="D1526" s="114"/>
      <c r="E1526" s="114"/>
    </row>
    <row r="1527" spans="1:5" x14ac:dyDescent="0.25">
      <c r="A1527" s="113"/>
      <c r="B1527" s="114"/>
      <c r="C1527" s="114"/>
      <c r="D1527" s="114"/>
      <c r="E1527" s="114"/>
    </row>
    <row r="1528" spans="1:5" x14ac:dyDescent="0.25">
      <c r="A1528" s="113"/>
      <c r="B1528" s="114"/>
      <c r="C1528" s="114"/>
      <c r="D1528" s="114"/>
      <c r="E1528" s="114"/>
    </row>
    <row r="1529" spans="1:5" x14ac:dyDescent="0.25">
      <c r="A1529" s="113"/>
      <c r="B1529" s="114"/>
      <c r="C1529" s="114"/>
      <c r="D1529" s="114"/>
      <c r="E1529" s="114"/>
    </row>
    <row r="1530" spans="1:5" x14ac:dyDescent="0.25">
      <c r="A1530" s="113"/>
      <c r="B1530" s="114"/>
      <c r="C1530" s="114"/>
      <c r="D1530" s="114"/>
      <c r="E1530" s="114"/>
    </row>
    <row r="1531" spans="1:5" x14ac:dyDescent="0.25">
      <c r="A1531" s="113"/>
      <c r="B1531" s="114"/>
      <c r="C1531" s="114"/>
      <c r="D1531" s="114"/>
      <c r="E1531" s="114"/>
    </row>
    <row r="1532" spans="1:5" x14ac:dyDescent="0.25">
      <c r="A1532" s="113"/>
      <c r="B1532" s="114"/>
      <c r="C1532" s="114"/>
      <c r="D1532" s="114"/>
      <c r="E1532" s="114"/>
    </row>
    <row r="1533" spans="1:5" x14ac:dyDescent="0.25">
      <c r="A1533" s="113"/>
      <c r="B1533" s="114"/>
      <c r="C1533" s="114"/>
      <c r="D1533" s="114"/>
      <c r="E1533" s="114"/>
    </row>
    <row r="1534" spans="1:5" x14ac:dyDescent="0.25">
      <c r="A1534" s="113"/>
      <c r="B1534" s="114"/>
      <c r="C1534" s="114"/>
      <c r="D1534" s="114"/>
      <c r="E1534" s="114"/>
    </row>
    <row r="1535" spans="1:5" x14ac:dyDescent="0.25">
      <c r="A1535" s="113"/>
      <c r="B1535" s="114"/>
      <c r="C1535" s="114"/>
      <c r="D1535" s="114"/>
      <c r="E1535" s="114"/>
    </row>
    <row r="1536" spans="1:5" x14ac:dyDescent="0.25">
      <c r="A1536" s="113"/>
      <c r="B1536" s="114"/>
      <c r="C1536" s="114"/>
      <c r="D1536" s="114"/>
      <c r="E1536" s="114"/>
    </row>
    <row r="1537" spans="1:5" x14ac:dyDescent="0.25">
      <c r="A1537" s="113"/>
      <c r="B1537" s="114"/>
      <c r="C1537" s="114"/>
      <c r="D1537" s="114"/>
      <c r="E1537" s="114"/>
    </row>
    <row r="1538" spans="1:5" x14ac:dyDescent="0.25">
      <c r="A1538" s="113"/>
      <c r="B1538" s="114"/>
      <c r="C1538" s="114"/>
      <c r="D1538" s="114"/>
      <c r="E1538" s="114"/>
    </row>
    <row r="1539" spans="1:5" x14ac:dyDescent="0.25">
      <c r="A1539" s="113"/>
      <c r="B1539" s="114"/>
      <c r="C1539" s="114"/>
      <c r="D1539" s="114"/>
      <c r="E1539" s="114"/>
    </row>
    <row r="1540" spans="1:5" x14ac:dyDescent="0.25">
      <c r="A1540" s="113"/>
      <c r="B1540" s="114"/>
      <c r="C1540" s="114"/>
      <c r="D1540" s="114"/>
      <c r="E1540" s="114"/>
    </row>
    <row r="1541" spans="1:5" x14ac:dyDescent="0.25">
      <c r="A1541" s="113"/>
      <c r="B1541" s="114"/>
      <c r="C1541" s="114"/>
      <c r="D1541" s="114"/>
      <c r="E1541" s="114"/>
    </row>
    <row r="1542" spans="1:5" x14ac:dyDescent="0.25">
      <c r="A1542" s="113"/>
      <c r="B1542" s="114"/>
      <c r="C1542" s="114"/>
      <c r="D1542" s="114"/>
      <c r="E1542" s="114"/>
    </row>
    <row r="1543" spans="1:5" x14ac:dyDescent="0.25">
      <c r="A1543" s="113"/>
      <c r="B1543" s="114"/>
      <c r="C1543" s="114"/>
      <c r="D1543" s="114"/>
      <c r="E1543" s="114"/>
    </row>
    <row r="1544" spans="1:5" x14ac:dyDescent="0.25">
      <c r="A1544" s="113"/>
      <c r="B1544" s="114"/>
      <c r="C1544" s="114"/>
      <c r="D1544" s="114"/>
      <c r="E1544" s="114"/>
    </row>
    <row r="1545" spans="1:5" x14ac:dyDescent="0.25">
      <c r="A1545" s="113"/>
      <c r="B1545" s="114"/>
      <c r="C1545" s="114"/>
      <c r="D1545" s="114"/>
      <c r="E1545" s="114"/>
    </row>
    <row r="1546" spans="1:5" x14ac:dyDescent="0.25">
      <c r="A1546" s="113"/>
      <c r="B1546" s="114"/>
      <c r="C1546" s="114"/>
      <c r="D1546" s="114"/>
      <c r="E1546" s="114"/>
    </row>
    <row r="1547" spans="1:5" x14ac:dyDescent="0.25">
      <c r="A1547" s="113"/>
      <c r="B1547" s="114"/>
      <c r="C1547" s="114"/>
      <c r="D1547" s="114"/>
      <c r="E1547" s="114"/>
    </row>
    <row r="1548" spans="1:5" x14ac:dyDescent="0.25">
      <c r="A1548" s="113"/>
      <c r="B1548" s="114"/>
      <c r="C1548" s="114"/>
      <c r="D1548" s="114"/>
      <c r="E1548" s="114"/>
    </row>
    <row r="1549" spans="1:5" x14ac:dyDescent="0.25">
      <c r="A1549" s="113"/>
      <c r="B1549" s="114"/>
      <c r="C1549" s="114"/>
      <c r="D1549" s="114"/>
      <c r="E1549" s="114"/>
    </row>
    <row r="1550" spans="1:5" x14ac:dyDescent="0.25">
      <c r="A1550" s="113"/>
      <c r="B1550" s="114"/>
      <c r="C1550" s="114"/>
      <c r="D1550" s="114"/>
      <c r="E1550" s="114"/>
    </row>
    <row r="1551" spans="1:5" x14ac:dyDescent="0.25">
      <c r="A1551" s="113"/>
      <c r="B1551" s="114"/>
      <c r="C1551" s="114"/>
      <c r="D1551" s="114"/>
      <c r="E1551" s="114"/>
    </row>
    <row r="1552" spans="1:5" x14ac:dyDescent="0.25">
      <c r="A1552" s="113"/>
      <c r="B1552" s="114"/>
      <c r="C1552" s="114"/>
      <c r="D1552" s="114"/>
      <c r="E1552" s="114"/>
    </row>
    <row r="1553" spans="1:5" x14ac:dyDescent="0.25">
      <c r="A1553" s="113"/>
      <c r="B1553" s="114"/>
      <c r="C1553" s="114"/>
      <c r="D1553" s="114"/>
      <c r="E1553" s="114"/>
    </row>
    <row r="1554" spans="1:5" x14ac:dyDescent="0.25">
      <c r="A1554" s="113"/>
      <c r="B1554" s="114"/>
      <c r="C1554" s="114"/>
      <c r="D1554" s="114"/>
      <c r="E1554" s="114"/>
    </row>
    <row r="1555" spans="1:5" x14ac:dyDescent="0.25">
      <c r="A1555" s="113"/>
      <c r="B1555" s="114"/>
      <c r="C1555" s="114"/>
      <c r="D1555" s="114"/>
      <c r="E1555" s="114"/>
    </row>
    <row r="1556" spans="1:5" x14ac:dyDescent="0.25">
      <c r="A1556" s="113"/>
      <c r="B1556" s="114"/>
      <c r="C1556" s="114"/>
      <c r="D1556" s="114"/>
      <c r="E1556" s="114"/>
    </row>
    <row r="1557" spans="1:5" x14ac:dyDescent="0.25">
      <c r="A1557" s="113"/>
      <c r="B1557" s="114"/>
      <c r="C1557" s="114"/>
      <c r="D1557" s="114"/>
      <c r="E1557" s="114"/>
    </row>
    <row r="1558" spans="1:5" x14ac:dyDescent="0.25">
      <c r="A1558" s="113"/>
      <c r="B1558" s="114"/>
      <c r="C1558" s="114"/>
      <c r="D1558" s="114"/>
      <c r="E1558" s="114"/>
    </row>
    <row r="1559" spans="1:5" x14ac:dyDescent="0.25">
      <c r="A1559" s="113"/>
      <c r="B1559" s="114"/>
      <c r="C1559" s="114"/>
      <c r="D1559" s="114"/>
      <c r="E1559" s="114"/>
    </row>
    <row r="1560" spans="1:5" x14ac:dyDescent="0.25">
      <c r="A1560" s="113"/>
      <c r="B1560" s="114"/>
      <c r="C1560" s="114"/>
      <c r="D1560" s="114"/>
      <c r="E1560" s="114"/>
    </row>
    <row r="1561" spans="1:5" x14ac:dyDescent="0.25">
      <c r="A1561" s="113"/>
      <c r="B1561" s="114"/>
      <c r="C1561" s="114"/>
      <c r="D1561" s="114"/>
      <c r="E1561" s="114"/>
    </row>
    <row r="1562" spans="1:5" x14ac:dyDescent="0.25">
      <c r="A1562" s="113"/>
      <c r="B1562" s="114"/>
      <c r="C1562" s="114"/>
      <c r="D1562" s="114"/>
      <c r="E1562" s="114"/>
    </row>
    <row r="1563" spans="1:5" x14ac:dyDescent="0.25">
      <c r="A1563" s="113"/>
      <c r="B1563" s="114"/>
      <c r="C1563" s="114"/>
      <c r="D1563" s="114"/>
      <c r="E1563" s="114"/>
    </row>
    <row r="1564" spans="1:5" x14ac:dyDescent="0.25">
      <c r="A1564" s="113"/>
      <c r="B1564" s="114"/>
      <c r="C1564" s="114"/>
      <c r="D1564" s="114"/>
      <c r="E1564" s="114"/>
    </row>
    <row r="1565" spans="1:5" x14ac:dyDescent="0.25">
      <c r="A1565" s="113"/>
      <c r="B1565" s="114"/>
      <c r="C1565" s="114"/>
      <c r="D1565" s="114"/>
      <c r="E1565" s="114"/>
    </row>
    <row r="1566" spans="1:5" x14ac:dyDescent="0.25">
      <c r="A1566" s="113"/>
      <c r="B1566" s="114"/>
      <c r="C1566" s="114"/>
      <c r="D1566" s="114"/>
      <c r="E1566" s="114"/>
    </row>
    <row r="1567" spans="1:5" x14ac:dyDescent="0.25">
      <c r="A1567" s="113"/>
      <c r="B1567" s="114"/>
      <c r="C1567" s="114"/>
      <c r="D1567" s="114"/>
      <c r="E1567" s="114"/>
    </row>
    <row r="1568" spans="1:5" x14ac:dyDescent="0.25">
      <c r="A1568" s="113"/>
      <c r="B1568" s="114"/>
      <c r="C1568" s="114"/>
      <c r="D1568" s="114"/>
      <c r="E1568" s="114"/>
    </row>
    <row r="1569" spans="1:5" x14ac:dyDescent="0.25">
      <c r="A1569" s="113"/>
      <c r="B1569" s="114"/>
      <c r="C1569" s="114"/>
      <c r="D1569" s="114"/>
      <c r="E1569" s="114"/>
    </row>
    <row r="1570" spans="1:5" x14ac:dyDescent="0.25">
      <c r="A1570" s="113"/>
      <c r="B1570" s="114"/>
      <c r="C1570" s="114"/>
      <c r="D1570" s="114"/>
      <c r="E1570" s="114"/>
    </row>
    <row r="1571" spans="1:5" x14ac:dyDescent="0.25">
      <c r="A1571" s="113"/>
      <c r="B1571" s="114"/>
      <c r="C1571" s="114"/>
      <c r="D1571" s="114"/>
      <c r="E1571" s="114"/>
    </row>
    <row r="1572" spans="1:5" x14ac:dyDescent="0.25">
      <c r="A1572" s="113"/>
      <c r="B1572" s="114"/>
      <c r="C1572" s="114"/>
      <c r="D1572" s="114"/>
      <c r="E1572" s="114"/>
    </row>
    <row r="1573" spans="1:5" x14ac:dyDescent="0.25">
      <c r="A1573" s="113"/>
      <c r="B1573" s="114"/>
      <c r="C1573" s="114"/>
      <c r="D1573" s="114"/>
      <c r="E1573" s="114"/>
    </row>
    <row r="1574" spans="1:5" x14ac:dyDescent="0.25">
      <c r="A1574" s="113"/>
      <c r="B1574" s="114"/>
      <c r="C1574" s="114"/>
      <c r="D1574" s="114"/>
      <c r="E1574" s="114"/>
    </row>
    <row r="1575" spans="1:5" x14ac:dyDescent="0.25">
      <c r="A1575" s="113"/>
      <c r="B1575" s="114"/>
      <c r="C1575" s="114"/>
      <c r="D1575" s="114"/>
      <c r="E1575" s="114"/>
    </row>
    <row r="1576" spans="1:5" x14ac:dyDescent="0.25">
      <c r="A1576" s="113"/>
      <c r="B1576" s="114"/>
      <c r="C1576" s="114"/>
      <c r="D1576" s="114"/>
      <c r="E1576" s="114"/>
    </row>
    <row r="1577" spans="1:5" x14ac:dyDescent="0.25">
      <c r="A1577" s="113"/>
      <c r="B1577" s="114"/>
      <c r="C1577" s="114"/>
      <c r="D1577" s="114"/>
      <c r="E1577" s="114"/>
    </row>
    <row r="1578" spans="1:5" x14ac:dyDescent="0.25">
      <c r="A1578" s="113"/>
      <c r="B1578" s="114"/>
      <c r="C1578" s="114"/>
      <c r="D1578" s="114"/>
      <c r="E1578" s="114"/>
    </row>
    <row r="1579" spans="1:5" x14ac:dyDescent="0.25">
      <c r="A1579" s="113"/>
      <c r="B1579" s="114"/>
      <c r="C1579" s="114"/>
      <c r="D1579" s="114"/>
      <c r="E1579" s="114"/>
    </row>
    <row r="1580" spans="1:5" x14ac:dyDescent="0.25">
      <c r="A1580" s="113"/>
      <c r="B1580" s="114"/>
      <c r="C1580" s="114"/>
      <c r="D1580" s="114"/>
      <c r="E1580" s="114"/>
    </row>
    <row r="1581" spans="1:5" x14ac:dyDescent="0.25">
      <c r="A1581" s="113"/>
      <c r="B1581" s="114"/>
      <c r="C1581" s="114"/>
      <c r="D1581" s="114"/>
      <c r="E1581" s="114"/>
    </row>
    <row r="1582" spans="1:5" x14ac:dyDescent="0.25">
      <c r="A1582" s="113"/>
      <c r="B1582" s="114"/>
      <c r="C1582" s="114"/>
      <c r="D1582" s="114"/>
      <c r="E1582" s="114"/>
    </row>
    <row r="1583" spans="1:5" x14ac:dyDescent="0.25">
      <c r="A1583" s="113"/>
      <c r="B1583" s="114"/>
      <c r="C1583" s="114"/>
      <c r="D1583" s="114"/>
      <c r="E1583" s="114"/>
    </row>
    <row r="1584" spans="1:5" x14ac:dyDescent="0.25">
      <c r="A1584" s="113"/>
      <c r="B1584" s="114"/>
      <c r="C1584" s="114"/>
      <c r="D1584" s="114"/>
      <c r="E1584" s="114"/>
    </row>
    <row r="1585" spans="1:5" x14ac:dyDescent="0.25">
      <c r="A1585" s="113"/>
      <c r="B1585" s="114"/>
      <c r="C1585" s="114"/>
      <c r="D1585" s="114"/>
      <c r="E1585" s="114"/>
    </row>
    <row r="1586" spans="1:5" x14ac:dyDescent="0.25">
      <c r="A1586" s="113"/>
      <c r="B1586" s="114"/>
      <c r="C1586" s="114"/>
      <c r="D1586" s="114"/>
      <c r="E1586" s="114"/>
    </row>
    <row r="1587" spans="1:5" x14ac:dyDescent="0.25">
      <c r="A1587" s="113"/>
      <c r="B1587" s="114"/>
      <c r="C1587" s="114"/>
      <c r="D1587" s="114"/>
      <c r="E1587" s="114"/>
    </row>
    <row r="1588" spans="1:5" x14ac:dyDescent="0.25">
      <c r="A1588" s="113"/>
      <c r="B1588" s="114"/>
      <c r="C1588" s="114"/>
      <c r="D1588" s="114"/>
      <c r="E1588" s="114"/>
    </row>
    <row r="1589" spans="1:5" x14ac:dyDescent="0.25">
      <c r="A1589" s="113"/>
      <c r="B1589" s="114"/>
      <c r="C1589" s="114"/>
      <c r="D1589" s="114"/>
      <c r="E1589" s="114"/>
    </row>
    <row r="1590" spans="1:5" x14ac:dyDescent="0.25">
      <c r="A1590" s="113"/>
      <c r="B1590" s="114"/>
      <c r="C1590" s="114"/>
      <c r="D1590" s="114"/>
      <c r="E1590" s="114"/>
    </row>
    <row r="1591" spans="1:5" x14ac:dyDescent="0.25">
      <c r="A1591" s="113"/>
      <c r="B1591" s="114"/>
      <c r="C1591" s="114"/>
      <c r="D1591" s="114"/>
      <c r="E1591" s="114"/>
    </row>
    <row r="1592" spans="1:5" x14ac:dyDescent="0.25">
      <c r="A1592" s="113"/>
      <c r="B1592" s="114"/>
      <c r="C1592" s="114"/>
      <c r="D1592" s="114"/>
      <c r="E1592" s="114"/>
    </row>
    <row r="1593" spans="1:5" x14ac:dyDescent="0.25">
      <c r="A1593" s="113"/>
      <c r="B1593" s="114"/>
      <c r="C1593" s="114"/>
      <c r="D1593" s="114"/>
      <c r="E1593" s="114"/>
    </row>
    <row r="1594" spans="1:5" x14ac:dyDescent="0.25">
      <c r="A1594" s="113"/>
      <c r="B1594" s="114"/>
      <c r="C1594" s="114"/>
      <c r="D1594" s="114"/>
      <c r="E1594" s="114"/>
    </row>
    <row r="1595" spans="1:5" x14ac:dyDescent="0.25">
      <c r="A1595" s="113"/>
      <c r="B1595" s="114"/>
      <c r="C1595" s="114"/>
      <c r="D1595" s="114"/>
      <c r="E1595" s="114"/>
    </row>
    <row r="1596" spans="1:5" x14ac:dyDescent="0.25">
      <c r="A1596" s="113"/>
      <c r="B1596" s="114"/>
      <c r="C1596" s="114"/>
      <c r="D1596" s="114"/>
      <c r="E1596" s="114"/>
    </row>
    <row r="1597" spans="1:5" x14ac:dyDescent="0.25">
      <c r="A1597" s="113"/>
      <c r="B1597" s="114"/>
      <c r="C1597" s="114"/>
      <c r="D1597" s="114"/>
      <c r="E1597" s="114"/>
    </row>
    <row r="1598" spans="1:5" x14ac:dyDescent="0.25">
      <c r="A1598" s="113"/>
      <c r="B1598" s="114"/>
      <c r="C1598" s="114"/>
      <c r="D1598" s="114"/>
      <c r="E1598" s="114"/>
    </row>
    <row r="1599" spans="1:5" x14ac:dyDescent="0.25">
      <c r="A1599" s="113"/>
      <c r="B1599" s="114"/>
      <c r="C1599" s="114"/>
      <c r="D1599" s="114"/>
      <c r="E1599" s="114"/>
    </row>
    <row r="1600" spans="1:5" x14ac:dyDescent="0.25">
      <c r="A1600" s="113"/>
      <c r="B1600" s="114"/>
      <c r="C1600" s="114"/>
      <c r="D1600" s="114"/>
      <c r="E1600" s="114"/>
    </row>
    <row r="1601" spans="1:5" x14ac:dyDescent="0.25">
      <c r="A1601" s="113"/>
      <c r="B1601" s="114"/>
      <c r="C1601" s="114"/>
      <c r="D1601" s="114"/>
      <c r="E1601" s="114"/>
    </row>
    <row r="1602" spans="1:5" x14ac:dyDescent="0.25">
      <c r="A1602" s="113"/>
      <c r="B1602" s="114"/>
      <c r="C1602" s="114"/>
      <c r="D1602" s="114"/>
      <c r="E1602" s="114"/>
    </row>
    <row r="1603" spans="1:5" x14ac:dyDescent="0.25">
      <c r="A1603" s="113"/>
      <c r="B1603" s="114"/>
      <c r="C1603" s="114"/>
      <c r="D1603" s="114"/>
      <c r="E1603" s="114"/>
    </row>
    <row r="1604" spans="1:5" x14ac:dyDescent="0.25">
      <c r="A1604" s="113"/>
      <c r="B1604" s="114"/>
      <c r="C1604" s="114"/>
      <c r="D1604" s="114"/>
      <c r="E1604" s="114"/>
    </row>
    <row r="1605" spans="1:5" x14ac:dyDescent="0.25">
      <c r="A1605" s="113"/>
      <c r="B1605" s="114"/>
      <c r="C1605" s="114"/>
      <c r="D1605" s="114"/>
      <c r="E1605" s="114"/>
    </row>
    <row r="1606" spans="1:5" x14ac:dyDescent="0.25">
      <c r="A1606" s="113"/>
      <c r="B1606" s="114"/>
      <c r="C1606" s="114"/>
      <c r="D1606" s="114"/>
      <c r="E1606" s="114"/>
    </row>
    <row r="1607" spans="1:5" x14ac:dyDescent="0.25">
      <c r="A1607" s="113"/>
      <c r="B1607" s="114"/>
      <c r="C1607" s="114"/>
      <c r="D1607" s="114"/>
      <c r="E1607" s="114"/>
    </row>
    <row r="1608" spans="1:5" x14ac:dyDescent="0.25">
      <c r="A1608" s="113"/>
      <c r="B1608" s="114"/>
      <c r="C1608" s="114"/>
      <c r="D1608" s="114"/>
      <c r="E1608" s="114"/>
    </row>
    <row r="1609" spans="1:5" x14ac:dyDescent="0.25">
      <c r="A1609" s="113"/>
      <c r="B1609" s="114"/>
      <c r="C1609" s="114"/>
      <c r="D1609" s="114"/>
      <c r="E1609" s="114"/>
    </row>
    <row r="1610" spans="1:5" x14ac:dyDescent="0.25">
      <c r="A1610" s="113"/>
      <c r="B1610" s="114"/>
      <c r="C1610" s="114"/>
      <c r="D1610" s="114"/>
      <c r="E1610" s="114"/>
    </row>
    <row r="1611" spans="1:5" x14ac:dyDescent="0.25">
      <c r="A1611" s="113"/>
      <c r="B1611" s="114"/>
      <c r="C1611" s="114"/>
      <c r="D1611" s="114"/>
      <c r="E1611" s="114"/>
    </row>
    <row r="1612" spans="1:5" x14ac:dyDescent="0.25">
      <c r="A1612" s="113"/>
      <c r="B1612" s="114"/>
      <c r="C1612" s="114"/>
      <c r="D1612" s="114"/>
      <c r="E1612" s="114"/>
    </row>
    <row r="1613" spans="1:5" x14ac:dyDescent="0.25">
      <c r="A1613" s="113"/>
      <c r="B1613" s="114"/>
      <c r="C1613" s="114"/>
      <c r="D1613" s="114"/>
      <c r="E1613" s="114"/>
    </row>
    <row r="1614" spans="1:5" x14ac:dyDescent="0.25">
      <c r="A1614" s="113"/>
      <c r="B1614" s="114"/>
      <c r="C1614" s="114"/>
      <c r="D1614" s="114"/>
      <c r="E1614" s="114"/>
    </row>
    <row r="1615" spans="1:5" x14ac:dyDescent="0.25">
      <c r="A1615" s="113"/>
      <c r="B1615" s="114"/>
      <c r="C1615" s="114"/>
      <c r="D1615" s="114"/>
      <c r="E1615" s="114"/>
    </row>
    <row r="1616" spans="1:5" x14ac:dyDescent="0.25">
      <c r="A1616" s="113"/>
      <c r="B1616" s="114"/>
      <c r="C1616" s="114"/>
      <c r="D1616" s="114"/>
      <c r="E1616" s="114"/>
    </row>
    <row r="1617" spans="1:5" x14ac:dyDescent="0.25">
      <c r="A1617" s="113"/>
      <c r="B1617" s="114"/>
      <c r="C1617" s="114"/>
      <c r="D1617" s="114"/>
      <c r="E1617" s="114"/>
    </row>
    <row r="1618" spans="1:5" x14ac:dyDescent="0.25">
      <c r="A1618" s="113"/>
      <c r="B1618" s="114"/>
      <c r="C1618" s="114"/>
      <c r="D1618" s="114"/>
      <c r="E1618" s="114"/>
    </row>
    <row r="1619" spans="1:5" x14ac:dyDescent="0.25">
      <c r="A1619" s="113"/>
      <c r="B1619" s="114"/>
      <c r="C1619" s="114"/>
      <c r="D1619" s="114"/>
      <c r="E1619" s="114"/>
    </row>
    <row r="1620" spans="1:5" x14ac:dyDescent="0.25">
      <c r="A1620" s="113"/>
      <c r="B1620" s="114"/>
      <c r="C1620" s="114"/>
      <c r="D1620" s="114"/>
      <c r="E1620" s="114"/>
    </row>
    <row r="1621" spans="1:5" x14ac:dyDescent="0.25">
      <c r="A1621" s="113"/>
      <c r="B1621" s="114"/>
      <c r="C1621" s="114"/>
      <c r="D1621" s="114"/>
      <c r="E1621" s="114"/>
    </row>
    <row r="1622" spans="1:5" x14ac:dyDescent="0.25">
      <c r="A1622" s="113"/>
      <c r="B1622" s="114"/>
      <c r="C1622" s="114"/>
      <c r="D1622" s="114"/>
      <c r="E1622" s="114"/>
    </row>
    <row r="1623" spans="1:5" x14ac:dyDescent="0.25">
      <c r="A1623" s="113"/>
      <c r="B1623" s="114"/>
      <c r="C1623" s="114"/>
      <c r="D1623" s="114"/>
      <c r="E1623" s="114"/>
    </row>
    <row r="1624" spans="1:5" x14ac:dyDescent="0.25">
      <c r="A1624" s="113"/>
      <c r="B1624" s="114"/>
      <c r="C1624" s="114"/>
      <c r="D1624" s="114"/>
      <c r="E1624" s="114"/>
    </row>
    <row r="1625" spans="1:5" x14ac:dyDescent="0.25">
      <c r="A1625" s="113"/>
      <c r="B1625" s="114"/>
      <c r="C1625" s="114"/>
      <c r="D1625" s="114"/>
      <c r="E1625" s="114"/>
    </row>
    <row r="1626" spans="1:5" x14ac:dyDescent="0.25">
      <c r="A1626" s="113"/>
      <c r="B1626" s="114"/>
      <c r="C1626" s="114"/>
      <c r="D1626" s="114"/>
      <c r="E1626" s="114"/>
    </row>
    <row r="1627" spans="1:5" x14ac:dyDescent="0.25">
      <c r="A1627" s="113"/>
      <c r="B1627" s="114"/>
      <c r="C1627" s="114"/>
      <c r="D1627" s="114"/>
      <c r="E1627" s="114"/>
    </row>
    <row r="1628" spans="1:5" x14ac:dyDescent="0.25">
      <c r="A1628" s="113"/>
      <c r="B1628" s="114"/>
      <c r="C1628" s="114"/>
      <c r="D1628" s="114"/>
      <c r="E1628" s="114"/>
    </row>
    <row r="1629" spans="1:5" x14ac:dyDescent="0.25">
      <c r="A1629" s="113"/>
      <c r="B1629" s="114"/>
      <c r="C1629" s="114"/>
      <c r="D1629" s="114"/>
      <c r="E1629" s="114"/>
    </row>
    <row r="1630" spans="1:5" x14ac:dyDescent="0.25">
      <c r="A1630" s="113"/>
      <c r="B1630" s="114"/>
      <c r="C1630" s="114"/>
      <c r="D1630" s="114"/>
      <c r="E1630" s="114"/>
    </row>
    <row r="1631" spans="1:5" x14ac:dyDescent="0.25">
      <c r="A1631" s="113"/>
      <c r="B1631" s="114"/>
      <c r="C1631" s="114"/>
      <c r="D1631" s="114"/>
      <c r="E1631" s="114"/>
    </row>
    <row r="1632" spans="1:5" x14ac:dyDescent="0.25">
      <c r="A1632" s="113"/>
      <c r="B1632" s="114"/>
      <c r="C1632" s="114"/>
      <c r="D1632" s="114"/>
      <c r="E1632" s="114"/>
    </row>
    <row r="1633" spans="1:5" x14ac:dyDescent="0.25">
      <c r="A1633" s="113"/>
      <c r="B1633" s="114"/>
      <c r="C1633" s="114"/>
      <c r="D1633" s="114"/>
      <c r="E1633" s="114"/>
    </row>
    <row r="1634" spans="1:5" x14ac:dyDescent="0.25">
      <c r="A1634" s="113"/>
      <c r="B1634" s="114"/>
      <c r="C1634" s="114"/>
      <c r="D1634" s="114"/>
      <c r="E1634" s="114"/>
    </row>
    <row r="1635" spans="1:5" x14ac:dyDescent="0.25">
      <c r="A1635" s="113"/>
      <c r="B1635" s="114"/>
      <c r="C1635" s="114"/>
      <c r="D1635" s="114"/>
      <c r="E1635" s="114"/>
    </row>
    <row r="1636" spans="1:5" x14ac:dyDescent="0.25">
      <c r="A1636" s="113"/>
      <c r="B1636" s="114"/>
      <c r="C1636" s="114"/>
      <c r="D1636" s="114"/>
      <c r="E1636" s="114"/>
    </row>
    <row r="1637" spans="1:5" x14ac:dyDescent="0.25">
      <c r="A1637" s="113"/>
      <c r="B1637" s="114"/>
      <c r="C1637" s="114"/>
      <c r="D1637" s="114"/>
      <c r="E1637" s="114"/>
    </row>
    <row r="1638" spans="1:5" x14ac:dyDescent="0.25">
      <c r="A1638" s="113"/>
      <c r="B1638" s="114"/>
      <c r="C1638" s="114"/>
      <c r="D1638" s="114"/>
      <c r="E1638" s="114"/>
    </row>
    <row r="1639" spans="1:5" x14ac:dyDescent="0.25">
      <c r="A1639" s="113"/>
      <c r="B1639" s="114"/>
      <c r="C1639" s="114"/>
      <c r="D1639" s="114"/>
      <c r="E1639" s="114"/>
    </row>
    <row r="1640" spans="1:5" x14ac:dyDescent="0.25">
      <c r="A1640" s="113"/>
      <c r="B1640" s="114"/>
      <c r="C1640" s="114"/>
      <c r="D1640" s="114"/>
      <c r="E1640" s="114"/>
    </row>
    <row r="1641" spans="1:5" x14ac:dyDescent="0.25">
      <c r="A1641" s="113"/>
      <c r="B1641" s="114"/>
      <c r="C1641" s="114"/>
      <c r="D1641" s="114"/>
      <c r="E1641" s="114"/>
    </row>
    <row r="1642" spans="1:5" x14ac:dyDescent="0.25">
      <c r="A1642" s="113"/>
      <c r="B1642" s="114"/>
      <c r="C1642" s="114"/>
      <c r="D1642" s="114"/>
      <c r="E1642" s="114"/>
    </row>
    <row r="1643" spans="1:5" x14ac:dyDescent="0.25">
      <c r="A1643" s="113"/>
      <c r="B1643" s="114"/>
      <c r="C1643" s="114"/>
      <c r="D1643" s="114"/>
      <c r="E1643" s="114"/>
    </row>
    <row r="1644" spans="1:5" x14ac:dyDescent="0.25">
      <c r="A1644" s="113"/>
      <c r="B1644" s="114"/>
      <c r="C1644" s="114"/>
      <c r="D1644" s="114"/>
      <c r="E1644" s="114"/>
    </row>
    <row r="1645" spans="1:5" x14ac:dyDescent="0.25">
      <c r="A1645" s="113"/>
      <c r="B1645" s="114"/>
      <c r="C1645" s="114"/>
      <c r="D1645" s="114"/>
      <c r="E1645" s="114"/>
    </row>
    <row r="1646" spans="1:5" x14ac:dyDescent="0.25">
      <c r="A1646" s="113"/>
      <c r="B1646" s="114"/>
      <c r="C1646" s="114"/>
      <c r="D1646" s="114"/>
      <c r="E1646" s="114"/>
    </row>
    <row r="1647" spans="1:5" x14ac:dyDescent="0.25">
      <c r="A1647" s="113"/>
      <c r="B1647" s="114"/>
      <c r="C1647" s="114"/>
      <c r="D1647" s="114"/>
      <c r="E1647" s="114"/>
    </row>
    <row r="1648" spans="1:5" x14ac:dyDescent="0.25">
      <c r="A1648" s="113"/>
      <c r="B1648" s="114"/>
      <c r="C1648" s="114"/>
      <c r="D1648" s="114"/>
      <c r="E1648" s="114"/>
    </row>
    <row r="1649" spans="1:5" x14ac:dyDescent="0.25">
      <c r="A1649" s="113"/>
      <c r="B1649" s="114"/>
      <c r="C1649" s="114"/>
      <c r="D1649" s="114"/>
      <c r="E1649" s="114"/>
    </row>
    <row r="1650" spans="1:5" x14ac:dyDescent="0.25">
      <c r="A1650" s="113"/>
      <c r="B1650" s="114"/>
      <c r="C1650" s="114"/>
      <c r="D1650" s="114"/>
      <c r="E1650" s="114"/>
    </row>
    <row r="1651" spans="1:5" x14ac:dyDescent="0.25">
      <c r="A1651" s="113"/>
      <c r="B1651" s="114"/>
      <c r="C1651" s="114"/>
      <c r="D1651" s="114"/>
      <c r="E1651" s="114"/>
    </row>
    <row r="1652" spans="1:5" x14ac:dyDescent="0.25">
      <c r="A1652" s="113"/>
      <c r="B1652" s="114"/>
      <c r="C1652" s="114"/>
      <c r="D1652" s="114"/>
      <c r="E1652" s="114"/>
    </row>
    <row r="1653" spans="1:5" x14ac:dyDescent="0.25">
      <c r="A1653" s="113"/>
      <c r="B1653" s="114"/>
      <c r="C1653" s="114"/>
      <c r="D1653" s="114"/>
      <c r="E1653" s="114"/>
    </row>
    <row r="1654" spans="1:5" x14ac:dyDescent="0.25">
      <c r="A1654" s="113"/>
      <c r="B1654" s="114"/>
      <c r="C1654" s="114"/>
      <c r="D1654" s="114"/>
      <c r="E1654" s="114"/>
    </row>
    <row r="1655" spans="1:5" x14ac:dyDescent="0.25">
      <c r="A1655" s="113"/>
      <c r="B1655" s="114"/>
      <c r="C1655" s="114"/>
      <c r="D1655" s="114"/>
      <c r="E1655" s="114"/>
    </row>
    <row r="1656" spans="1:5" x14ac:dyDescent="0.25">
      <c r="A1656" s="113"/>
      <c r="B1656" s="114"/>
      <c r="C1656" s="114"/>
      <c r="D1656" s="114"/>
      <c r="E1656" s="114"/>
    </row>
    <row r="1657" spans="1:5" x14ac:dyDescent="0.25">
      <c r="A1657" s="113"/>
      <c r="B1657" s="114"/>
      <c r="C1657" s="114"/>
      <c r="D1657" s="114"/>
      <c r="E1657" s="114"/>
    </row>
    <row r="1658" spans="1:5" x14ac:dyDescent="0.25">
      <c r="A1658" s="113"/>
      <c r="B1658" s="114"/>
      <c r="C1658" s="114"/>
      <c r="D1658" s="114"/>
      <c r="E1658" s="114"/>
    </row>
    <row r="1659" spans="1:5" x14ac:dyDescent="0.25">
      <c r="A1659" s="113"/>
      <c r="B1659" s="114"/>
      <c r="C1659" s="114"/>
      <c r="D1659" s="114"/>
      <c r="E1659" s="114"/>
    </row>
    <row r="1660" spans="1:5" x14ac:dyDescent="0.25">
      <c r="A1660" s="113"/>
      <c r="B1660" s="114"/>
      <c r="C1660" s="114"/>
      <c r="D1660" s="114"/>
      <c r="E1660" s="114"/>
    </row>
    <row r="1661" spans="1:5" x14ac:dyDescent="0.25">
      <c r="A1661" s="113"/>
      <c r="B1661" s="114"/>
      <c r="C1661" s="114"/>
      <c r="D1661" s="114"/>
      <c r="E1661" s="114"/>
    </row>
    <row r="1662" spans="1:5" x14ac:dyDescent="0.25">
      <c r="A1662" s="113"/>
      <c r="B1662" s="114"/>
      <c r="C1662" s="114"/>
      <c r="D1662" s="114"/>
      <c r="E1662" s="114"/>
    </row>
    <row r="1663" spans="1:5" x14ac:dyDescent="0.25">
      <c r="A1663" s="113"/>
      <c r="B1663" s="114"/>
      <c r="C1663" s="114"/>
      <c r="D1663" s="114"/>
      <c r="E1663" s="114"/>
    </row>
    <row r="1664" spans="1:5" x14ac:dyDescent="0.25">
      <c r="A1664" s="113"/>
      <c r="B1664" s="114"/>
      <c r="C1664" s="114"/>
      <c r="D1664" s="114"/>
      <c r="E1664" s="114"/>
    </row>
    <row r="1665" spans="1:5" x14ac:dyDescent="0.25">
      <c r="A1665" s="113"/>
      <c r="B1665" s="114"/>
      <c r="C1665" s="114"/>
      <c r="D1665" s="114"/>
      <c r="E1665" s="114"/>
    </row>
    <row r="1666" spans="1:5" x14ac:dyDescent="0.25">
      <c r="A1666" s="113"/>
      <c r="B1666" s="114"/>
      <c r="C1666" s="114"/>
      <c r="D1666" s="114"/>
      <c r="E1666" s="114"/>
    </row>
    <row r="1667" spans="1:5" x14ac:dyDescent="0.25">
      <c r="A1667" s="113"/>
      <c r="B1667" s="114"/>
      <c r="C1667" s="114"/>
      <c r="D1667" s="114"/>
      <c r="E1667" s="114"/>
    </row>
    <row r="1668" spans="1:5" x14ac:dyDescent="0.25">
      <c r="A1668" s="113"/>
      <c r="B1668" s="114"/>
      <c r="C1668" s="114"/>
      <c r="D1668" s="114"/>
      <c r="E1668" s="114"/>
    </row>
    <row r="1669" spans="1:5" x14ac:dyDescent="0.25">
      <c r="A1669" s="113"/>
      <c r="B1669" s="114"/>
      <c r="C1669" s="114"/>
      <c r="D1669" s="114"/>
      <c r="E1669" s="114"/>
    </row>
    <row r="1670" spans="1:5" x14ac:dyDescent="0.25">
      <c r="A1670" s="113"/>
      <c r="B1670" s="114"/>
      <c r="C1670" s="114"/>
      <c r="D1670" s="114"/>
      <c r="E1670" s="114"/>
    </row>
    <row r="1671" spans="1:5" x14ac:dyDescent="0.25">
      <c r="A1671" s="113"/>
      <c r="B1671" s="114"/>
      <c r="C1671" s="114"/>
      <c r="D1671" s="114"/>
      <c r="E1671" s="114"/>
    </row>
    <row r="1672" spans="1:5" x14ac:dyDescent="0.25">
      <c r="A1672" s="113"/>
      <c r="B1672" s="114"/>
      <c r="C1672" s="114"/>
      <c r="D1672" s="114"/>
      <c r="E1672" s="114"/>
    </row>
    <row r="1673" spans="1:5" x14ac:dyDescent="0.25">
      <c r="A1673" s="113"/>
      <c r="B1673" s="114"/>
      <c r="C1673" s="114"/>
      <c r="D1673" s="114"/>
      <c r="E1673" s="114"/>
    </row>
    <row r="1674" spans="1:5" x14ac:dyDescent="0.25">
      <c r="A1674" s="113"/>
      <c r="B1674" s="114"/>
      <c r="C1674" s="114"/>
      <c r="D1674" s="114"/>
      <c r="E1674" s="114"/>
    </row>
    <row r="1675" spans="1:5" x14ac:dyDescent="0.25">
      <c r="A1675" s="113"/>
      <c r="B1675" s="114"/>
      <c r="C1675" s="114"/>
      <c r="D1675" s="114"/>
      <c r="E1675" s="114"/>
    </row>
    <row r="1676" spans="1:5" x14ac:dyDescent="0.25">
      <c r="A1676" s="113"/>
      <c r="B1676" s="114"/>
      <c r="C1676" s="114"/>
      <c r="D1676" s="114"/>
      <c r="E1676" s="114"/>
    </row>
    <row r="1677" spans="1:5" x14ac:dyDescent="0.25">
      <c r="A1677" s="113"/>
      <c r="B1677" s="114"/>
      <c r="C1677" s="114"/>
      <c r="D1677" s="114"/>
      <c r="E1677" s="114"/>
    </row>
    <row r="1678" spans="1:5" x14ac:dyDescent="0.25">
      <c r="A1678" s="113"/>
      <c r="B1678" s="114"/>
      <c r="C1678" s="114"/>
      <c r="D1678" s="114"/>
      <c r="E1678" s="114"/>
    </row>
    <row r="1679" spans="1:5" x14ac:dyDescent="0.25">
      <c r="A1679" s="113"/>
      <c r="B1679" s="114"/>
      <c r="C1679" s="114"/>
      <c r="D1679" s="114"/>
      <c r="E1679" s="114"/>
    </row>
    <row r="1680" spans="1:5" x14ac:dyDescent="0.25">
      <c r="A1680" s="113"/>
      <c r="B1680" s="114"/>
      <c r="C1680" s="114"/>
      <c r="D1680" s="114"/>
      <c r="E1680" s="114"/>
    </row>
    <row r="1681" spans="1:5" x14ac:dyDescent="0.25">
      <c r="A1681" s="113"/>
      <c r="B1681" s="114"/>
      <c r="C1681" s="114"/>
      <c r="D1681" s="114"/>
      <c r="E1681" s="114"/>
    </row>
    <row r="1682" spans="1:5" x14ac:dyDescent="0.25">
      <c r="A1682" s="113"/>
      <c r="B1682" s="114"/>
      <c r="C1682" s="114"/>
      <c r="D1682" s="114"/>
      <c r="E1682" s="114"/>
    </row>
    <row r="1683" spans="1:5" x14ac:dyDescent="0.25">
      <c r="A1683" s="113"/>
      <c r="B1683" s="114"/>
      <c r="C1683" s="114"/>
      <c r="D1683" s="114"/>
      <c r="E1683" s="114"/>
    </row>
    <row r="1684" spans="1:5" x14ac:dyDescent="0.25">
      <c r="A1684" s="113"/>
      <c r="B1684" s="114"/>
      <c r="C1684" s="114"/>
      <c r="D1684" s="114"/>
      <c r="E1684" s="114"/>
    </row>
    <row r="1685" spans="1:5" x14ac:dyDescent="0.25">
      <c r="A1685" s="113"/>
      <c r="B1685" s="114"/>
      <c r="C1685" s="114"/>
      <c r="D1685" s="114"/>
      <c r="E1685" s="114"/>
    </row>
    <row r="1686" spans="1:5" x14ac:dyDescent="0.25">
      <c r="A1686" s="113"/>
      <c r="B1686" s="114"/>
      <c r="C1686" s="114"/>
      <c r="D1686" s="114"/>
      <c r="E1686" s="114"/>
    </row>
    <row r="1687" spans="1:5" x14ac:dyDescent="0.25">
      <c r="A1687" s="113"/>
      <c r="B1687" s="114"/>
      <c r="C1687" s="114"/>
      <c r="D1687" s="114"/>
      <c r="E1687" s="114"/>
    </row>
    <row r="1688" spans="1:5" x14ac:dyDescent="0.25">
      <c r="A1688" s="113"/>
      <c r="B1688" s="114"/>
      <c r="C1688" s="114"/>
      <c r="D1688" s="114"/>
      <c r="E1688" s="114"/>
    </row>
    <row r="1689" spans="1:5" x14ac:dyDescent="0.25">
      <c r="A1689" s="113"/>
      <c r="B1689" s="114"/>
      <c r="C1689" s="114"/>
      <c r="D1689" s="114"/>
      <c r="E1689" s="114"/>
    </row>
    <row r="1690" spans="1:5" x14ac:dyDescent="0.25">
      <c r="A1690" s="113"/>
      <c r="B1690" s="114"/>
      <c r="C1690" s="114"/>
      <c r="D1690" s="114"/>
      <c r="E1690" s="114"/>
    </row>
    <row r="1691" spans="1:5" x14ac:dyDescent="0.25">
      <c r="A1691" s="113"/>
      <c r="B1691" s="114"/>
      <c r="C1691" s="114"/>
      <c r="D1691" s="114"/>
      <c r="E1691" s="114"/>
    </row>
    <row r="1692" spans="1:5" x14ac:dyDescent="0.25">
      <c r="A1692" s="113"/>
      <c r="B1692" s="114"/>
      <c r="C1692" s="114"/>
      <c r="D1692" s="114"/>
      <c r="E1692" s="114"/>
    </row>
    <row r="1693" spans="1:5" x14ac:dyDescent="0.25">
      <c r="A1693" s="113"/>
      <c r="B1693" s="114"/>
      <c r="C1693" s="114"/>
      <c r="D1693" s="114"/>
      <c r="E1693" s="114"/>
    </row>
    <row r="1694" spans="1:5" x14ac:dyDescent="0.25">
      <c r="A1694" s="113"/>
      <c r="B1694" s="114"/>
      <c r="C1694" s="114"/>
      <c r="D1694" s="114"/>
      <c r="E1694" s="114"/>
    </row>
    <row r="1695" spans="1:5" x14ac:dyDescent="0.25">
      <c r="A1695" s="113"/>
      <c r="B1695" s="114"/>
      <c r="C1695" s="114"/>
      <c r="D1695" s="114"/>
      <c r="E1695" s="114"/>
    </row>
    <row r="1696" spans="1:5" x14ac:dyDescent="0.25">
      <c r="A1696" s="113"/>
      <c r="B1696" s="114"/>
      <c r="C1696" s="114"/>
      <c r="D1696" s="114"/>
      <c r="E1696" s="114"/>
    </row>
    <row r="1697" spans="1:5" x14ac:dyDescent="0.25">
      <c r="A1697" s="113"/>
      <c r="B1697" s="114"/>
      <c r="C1697" s="114"/>
      <c r="D1697" s="114"/>
      <c r="E1697" s="114"/>
    </row>
    <row r="1698" spans="1:5" x14ac:dyDescent="0.25">
      <c r="A1698" s="113"/>
      <c r="B1698" s="114"/>
      <c r="C1698" s="114"/>
      <c r="D1698" s="114"/>
      <c r="E1698" s="114"/>
    </row>
    <row r="1699" spans="1:5" x14ac:dyDescent="0.25">
      <c r="A1699" s="113"/>
      <c r="B1699" s="114"/>
      <c r="C1699" s="114"/>
      <c r="D1699" s="114"/>
      <c r="E1699" s="114"/>
    </row>
    <row r="1700" spans="1:5" x14ac:dyDescent="0.25">
      <c r="A1700" s="113"/>
      <c r="B1700" s="114"/>
      <c r="C1700" s="114"/>
      <c r="D1700" s="114"/>
      <c r="E1700" s="114"/>
    </row>
    <row r="1701" spans="1:5" x14ac:dyDescent="0.25">
      <c r="A1701" s="113"/>
      <c r="B1701" s="114"/>
      <c r="C1701" s="114"/>
      <c r="D1701" s="114"/>
      <c r="E1701" s="114"/>
    </row>
    <row r="1702" spans="1:5" x14ac:dyDescent="0.25">
      <c r="A1702" s="113"/>
      <c r="B1702" s="114"/>
      <c r="C1702" s="114"/>
      <c r="D1702" s="114"/>
      <c r="E1702" s="114"/>
    </row>
    <row r="1703" spans="1:5" x14ac:dyDescent="0.25">
      <c r="A1703" s="113"/>
      <c r="B1703" s="114"/>
      <c r="C1703" s="114"/>
      <c r="D1703" s="114"/>
      <c r="E1703" s="114"/>
    </row>
    <row r="1704" spans="1:5" x14ac:dyDescent="0.25">
      <c r="A1704" s="113"/>
      <c r="B1704" s="114"/>
      <c r="C1704" s="114"/>
      <c r="D1704" s="114"/>
      <c r="E1704" s="114"/>
    </row>
    <row r="1705" spans="1:5" x14ac:dyDescent="0.25">
      <c r="A1705" s="113"/>
      <c r="B1705" s="114"/>
      <c r="C1705" s="114"/>
      <c r="D1705" s="114"/>
      <c r="E1705" s="114"/>
    </row>
    <row r="1706" spans="1:5" x14ac:dyDescent="0.25">
      <c r="A1706" s="113"/>
      <c r="B1706" s="114"/>
      <c r="C1706" s="114"/>
      <c r="D1706" s="114"/>
      <c r="E1706" s="114"/>
    </row>
    <row r="1707" spans="1:5" x14ac:dyDescent="0.25">
      <c r="A1707" s="113"/>
      <c r="B1707" s="114"/>
      <c r="C1707" s="114"/>
      <c r="D1707" s="114"/>
      <c r="E1707" s="114"/>
    </row>
    <row r="1708" spans="1:5" x14ac:dyDescent="0.25">
      <c r="A1708" s="113"/>
      <c r="B1708" s="114"/>
      <c r="C1708" s="114"/>
      <c r="D1708" s="114"/>
      <c r="E1708" s="114"/>
    </row>
    <row r="1709" spans="1:5" x14ac:dyDescent="0.25">
      <c r="A1709" s="113"/>
      <c r="B1709" s="114"/>
      <c r="C1709" s="114"/>
      <c r="D1709" s="114"/>
      <c r="E1709" s="114"/>
    </row>
    <row r="1710" spans="1:5" x14ac:dyDescent="0.25">
      <c r="A1710" s="113"/>
      <c r="B1710" s="114"/>
      <c r="C1710" s="114"/>
      <c r="D1710" s="114"/>
      <c r="E1710" s="114"/>
    </row>
    <row r="1711" spans="1:5" x14ac:dyDescent="0.25">
      <c r="A1711" s="113"/>
      <c r="B1711" s="114"/>
      <c r="C1711" s="114"/>
      <c r="D1711" s="114"/>
      <c r="E1711" s="114"/>
    </row>
    <row r="1712" spans="1:5" x14ac:dyDescent="0.25">
      <c r="A1712" s="113"/>
      <c r="B1712" s="114"/>
      <c r="C1712" s="114"/>
      <c r="D1712" s="114"/>
      <c r="E1712" s="114"/>
    </row>
    <row r="1713" spans="1:5" x14ac:dyDescent="0.25">
      <c r="A1713" s="113"/>
      <c r="B1713" s="114"/>
      <c r="C1713" s="114"/>
      <c r="D1713" s="114"/>
      <c r="E1713" s="114"/>
    </row>
    <row r="1714" spans="1:5" x14ac:dyDescent="0.25">
      <c r="A1714" s="113"/>
      <c r="B1714" s="114"/>
      <c r="C1714" s="114"/>
      <c r="D1714" s="114"/>
      <c r="E1714" s="114"/>
    </row>
    <row r="1715" spans="1:5" x14ac:dyDescent="0.25">
      <c r="A1715" s="113"/>
      <c r="B1715" s="114"/>
      <c r="C1715" s="114"/>
      <c r="D1715" s="114"/>
      <c r="E1715" s="114"/>
    </row>
    <row r="1716" spans="1:5" x14ac:dyDescent="0.25">
      <c r="A1716" s="113"/>
      <c r="B1716" s="114"/>
      <c r="C1716" s="114"/>
      <c r="D1716" s="114"/>
      <c r="E1716" s="114"/>
    </row>
    <row r="1717" spans="1:5" x14ac:dyDescent="0.25">
      <c r="A1717" s="113"/>
      <c r="B1717" s="114"/>
      <c r="C1717" s="114"/>
      <c r="D1717" s="114"/>
      <c r="E1717" s="114"/>
    </row>
    <row r="1718" spans="1:5" x14ac:dyDescent="0.25">
      <c r="A1718" s="113"/>
      <c r="B1718" s="114"/>
      <c r="C1718" s="114"/>
      <c r="D1718" s="114"/>
      <c r="E1718" s="114"/>
    </row>
    <row r="1719" spans="1:5" x14ac:dyDescent="0.25">
      <c r="A1719" s="113"/>
      <c r="B1719" s="114"/>
      <c r="C1719" s="114"/>
      <c r="D1719" s="114"/>
      <c r="E1719" s="114"/>
    </row>
    <row r="1720" spans="1:5" x14ac:dyDescent="0.25">
      <c r="A1720" s="113"/>
      <c r="B1720" s="114"/>
      <c r="C1720" s="114"/>
      <c r="D1720" s="114"/>
      <c r="E1720" s="114"/>
    </row>
    <row r="1721" spans="1:5" x14ac:dyDescent="0.25">
      <c r="A1721" s="113"/>
      <c r="B1721" s="114"/>
      <c r="C1721" s="114"/>
      <c r="D1721" s="114"/>
      <c r="E1721" s="114"/>
    </row>
    <row r="1722" spans="1:5" x14ac:dyDescent="0.25">
      <c r="A1722" s="113"/>
      <c r="B1722" s="114"/>
      <c r="C1722" s="114"/>
      <c r="D1722" s="114"/>
      <c r="E1722" s="114"/>
    </row>
    <row r="1723" spans="1:5" x14ac:dyDescent="0.25">
      <c r="A1723" s="113"/>
      <c r="B1723" s="114"/>
      <c r="C1723" s="114"/>
      <c r="D1723" s="114"/>
      <c r="E1723" s="114"/>
    </row>
    <row r="1724" spans="1:5" x14ac:dyDescent="0.25">
      <c r="A1724" s="113"/>
      <c r="B1724" s="114"/>
      <c r="C1724" s="114"/>
      <c r="D1724" s="114"/>
      <c r="E1724" s="114"/>
    </row>
    <row r="1725" spans="1:5" x14ac:dyDescent="0.25">
      <c r="A1725" s="113"/>
      <c r="B1725" s="114"/>
      <c r="C1725" s="114"/>
      <c r="D1725" s="114"/>
      <c r="E1725" s="114"/>
    </row>
    <row r="1726" spans="1:5" x14ac:dyDescent="0.25">
      <c r="A1726" s="113"/>
      <c r="B1726" s="114"/>
      <c r="C1726" s="114"/>
      <c r="D1726" s="114"/>
      <c r="E1726" s="114"/>
    </row>
    <row r="1727" spans="1:5" x14ac:dyDescent="0.25">
      <c r="A1727" s="113"/>
      <c r="B1727" s="114"/>
      <c r="C1727" s="114"/>
      <c r="D1727" s="114"/>
      <c r="E1727" s="114"/>
    </row>
    <row r="1728" spans="1:5" x14ac:dyDescent="0.25">
      <c r="A1728" s="113"/>
      <c r="B1728" s="114"/>
      <c r="C1728" s="114"/>
      <c r="D1728" s="114"/>
      <c r="E1728" s="114"/>
    </row>
    <row r="1729" spans="1:5" x14ac:dyDescent="0.25">
      <c r="A1729" s="113"/>
      <c r="B1729" s="114"/>
      <c r="C1729" s="114"/>
      <c r="D1729" s="114"/>
      <c r="E1729" s="114"/>
    </row>
    <row r="1730" spans="1:5" x14ac:dyDescent="0.25">
      <c r="A1730" s="113"/>
      <c r="B1730" s="114"/>
      <c r="C1730" s="114"/>
      <c r="D1730" s="114"/>
      <c r="E1730" s="114"/>
    </row>
    <row r="1731" spans="1:5" x14ac:dyDescent="0.25">
      <c r="A1731" s="113"/>
      <c r="B1731" s="114"/>
      <c r="C1731" s="114"/>
      <c r="D1731" s="114"/>
      <c r="E1731" s="114"/>
    </row>
    <row r="1732" spans="1:5" x14ac:dyDescent="0.25">
      <c r="A1732" s="113"/>
      <c r="B1732" s="114"/>
      <c r="C1732" s="114"/>
      <c r="D1732" s="114"/>
      <c r="E1732" s="114"/>
    </row>
    <row r="1733" spans="1:5" x14ac:dyDescent="0.25">
      <c r="A1733" s="113"/>
      <c r="B1733" s="114"/>
      <c r="C1733" s="114"/>
      <c r="D1733" s="114"/>
      <c r="E1733" s="114"/>
    </row>
    <row r="1734" spans="1:5" x14ac:dyDescent="0.25">
      <c r="A1734" s="113"/>
      <c r="B1734" s="114"/>
      <c r="C1734" s="114"/>
      <c r="D1734" s="114"/>
      <c r="E1734" s="114"/>
    </row>
    <row r="1735" spans="1:5" x14ac:dyDescent="0.25">
      <c r="A1735" s="113"/>
      <c r="B1735" s="114"/>
      <c r="C1735" s="114"/>
      <c r="D1735" s="114"/>
      <c r="E1735" s="114"/>
    </row>
    <row r="1736" spans="1:5" x14ac:dyDescent="0.25">
      <c r="A1736" s="113"/>
      <c r="B1736" s="114"/>
      <c r="C1736" s="114"/>
      <c r="D1736" s="114"/>
      <c r="E1736" s="114"/>
    </row>
    <row r="1737" spans="1:5" x14ac:dyDescent="0.25">
      <c r="A1737" s="113"/>
      <c r="B1737" s="114"/>
      <c r="C1737" s="114"/>
      <c r="D1737" s="114"/>
      <c r="E1737" s="114"/>
    </row>
    <row r="1738" spans="1:5" x14ac:dyDescent="0.25">
      <c r="A1738" s="113"/>
      <c r="B1738" s="114"/>
      <c r="C1738" s="114"/>
      <c r="D1738" s="114"/>
      <c r="E1738" s="114"/>
    </row>
    <row r="1739" spans="1:5" x14ac:dyDescent="0.25">
      <c r="A1739" s="113"/>
      <c r="B1739" s="114"/>
      <c r="C1739" s="114"/>
      <c r="D1739" s="114"/>
      <c r="E1739" s="114"/>
    </row>
    <row r="1740" spans="1:5" x14ac:dyDescent="0.25">
      <c r="A1740" s="113"/>
      <c r="B1740" s="114"/>
      <c r="C1740" s="114"/>
      <c r="D1740" s="114"/>
      <c r="E1740" s="114"/>
    </row>
    <row r="1741" spans="1:5" x14ac:dyDescent="0.25">
      <c r="A1741" s="113"/>
      <c r="B1741" s="114"/>
      <c r="C1741" s="114"/>
      <c r="D1741" s="114"/>
      <c r="E1741" s="114"/>
    </row>
    <row r="1742" spans="1:5" x14ac:dyDescent="0.25">
      <c r="A1742" s="113"/>
      <c r="B1742" s="114"/>
      <c r="C1742" s="114"/>
      <c r="D1742" s="114"/>
      <c r="E1742" s="114"/>
    </row>
    <row r="1743" spans="1:5" x14ac:dyDescent="0.25">
      <c r="A1743" s="113"/>
      <c r="B1743" s="114"/>
      <c r="C1743" s="114"/>
      <c r="D1743" s="114"/>
      <c r="E1743" s="114"/>
    </row>
    <row r="1744" spans="1:5" x14ac:dyDescent="0.25">
      <c r="A1744" s="113"/>
      <c r="B1744" s="114"/>
      <c r="C1744" s="114"/>
      <c r="D1744" s="114"/>
      <c r="E1744" s="114"/>
    </row>
    <row r="1745" spans="1:5" x14ac:dyDescent="0.25">
      <c r="A1745" s="113"/>
      <c r="B1745" s="114"/>
      <c r="C1745" s="114"/>
      <c r="D1745" s="114"/>
      <c r="E1745" s="114"/>
    </row>
    <row r="1746" spans="1:5" x14ac:dyDescent="0.25">
      <c r="A1746" s="113"/>
      <c r="B1746" s="114"/>
      <c r="C1746" s="114"/>
      <c r="D1746" s="114"/>
      <c r="E1746" s="114"/>
    </row>
    <row r="1747" spans="1:5" x14ac:dyDescent="0.25">
      <c r="A1747" s="113"/>
      <c r="B1747" s="114"/>
      <c r="C1747" s="114"/>
      <c r="D1747" s="114"/>
      <c r="E1747" s="114"/>
    </row>
    <row r="1748" spans="1:5" x14ac:dyDescent="0.25">
      <c r="A1748" s="113"/>
      <c r="B1748" s="114"/>
      <c r="C1748" s="114"/>
      <c r="D1748" s="114"/>
      <c r="E1748" s="114"/>
    </row>
    <row r="1749" spans="1:5" x14ac:dyDescent="0.25">
      <c r="A1749" s="113"/>
      <c r="B1749" s="114"/>
      <c r="C1749" s="114"/>
      <c r="D1749" s="114"/>
      <c r="E1749" s="114"/>
    </row>
    <row r="1750" spans="1:5" x14ac:dyDescent="0.25">
      <c r="A1750" s="113"/>
      <c r="B1750" s="114"/>
      <c r="C1750" s="114"/>
      <c r="D1750" s="114"/>
      <c r="E1750" s="114"/>
    </row>
    <row r="1751" spans="1:5" x14ac:dyDescent="0.25">
      <c r="A1751" s="113"/>
      <c r="B1751" s="114"/>
      <c r="C1751" s="114"/>
      <c r="D1751" s="114"/>
      <c r="E1751" s="114"/>
    </row>
    <row r="1752" spans="1:5" x14ac:dyDescent="0.25">
      <c r="A1752" s="113"/>
      <c r="B1752" s="114"/>
      <c r="C1752" s="114"/>
      <c r="D1752" s="114"/>
      <c r="E1752" s="114"/>
    </row>
    <row r="1753" spans="1:5" x14ac:dyDescent="0.25">
      <c r="A1753" s="113"/>
      <c r="B1753" s="114"/>
      <c r="C1753" s="114"/>
      <c r="D1753" s="114"/>
      <c r="E1753" s="114"/>
    </row>
    <row r="1754" spans="1:5" x14ac:dyDescent="0.25">
      <c r="A1754" s="113"/>
      <c r="B1754" s="114"/>
      <c r="C1754" s="114"/>
      <c r="D1754" s="114"/>
      <c r="E1754" s="114"/>
    </row>
    <row r="1755" spans="1:5" x14ac:dyDescent="0.25">
      <c r="A1755" s="113"/>
      <c r="B1755" s="114"/>
      <c r="C1755" s="114"/>
      <c r="D1755" s="114"/>
      <c r="E1755" s="114"/>
    </row>
    <row r="1756" spans="1:5" x14ac:dyDescent="0.25">
      <c r="A1756" s="113"/>
      <c r="B1756" s="114"/>
      <c r="C1756" s="114"/>
      <c r="D1756" s="114"/>
      <c r="E1756" s="114"/>
    </row>
    <row r="1757" spans="1:5" x14ac:dyDescent="0.25">
      <c r="A1757" s="113"/>
      <c r="B1757" s="114"/>
      <c r="C1757" s="114"/>
      <c r="D1757" s="114"/>
      <c r="E1757" s="114"/>
    </row>
    <row r="1758" spans="1:5" x14ac:dyDescent="0.25">
      <c r="A1758" s="113"/>
      <c r="B1758" s="114"/>
      <c r="C1758" s="114"/>
      <c r="D1758" s="114"/>
      <c r="E1758" s="114"/>
    </row>
    <row r="1759" spans="1:5" x14ac:dyDescent="0.25">
      <c r="A1759" s="113"/>
      <c r="B1759" s="114"/>
      <c r="C1759" s="114"/>
      <c r="D1759" s="114"/>
      <c r="E1759" s="114"/>
    </row>
    <row r="1760" spans="1:5" x14ac:dyDescent="0.25">
      <c r="A1760" s="113"/>
      <c r="B1760" s="114"/>
      <c r="C1760" s="114"/>
      <c r="D1760" s="114"/>
      <c r="E1760" s="114"/>
    </row>
    <row r="1761" spans="1:5" x14ac:dyDescent="0.25">
      <c r="A1761" s="113"/>
      <c r="B1761" s="114"/>
      <c r="C1761" s="114"/>
      <c r="D1761" s="114"/>
      <c r="E1761" s="114"/>
    </row>
    <row r="1762" spans="1:5" x14ac:dyDescent="0.25">
      <c r="A1762" s="113"/>
      <c r="B1762" s="114"/>
      <c r="C1762" s="114"/>
      <c r="D1762" s="114"/>
      <c r="E1762" s="114"/>
    </row>
    <row r="1763" spans="1:5" x14ac:dyDescent="0.25">
      <c r="A1763" s="113"/>
      <c r="B1763" s="114"/>
      <c r="C1763" s="114"/>
      <c r="D1763" s="114"/>
      <c r="E1763" s="114"/>
    </row>
    <row r="1764" spans="1:5" x14ac:dyDescent="0.25">
      <c r="A1764" s="113"/>
      <c r="B1764" s="114"/>
      <c r="C1764" s="114"/>
      <c r="D1764" s="114"/>
      <c r="E1764" s="114"/>
    </row>
    <row r="1765" spans="1:5" x14ac:dyDescent="0.25">
      <c r="A1765" s="113"/>
      <c r="B1765" s="114"/>
      <c r="C1765" s="114"/>
      <c r="D1765" s="114"/>
      <c r="E1765" s="114"/>
    </row>
    <row r="1766" spans="1:5" x14ac:dyDescent="0.25">
      <c r="A1766" s="113"/>
      <c r="B1766" s="114"/>
      <c r="C1766" s="114"/>
      <c r="D1766" s="114"/>
      <c r="E1766" s="114"/>
    </row>
    <row r="1767" spans="1:5" x14ac:dyDescent="0.25">
      <c r="A1767" s="113"/>
      <c r="B1767" s="114"/>
      <c r="C1767" s="114"/>
      <c r="D1767" s="114"/>
      <c r="E1767" s="114"/>
    </row>
    <row r="1768" spans="1:5" x14ac:dyDescent="0.25">
      <c r="A1768" s="113"/>
      <c r="B1768" s="114"/>
      <c r="C1768" s="114"/>
      <c r="D1768" s="114"/>
      <c r="E1768" s="114"/>
    </row>
    <row r="1769" spans="1:5" x14ac:dyDescent="0.25">
      <c r="A1769" s="113"/>
      <c r="B1769" s="114"/>
      <c r="C1769" s="114"/>
      <c r="D1769" s="114"/>
      <c r="E1769" s="114"/>
    </row>
    <row r="1770" spans="1:5" x14ac:dyDescent="0.25">
      <c r="A1770" s="113"/>
      <c r="B1770" s="114"/>
      <c r="C1770" s="114"/>
      <c r="D1770" s="114"/>
      <c r="E1770" s="114"/>
    </row>
    <row r="1771" spans="1:5" x14ac:dyDescent="0.25">
      <c r="A1771" s="113"/>
      <c r="B1771" s="114"/>
      <c r="C1771" s="114"/>
      <c r="D1771" s="114"/>
      <c r="E1771" s="114"/>
    </row>
    <row r="1772" spans="1:5" x14ac:dyDescent="0.25">
      <c r="A1772" s="113"/>
      <c r="B1772" s="114"/>
      <c r="C1772" s="114"/>
      <c r="D1772" s="114"/>
      <c r="E1772" s="114"/>
    </row>
    <row r="1773" spans="1:5" x14ac:dyDescent="0.25">
      <c r="A1773" s="113"/>
      <c r="B1773" s="114"/>
      <c r="C1773" s="114"/>
      <c r="D1773" s="114"/>
      <c r="E1773" s="114"/>
    </row>
    <row r="1774" spans="1:5" x14ac:dyDescent="0.25">
      <c r="A1774" s="113"/>
      <c r="B1774" s="114"/>
      <c r="C1774" s="114"/>
      <c r="D1774" s="114"/>
      <c r="E1774" s="114"/>
    </row>
    <row r="1775" spans="1:5" x14ac:dyDescent="0.25">
      <c r="A1775" s="113"/>
      <c r="B1775" s="114"/>
      <c r="C1775" s="114"/>
      <c r="D1775" s="114"/>
      <c r="E1775" s="114"/>
    </row>
    <row r="1776" spans="1:5" x14ac:dyDescent="0.25">
      <c r="A1776" s="113"/>
      <c r="B1776" s="114"/>
      <c r="C1776" s="114"/>
      <c r="D1776" s="114"/>
      <c r="E1776" s="114"/>
    </row>
    <row r="1777" spans="1:5" x14ac:dyDescent="0.25">
      <c r="A1777" s="113"/>
      <c r="B1777" s="114"/>
      <c r="C1777" s="114"/>
      <c r="D1777" s="114"/>
      <c r="E1777" s="114"/>
    </row>
    <row r="1778" spans="1:5" x14ac:dyDescent="0.25">
      <c r="A1778" s="113"/>
      <c r="B1778" s="114"/>
      <c r="C1778" s="114"/>
      <c r="D1778" s="114"/>
      <c r="E1778" s="114"/>
    </row>
    <row r="1779" spans="1:5" x14ac:dyDescent="0.25">
      <c r="A1779" s="113"/>
      <c r="B1779" s="114"/>
      <c r="C1779" s="114"/>
      <c r="D1779" s="114"/>
      <c r="E1779" s="114"/>
    </row>
    <row r="1780" spans="1:5" x14ac:dyDescent="0.25">
      <c r="A1780" s="113"/>
      <c r="B1780" s="114"/>
      <c r="C1780" s="114"/>
      <c r="D1780" s="114"/>
      <c r="E1780" s="114"/>
    </row>
    <row r="1781" spans="1:5" x14ac:dyDescent="0.25">
      <c r="A1781" s="113"/>
      <c r="B1781" s="114"/>
      <c r="C1781" s="114"/>
      <c r="D1781" s="114"/>
      <c r="E1781" s="114"/>
    </row>
    <row r="1782" spans="1:5" x14ac:dyDescent="0.25">
      <c r="A1782" s="113"/>
      <c r="B1782" s="114"/>
      <c r="C1782" s="114"/>
      <c r="D1782" s="114"/>
      <c r="E1782" s="114"/>
    </row>
    <row r="1783" spans="1:5" x14ac:dyDescent="0.25">
      <c r="A1783" s="113"/>
      <c r="B1783" s="114"/>
      <c r="C1783" s="114"/>
      <c r="D1783" s="114"/>
      <c r="E1783" s="114"/>
    </row>
    <row r="1784" spans="1:5" x14ac:dyDescent="0.25">
      <c r="A1784" s="113"/>
      <c r="B1784" s="114"/>
      <c r="C1784" s="114"/>
      <c r="D1784" s="114"/>
      <c r="E1784" s="114"/>
    </row>
    <row r="1785" spans="1:5" x14ac:dyDescent="0.25">
      <c r="A1785" s="113"/>
      <c r="B1785" s="114"/>
      <c r="C1785" s="114"/>
      <c r="D1785" s="114"/>
      <c r="E1785" s="114"/>
    </row>
    <row r="1786" spans="1:5" x14ac:dyDescent="0.25">
      <c r="A1786" s="113"/>
      <c r="B1786" s="114"/>
      <c r="C1786" s="114"/>
      <c r="D1786" s="114"/>
      <c r="E1786" s="114"/>
    </row>
    <row r="1787" spans="1:5" x14ac:dyDescent="0.25">
      <c r="A1787" s="113"/>
      <c r="B1787" s="114"/>
      <c r="C1787" s="114"/>
      <c r="D1787" s="114"/>
      <c r="E1787" s="114"/>
    </row>
    <row r="1788" spans="1:5" x14ac:dyDescent="0.25">
      <c r="A1788" s="113"/>
      <c r="B1788" s="114"/>
      <c r="C1788" s="114"/>
      <c r="D1788" s="114"/>
      <c r="E1788" s="114"/>
    </row>
    <row r="1789" spans="1:5" x14ac:dyDescent="0.25">
      <c r="A1789" s="113"/>
      <c r="B1789" s="114"/>
      <c r="C1789" s="114"/>
      <c r="D1789" s="114"/>
      <c r="E1789" s="114"/>
    </row>
    <row r="1790" spans="1:5" x14ac:dyDescent="0.25">
      <c r="A1790" s="113"/>
      <c r="B1790" s="114"/>
      <c r="C1790" s="114"/>
      <c r="D1790" s="114"/>
      <c r="E1790" s="114"/>
    </row>
    <row r="1791" spans="1:5" x14ac:dyDescent="0.25">
      <c r="A1791" s="113"/>
      <c r="B1791" s="114"/>
      <c r="C1791" s="114"/>
      <c r="D1791" s="114"/>
      <c r="E1791" s="114"/>
    </row>
    <row r="1792" spans="1:5" x14ac:dyDescent="0.25">
      <c r="A1792" s="113"/>
      <c r="B1792" s="114"/>
      <c r="C1792" s="114"/>
      <c r="D1792" s="114"/>
      <c r="E1792" s="114"/>
    </row>
    <row r="1793" spans="1:5" x14ac:dyDescent="0.25">
      <c r="A1793" s="113"/>
      <c r="B1793" s="114"/>
      <c r="C1793" s="114"/>
      <c r="D1793" s="114"/>
      <c r="E1793" s="114"/>
    </row>
    <row r="1794" spans="1:5" x14ac:dyDescent="0.25">
      <c r="A1794" s="113"/>
      <c r="B1794" s="114"/>
      <c r="C1794" s="114"/>
      <c r="D1794" s="114"/>
      <c r="E1794" s="114"/>
    </row>
    <row r="1795" spans="1:5" x14ac:dyDescent="0.25">
      <c r="A1795" s="113"/>
      <c r="B1795" s="114"/>
      <c r="C1795" s="114"/>
      <c r="D1795" s="114"/>
      <c r="E1795" s="114"/>
    </row>
    <row r="1796" spans="1:5" x14ac:dyDescent="0.25">
      <c r="A1796" s="113"/>
      <c r="B1796" s="114"/>
      <c r="C1796" s="114"/>
      <c r="D1796" s="114"/>
      <c r="E1796" s="114"/>
    </row>
    <row r="1797" spans="1:5" x14ac:dyDescent="0.25">
      <c r="A1797" s="113"/>
      <c r="B1797" s="114"/>
      <c r="C1797" s="114"/>
      <c r="D1797" s="114"/>
      <c r="E1797" s="114"/>
    </row>
    <row r="1798" spans="1:5" x14ac:dyDescent="0.25">
      <c r="A1798" s="113"/>
      <c r="B1798" s="114"/>
      <c r="C1798" s="114"/>
      <c r="D1798" s="114"/>
      <c r="E1798" s="114"/>
    </row>
    <row r="1799" spans="1:5" x14ac:dyDescent="0.25">
      <c r="A1799" s="113"/>
      <c r="B1799" s="114"/>
      <c r="C1799" s="114"/>
      <c r="D1799" s="114"/>
      <c r="E1799" s="114"/>
    </row>
    <row r="1800" spans="1:5" x14ac:dyDescent="0.25">
      <c r="A1800" s="113"/>
      <c r="B1800" s="114"/>
      <c r="C1800" s="114"/>
      <c r="D1800" s="114"/>
      <c r="E1800" s="114"/>
    </row>
    <row r="1801" spans="1:5" x14ac:dyDescent="0.25">
      <c r="A1801" s="113"/>
      <c r="B1801" s="114"/>
      <c r="C1801" s="114"/>
      <c r="D1801" s="114"/>
      <c r="E1801" s="114"/>
    </row>
    <row r="1802" spans="1:5" x14ac:dyDescent="0.25">
      <c r="A1802" s="113"/>
      <c r="B1802" s="114"/>
      <c r="C1802" s="114"/>
      <c r="D1802" s="114"/>
      <c r="E1802" s="114"/>
    </row>
    <row r="1803" spans="1:5" x14ac:dyDescent="0.25">
      <c r="A1803" s="113"/>
      <c r="B1803" s="114"/>
      <c r="C1803" s="114"/>
      <c r="D1803" s="114"/>
      <c r="E1803" s="114"/>
    </row>
    <row r="1804" spans="1:5" x14ac:dyDescent="0.25">
      <c r="A1804" s="113"/>
      <c r="B1804" s="114"/>
      <c r="C1804" s="114"/>
      <c r="D1804" s="114"/>
      <c r="E1804" s="114"/>
    </row>
    <row r="1805" spans="1:5" x14ac:dyDescent="0.25">
      <c r="A1805" s="113"/>
      <c r="B1805" s="114"/>
      <c r="C1805" s="114"/>
      <c r="D1805" s="114"/>
      <c r="E1805" s="114"/>
    </row>
    <row r="1806" spans="1:5" x14ac:dyDescent="0.25">
      <c r="A1806" s="113"/>
      <c r="B1806" s="114"/>
      <c r="C1806" s="114"/>
      <c r="D1806" s="114"/>
      <c r="E1806" s="114"/>
    </row>
    <row r="1807" spans="1:5" x14ac:dyDescent="0.25">
      <c r="A1807" s="113"/>
      <c r="B1807" s="114"/>
      <c r="C1807" s="114"/>
      <c r="D1807" s="114"/>
      <c r="E1807" s="114"/>
    </row>
    <row r="1808" spans="1:5" x14ac:dyDescent="0.25">
      <c r="A1808" s="113"/>
      <c r="B1808" s="114"/>
      <c r="C1808" s="114"/>
      <c r="D1808" s="114"/>
      <c r="E1808" s="114"/>
    </row>
    <row r="1809" spans="1:5" x14ac:dyDescent="0.25">
      <c r="A1809" s="113"/>
      <c r="B1809" s="114"/>
      <c r="C1809" s="114"/>
      <c r="D1809" s="114"/>
      <c r="E1809" s="114"/>
    </row>
    <row r="1810" spans="1:5" x14ac:dyDescent="0.25">
      <c r="A1810" s="113"/>
      <c r="B1810" s="114"/>
      <c r="C1810" s="114"/>
      <c r="D1810" s="114"/>
      <c r="E1810" s="114"/>
    </row>
    <row r="1811" spans="1:5" x14ac:dyDescent="0.25">
      <c r="A1811" s="113"/>
      <c r="B1811" s="114"/>
      <c r="C1811" s="114"/>
      <c r="D1811" s="114"/>
      <c r="E1811" s="114"/>
    </row>
    <row r="1812" spans="1:5" x14ac:dyDescent="0.25">
      <c r="A1812" s="113"/>
      <c r="B1812" s="114"/>
      <c r="C1812" s="114"/>
      <c r="D1812" s="114"/>
      <c r="E1812" s="114"/>
    </row>
    <row r="1813" spans="1:5" x14ac:dyDescent="0.25">
      <c r="A1813" s="113"/>
      <c r="B1813" s="114"/>
      <c r="C1813" s="114"/>
      <c r="D1813" s="114"/>
      <c r="E1813" s="114"/>
    </row>
    <row r="1814" spans="1:5" x14ac:dyDescent="0.25">
      <c r="A1814" s="113"/>
      <c r="B1814" s="114"/>
      <c r="C1814" s="114"/>
      <c r="D1814" s="114"/>
      <c r="E1814" s="114"/>
    </row>
    <row r="1815" spans="1:5" x14ac:dyDescent="0.25">
      <c r="A1815" s="113"/>
      <c r="B1815" s="114"/>
      <c r="C1815" s="114"/>
      <c r="D1815" s="114"/>
      <c r="E1815" s="114"/>
    </row>
    <row r="1816" spans="1:5" x14ac:dyDescent="0.25">
      <c r="A1816" s="113"/>
      <c r="B1816" s="114"/>
      <c r="C1816" s="114"/>
      <c r="D1816" s="114"/>
      <c r="E1816" s="114"/>
    </row>
    <row r="1817" spans="1:5" x14ac:dyDescent="0.25">
      <c r="A1817" s="113"/>
      <c r="B1817" s="114"/>
      <c r="C1817" s="114"/>
      <c r="D1817" s="114"/>
      <c r="E1817" s="114"/>
    </row>
    <row r="1818" spans="1:5" x14ac:dyDescent="0.25">
      <c r="A1818" s="113"/>
      <c r="B1818" s="114"/>
      <c r="C1818" s="114"/>
      <c r="D1818" s="114"/>
      <c r="E1818" s="114"/>
    </row>
    <row r="1819" spans="1:5" x14ac:dyDescent="0.25">
      <c r="A1819" s="113"/>
      <c r="B1819" s="114"/>
      <c r="C1819" s="114"/>
      <c r="D1819" s="114"/>
      <c r="E1819" s="114"/>
    </row>
    <row r="1820" spans="1:5" x14ac:dyDescent="0.25">
      <c r="A1820" s="113"/>
      <c r="B1820" s="114"/>
      <c r="C1820" s="114"/>
      <c r="D1820" s="114"/>
      <c r="E1820" s="114"/>
    </row>
    <row r="1821" spans="1:5" x14ac:dyDescent="0.25">
      <c r="A1821" s="113"/>
      <c r="B1821" s="114"/>
      <c r="C1821" s="114"/>
      <c r="D1821" s="114"/>
      <c r="E1821" s="114"/>
    </row>
    <row r="1822" spans="1:5" x14ac:dyDescent="0.25">
      <c r="A1822" s="113"/>
      <c r="B1822" s="114"/>
      <c r="C1822" s="114"/>
      <c r="D1822" s="114"/>
      <c r="E1822" s="114"/>
    </row>
    <row r="1823" spans="1:5" x14ac:dyDescent="0.25">
      <c r="A1823" s="113"/>
      <c r="B1823" s="114"/>
      <c r="C1823" s="114"/>
      <c r="D1823" s="114"/>
      <c r="E1823" s="114"/>
    </row>
    <row r="1824" spans="1:5" x14ac:dyDescent="0.25">
      <c r="A1824" s="113"/>
      <c r="B1824" s="114"/>
      <c r="C1824" s="114"/>
      <c r="D1824" s="114"/>
      <c r="E1824" s="114"/>
    </row>
    <row r="1825" spans="1:5" x14ac:dyDescent="0.25">
      <c r="A1825" s="113"/>
      <c r="B1825" s="114"/>
      <c r="C1825" s="114"/>
      <c r="D1825" s="114"/>
      <c r="E1825" s="114"/>
    </row>
    <row r="1826" spans="1:5" x14ac:dyDescent="0.25">
      <c r="A1826" s="113"/>
      <c r="B1826" s="114"/>
      <c r="C1826" s="114"/>
      <c r="D1826" s="114"/>
      <c r="E1826" s="114"/>
    </row>
    <row r="1827" spans="1:5" x14ac:dyDescent="0.25">
      <c r="A1827" s="113"/>
      <c r="B1827" s="114"/>
      <c r="C1827" s="114"/>
      <c r="D1827" s="114"/>
      <c r="E1827" s="114"/>
    </row>
    <row r="1828" spans="1:5" x14ac:dyDescent="0.25">
      <c r="A1828" s="113"/>
      <c r="B1828" s="114"/>
      <c r="C1828" s="114"/>
      <c r="D1828" s="114"/>
      <c r="E1828" s="114"/>
    </row>
    <row r="1829" spans="1:5" x14ac:dyDescent="0.25">
      <c r="A1829" s="113"/>
      <c r="B1829" s="114"/>
      <c r="C1829" s="114"/>
      <c r="D1829" s="114"/>
      <c r="E1829" s="114"/>
    </row>
    <row r="1830" spans="1:5" x14ac:dyDescent="0.25">
      <c r="A1830" s="113"/>
      <c r="B1830" s="114"/>
      <c r="C1830" s="114"/>
      <c r="D1830" s="114"/>
      <c r="E1830" s="114"/>
    </row>
    <row r="1831" spans="1:5" x14ac:dyDescent="0.25">
      <c r="A1831" s="113"/>
      <c r="B1831" s="114"/>
      <c r="C1831" s="114"/>
      <c r="D1831" s="114"/>
      <c r="E1831" s="114"/>
    </row>
    <row r="1832" spans="1:5" x14ac:dyDescent="0.25">
      <c r="A1832" s="113"/>
      <c r="B1832" s="114"/>
      <c r="C1832" s="114"/>
      <c r="D1832" s="114"/>
      <c r="E1832" s="114"/>
    </row>
    <row r="1833" spans="1:5" x14ac:dyDescent="0.25">
      <c r="A1833" s="113"/>
      <c r="B1833" s="114"/>
      <c r="C1833" s="114"/>
      <c r="D1833" s="114"/>
      <c r="E1833" s="114"/>
    </row>
    <row r="1834" spans="1:5" x14ac:dyDescent="0.25">
      <c r="A1834" s="113"/>
      <c r="B1834" s="114"/>
      <c r="C1834" s="114"/>
      <c r="D1834" s="114"/>
      <c r="E1834" s="114"/>
    </row>
    <row r="1835" spans="1:5" x14ac:dyDescent="0.25">
      <c r="A1835" s="113"/>
      <c r="B1835" s="114"/>
      <c r="C1835" s="114"/>
      <c r="D1835" s="114"/>
      <c r="E1835" s="114"/>
    </row>
    <row r="1836" spans="1:5" x14ac:dyDescent="0.25">
      <c r="A1836" s="113"/>
      <c r="B1836" s="114"/>
      <c r="C1836" s="114"/>
      <c r="D1836" s="114"/>
      <c r="E1836" s="114"/>
    </row>
    <row r="1837" spans="1:5" x14ac:dyDescent="0.25">
      <c r="A1837" s="113"/>
      <c r="B1837" s="114"/>
      <c r="C1837" s="114"/>
      <c r="D1837" s="114"/>
      <c r="E1837" s="114"/>
    </row>
    <row r="1838" spans="1:5" x14ac:dyDescent="0.25">
      <c r="A1838" s="113"/>
      <c r="B1838" s="114"/>
      <c r="C1838" s="114"/>
      <c r="D1838" s="114"/>
      <c r="E1838" s="114"/>
    </row>
    <row r="1839" spans="1:5" x14ac:dyDescent="0.25">
      <c r="A1839" s="113"/>
      <c r="B1839" s="114"/>
      <c r="C1839" s="114"/>
      <c r="D1839" s="114"/>
      <c r="E1839" s="114"/>
    </row>
    <row r="1840" spans="1:5" x14ac:dyDescent="0.25">
      <c r="A1840" s="113"/>
      <c r="B1840" s="114"/>
      <c r="C1840" s="114"/>
      <c r="D1840" s="114"/>
      <c r="E1840" s="114"/>
    </row>
    <row r="1841" spans="1:5" x14ac:dyDescent="0.25">
      <c r="A1841" s="113"/>
      <c r="B1841" s="114"/>
      <c r="C1841" s="114"/>
      <c r="D1841" s="114"/>
      <c r="E1841" s="114"/>
    </row>
    <row r="1842" spans="1:5" x14ac:dyDescent="0.25">
      <c r="A1842" s="113"/>
      <c r="B1842" s="114"/>
      <c r="C1842" s="114"/>
      <c r="D1842" s="114"/>
      <c r="E1842" s="114"/>
    </row>
    <row r="1843" spans="1:5" x14ac:dyDescent="0.25">
      <c r="A1843" s="113"/>
      <c r="B1843" s="114"/>
      <c r="C1843" s="114"/>
      <c r="D1843" s="114"/>
      <c r="E1843" s="114"/>
    </row>
    <row r="1844" spans="1:5" x14ac:dyDescent="0.25">
      <c r="A1844" s="113"/>
      <c r="B1844" s="114"/>
      <c r="C1844" s="114"/>
      <c r="D1844" s="114"/>
      <c r="E1844" s="114"/>
    </row>
    <row r="1845" spans="1:5" x14ac:dyDescent="0.25">
      <c r="A1845" s="113"/>
      <c r="B1845" s="114"/>
      <c r="C1845" s="114"/>
      <c r="D1845" s="114"/>
      <c r="E1845" s="114"/>
    </row>
    <row r="1846" spans="1:5" x14ac:dyDescent="0.25">
      <c r="A1846" s="113"/>
      <c r="B1846" s="114"/>
      <c r="C1846" s="114"/>
      <c r="D1846" s="114"/>
      <c r="E1846" s="114"/>
    </row>
    <row r="1847" spans="1:5" x14ac:dyDescent="0.25">
      <c r="A1847" s="113"/>
      <c r="B1847" s="114"/>
      <c r="C1847" s="114"/>
      <c r="D1847" s="114"/>
      <c r="E1847" s="114"/>
    </row>
    <row r="1848" spans="1:5" x14ac:dyDescent="0.25">
      <c r="A1848" s="113"/>
      <c r="B1848" s="114"/>
      <c r="C1848" s="114"/>
      <c r="D1848" s="114"/>
      <c r="E1848" s="114"/>
    </row>
    <row r="1849" spans="1:5" x14ac:dyDescent="0.25">
      <c r="A1849" s="113"/>
      <c r="B1849" s="114"/>
      <c r="C1849" s="114"/>
      <c r="D1849" s="114"/>
      <c r="E1849" s="114"/>
    </row>
    <row r="1850" spans="1:5" x14ac:dyDescent="0.25">
      <c r="A1850" s="113"/>
      <c r="B1850" s="114"/>
      <c r="C1850" s="114"/>
      <c r="D1850" s="114"/>
      <c r="E1850" s="114"/>
    </row>
    <row r="1851" spans="1:5" x14ac:dyDescent="0.25">
      <c r="A1851" s="113"/>
      <c r="B1851" s="114"/>
      <c r="C1851" s="114"/>
      <c r="D1851" s="114"/>
      <c r="E1851" s="114"/>
    </row>
    <row r="1852" spans="1:5" x14ac:dyDescent="0.25">
      <c r="A1852" s="113"/>
      <c r="B1852" s="114"/>
      <c r="C1852" s="114"/>
      <c r="D1852" s="114"/>
      <c r="E1852" s="114"/>
    </row>
    <row r="1853" spans="1:5" x14ac:dyDescent="0.25">
      <c r="A1853" s="113"/>
      <c r="B1853" s="114"/>
      <c r="C1853" s="114"/>
      <c r="D1853" s="114"/>
      <c r="E1853" s="114"/>
    </row>
    <row r="1854" spans="1:5" x14ac:dyDescent="0.25">
      <c r="A1854" s="113"/>
      <c r="B1854" s="114"/>
      <c r="C1854" s="114"/>
      <c r="D1854" s="114"/>
      <c r="E1854" s="114"/>
    </row>
    <row r="1855" spans="1:5" x14ac:dyDescent="0.25">
      <c r="A1855" s="113"/>
      <c r="B1855" s="114"/>
      <c r="C1855" s="114"/>
      <c r="D1855" s="114"/>
      <c r="E1855" s="114"/>
    </row>
    <row r="1856" spans="1:5" x14ac:dyDescent="0.25">
      <c r="A1856" s="113"/>
      <c r="B1856" s="114"/>
      <c r="C1856" s="114"/>
      <c r="D1856" s="114"/>
      <c r="E1856" s="114"/>
    </row>
    <row r="1857" spans="1:5" x14ac:dyDescent="0.25">
      <c r="A1857" s="113"/>
      <c r="B1857" s="114"/>
      <c r="C1857" s="114"/>
      <c r="D1857" s="114"/>
      <c r="E1857" s="114"/>
    </row>
    <row r="1858" spans="1:5" x14ac:dyDescent="0.25">
      <c r="A1858" s="113"/>
      <c r="B1858" s="114"/>
      <c r="C1858" s="114"/>
      <c r="D1858" s="114"/>
      <c r="E1858" s="114"/>
    </row>
    <row r="1859" spans="1:5" x14ac:dyDescent="0.25">
      <c r="A1859" s="113"/>
      <c r="B1859" s="114"/>
      <c r="C1859" s="114"/>
      <c r="D1859" s="114"/>
      <c r="E1859" s="114"/>
    </row>
    <row r="1860" spans="1:5" x14ac:dyDescent="0.25">
      <c r="A1860" s="113"/>
      <c r="B1860" s="114"/>
      <c r="C1860" s="114"/>
      <c r="D1860" s="114"/>
      <c r="E1860" s="114"/>
    </row>
    <row r="1861" spans="1:5" x14ac:dyDescent="0.25">
      <c r="A1861" s="113"/>
      <c r="B1861" s="114"/>
      <c r="C1861" s="114"/>
      <c r="D1861" s="114"/>
      <c r="E1861" s="114"/>
    </row>
    <row r="1862" spans="1:5" x14ac:dyDescent="0.25">
      <c r="A1862" s="113"/>
      <c r="B1862" s="114"/>
      <c r="C1862" s="114"/>
      <c r="D1862" s="114"/>
      <c r="E1862" s="114"/>
    </row>
    <row r="1863" spans="1:5" x14ac:dyDescent="0.25">
      <c r="A1863" s="113"/>
      <c r="B1863" s="114"/>
      <c r="C1863" s="114"/>
      <c r="D1863" s="114"/>
      <c r="E1863" s="114"/>
    </row>
    <row r="1864" spans="1:5" x14ac:dyDescent="0.25">
      <c r="A1864" s="113"/>
      <c r="B1864" s="114"/>
      <c r="C1864" s="114"/>
      <c r="D1864" s="114"/>
      <c r="E1864" s="114"/>
    </row>
    <row r="1865" spans="1:5" x14ac:dyDescent="0.25">
      <c r="A1865" s="113"/>
      <c r="B1865" s="114"/>
      <c r="C1865" s="114"/>
      <c r="D1865" s="114"/>
      <c r="E1865" s="114"/>
    </row>
    <row r="1866" spans="1:5" x14ac:dyDescent="0.25">
      <c r="A1866" s="113"/>
      <c r="B1866" s="114"/>
      <c r="C1866" s="114"/>
      <c r="D1866" s="114"/>
      <c r="E1866" s="114"/>
    </row>
    <row r="1867" spans="1:5" x14ac:dyDescent="0.25">
      <c r="A1867" s="113"/>
      <c r="B1867" s="114"/>
      <c r="C1867" s="114"/>
      <c r="D1867" s="114"/>
      <c r="E1867" s="114"/>
    </row>
    <row r="1868" spans="1:5" x14ac:dyDescent="0.25">
      <c r="A1868" s="113"/>
      <c r="B1868" s="114"/>
      <c r="C1868" s="114"/>
      <c r="D1868" s="114"/>
      <c r="E1868" s="114"/>
    </row>
    <row r="1869" spans="1:5" x14ac:dyDescent="0.25">
      <c r="A1869" s="113"/>
      <c r="B1869" s="114"/>
      <c r="C1869" s="114"/>
      <c r="D1869" s="114"/>
      <c r="E1869" s="114"/>
    </row>
    <row r="1870" spans="1:5" x14ac:dyDescent="0.25">
      <c r="A1870" s="113"/>
      <c r="B1870" s="114"/>
      <c r="C1870" s="114"/>
      <c r="D1870" s="114"/>
      <c r="E1870" s="114"/>
    </row>
    <row r="1871" spans="1:5" x14ac:dyDescent="0.25">
      <c r="A1871" s="113"/>
      <c r="B1871" s="114"/>
      <c r="C1871" s="114"/>
      <c r="D1871" s="114"/>
      <c r="E1871" s="114"/>
    </row>
    <row r="1872" spans="1:5" x14ac:dyDescent="0.25">
      <c r="A1872" s="113"/>
      <c r="B1872" s="114"/>
      <c r="C1872" s="114"/>
      <c r="D1872" s="114"/>
      <c r="E1872" s="114"/>
    </row>
    <row r="1873" spans="1:5" x14ac:dyDescent="0.25">
      <c r="A1873" s="113"/>
      <c r="B1873" s="114"/>
      <c r="C1873" s="114"/>
      <c r="D1873" s="114"/>
      <c r="E1873" s="114"/>
    </row>
    <row r="1874" spans="1:5" x14ac:dyDescent="0.25">
      <c r="A1874" s="113"/>
      <c r="B1874" s="114"/>
      <c r="C1874" s="114"/>
      <c r="D1874" s="114"/>
      <c r="E1874" s="114"/>
    </row>
    <row r="1875" spans="1:5" x14ac:dyDescent="0.25">
      <c r="A1875" s="113"/>
      <c r="B1875" s="114"/>
      <c r="C1875" s="114"/>
      <c r="D1875" s="114"/>
      <c r="E1875" s="114"/>
    </row>
    <row r="1876" spans="1:5" x14ac:dyDescent="0.25">
      <c r="A1876" s="113"/>
      <c r="B1876" s="114"/>
      <c r="C1876" s="114"/>
      <c r="D1876" s="114"/>
      <c r="E1876" s="114"/>
    </row>
    <row r="1877" spans="1:5" x14ac:dyDescent="0.25">
      <c r="A1877" s="113"/>
      <c r="B1877" s="114"/>
      <c r="C1877" s="114"/>
      <c r="D1877" s="114"/>
      <c r="E1877" s="114"/>
    </row>
    <row r="1878" spans="1:5" x14ac:dyDescent="0.25">
      <c r="A1878" s="113"/>
      <c r="B1878" s="114"/>
      <c r="C1878" s="114"/>
      <c r="D1878" s="114"/>
      <c r="E1878" s="114"/>
    </row>
    <row r="1879" spans="1:5" x14ac:dyDescent="0.25">
      <c r="A1879" s="113"/>
      <c r="B1879" s="114"/>
      <c r="C1879" s="114"/>
      <c r="D1879" s="114"/>
      <c r="E1879" s="114"/>
    </row>
    <row r="1880" spans="1:5" x14ac:dyDescent="0.25">
      <c r="A1880" s="113"/>
      <c r="B1880" s="114"/>
      <c r="C1880" s="114"/>
      <c r="D1880" s="114"/>
      <c r="E1880" s="114"/>
    </row>
    <row r="1881" spans="1:5" x14ac:dyDescent="0.25">
      <c r="A1881" s="113"/>
      <c r="B1881" s="114"/>
      <c r="C1881" s="114"/>
      <c r="D1881" s="114"/>
      <c r="E1881" s="114"/>
    </row>
    <row r="1882" spans="1:5" x14ac:dyDescent="0.25">
      <c r="A1882" s="113"/>
      <c r="B1882" s="114"/>
      <c r="C1882" s="114"/>
      <c r="D1882" s="114"/>
      <c r="E1882" s="114"/>
    </row>
    <row r="1883" spans="1:5" x14ac:dyDescent="0.25">
      <c r="A1883" s="113"/>
      <c r="B1883" s="114"/>
      <c r="C1883" s="114"/>
      <c r="D1883" s="114"/>
      <c r="E1883" s="114"/>
    </row>
    <row r="1884" spans="1:5" x14ac:dyDescent="0.25">
      <c r="A1884" s="113"/>
      <c r="B1884" s="114"/>
      <c r="C1884" s="114"/>
      <c r="D1884" s="114"/>
      <c r="E1884" s="114"/>
    </row>
    <row r="1885" spans="1:5" x14ac:dyDescent="0.25">
      <c r="A1885" s="113"/>
      <c r="B1885" s="114"/>
      <c r="C1885" s="114"/>
      <c r="D1885" s="114"/>
      <c r="E1885" s="114"/>
    </row>
    <row r="1886" spans="1:5" x14ac:dyDescent="0.25">
      <c r="A1886" s="113"/>
      <c r="B1886" s="114"/>
      <c r="C1886" s="114"/>
      <c r="D1886" s="114"/>
      <c r="E1886" s="114"/>
    </row>
    <row r="1887" spans="1:5" x14ac:dyDescent="0.25">
      <c r="A1887" s="113"/>
      <c r="B1887" s="114"/>
      <c r="C1887" s="114"/>
      <c r="D1887" s="114"/>
      <c r="E1887" s="114"/>
    </row>
    <row r="1888" spans="1:5" x14ac:dyDescent="0.25">
      <c r="A1888" s="113"/>
      <c r="B1888" s="114"/>
      <c r="C1888" s="114"/>
      <c r="D1888" s="114"/>
      <c r="E1888" s="114"/>
    </row>
    <row r="1889" spans="1:5" x14ac:dyDescent="0.25">
      <c r="A1889" s="113"/>
      <c r="B1889" s="114"/>
      <c r="C1889" s="114"/>
      <c r="D1889" s="114"/>
      <c r="E1889" s="114"/>
    </row>
    <row r="1890" spans="1:5" x14ac:dyDescent="0.25">
      <c r="A1890" s="113"/>
      <c r="B1890" s="114"/>
      <c r="C1890" s="114"/>
      <c r="D1890" s="114"/>
      <c r="E1890" s="114"/>
    </row>
    <row r="1891" spans="1:5" x14ac:dyDescent="0.25">
      <c r="A1891" s="113"/>
      <c r="B1891" s="114"/>
      <c r="C1891" s="114"/>
      <c r="D1891" s="114"/>
      <c r="E1891" s="114"/>
    </row>
    <row r="1892" spans="1:5" x14ac:dyDescent="0.25">
      <c r="A1892" s="113"/>
      <c r="B1892" s="114"/>
      <c r="C1892" s="114"/>
      <c r="D1892" s="114"/>
      <c r="E1892" s="114"/>
    </row>
    <row r="1893" spans="1:5" x14ac:dyDescent="0.25">
      <c r="A1893" s="113"/>
      <c r="B1893" s="114"/>
      <c r="C1893" s="114"/>
      <c r="D1893" s="114"/>
      <c r="E1893" s="114"/>
    </row>
    <row r="1894" spans="1:5" x14ac:dyDescent="0.25">
      <c r="A1894" s="113"/>
      <c r="B1894" s="114"/>
      <c r="C1894" s="114"/>
      <c r="D1894" s="114"/>
      <c r="E1894" s="114"/>
    </row>
    <row r="1895" spans="1:5" x14ac:dyDescent="0.25">
      <c r="A1895" s="113"/>
      <c r="B1895" s="114"/>
      <c r="C1895" s="114"/>
      <c r="D1895" s="114"/>
      <c r="E1895" s="114"/>
    </row>
    <row r="1896" spans="1:5" x14ac:dyDescent="0.25">
      <c r="A1896" s="113"/>
      <c r="B1896" s="114"/>
      <c r="C1896" s="114"/>
      <c r="D1896" s="114"/>
      <c r="E1896" s="114"/>
    </row>
    <row r="1897" spans="1:5" x14ac:dyDescent="0.25">
      <c r="A1897" s="113"/>
      <c r="B1897" s="114"/>
      <c r="C1897" s="114"/>
      <c r="D1897" s="114"/>
      <c r="E1897" s="114"/>
    </row>
    <row r="1898" spans="1:5" x14ac:dyDescent="0.25">
      <c r="A1898" s="113"/>
      <c r="B1898" s="114"/>
      <c r="C1898" s="114"/>
      <c r="D1898" s="114"/>
      <c r="E1898" s="114"/>
    </row>
    <row r="1899" spans="1:5" x14ac:dyDescent="0.25">
      <c r="A1899" s="113"/>
      <c r="B1899" s="114"/>
      <c r="C1899" s="114"/>
      <c r="D1899" s="114"/>
      <c r="E1899" s="114"/>
    </row>
    <row r="1900" spans="1:5" x14ac:dyDescent="0.25">
      <c r="A1900" s="113"/>
      <c r="B1900" s="114"/>
      <c r="C1900" s="114"/>
      <c r="D1900" s="114"/>
      <c r="E1900" s="114"/>
    </row>
    <row r="1901" spans="1:5" x14ac:dyDescent="0.25">
      <c r="A1901" s="113"/>
      <c r="B1901" s="114"/>
      <c r="C1901" s="114"/>
      <c r="D1901" s="114"/>
      <c r="E1901" s="114"/>
    </row>
    <row r="1902" spans="1:5" x14ac:dyDescent="0.25">
      <c r="A1902" s="113"/>
      <c r="B1902" s="114"/>
      <c r="C1902" s="114"/>
      <c r="D1902" s="114"/>
      <c r="E1902" s="114"/>
    </row>
    <row r="1903" spans="1:5" x14ac:dyDescent="0.25">
      <c r="A1903" s="113"/>
      <c r="B1903" s="114"/>
      <c r="C1903" s="114"/>
      <c r="D1903" s="114"/>
      <c r="E1903" s="114"/>
    </row>
    <row r="1904" spans="1:5" x14ac:dyDescent="0.25">
      <c r="A1904" s="113"/>
      <c r="B1904" s="114"/>
      <c r="C1904" s="114"/>
      <c r="D1904" s="114"/>
      <c r="E1904" s="114"/>
    </row>
    <row r="1905" spans="1:5" x14ac:dyDescent="0.25">
      <c r="A1905" s="113"/>
      <c r="B1905" s="114"/>
      <c r="C1905" s="114"/>
      <c r="D1905" s="114"/>
      <c r="E1905" s="114"/>
    </row>
    <row r="1906" spans="1:5" x14ac:dyDescent="0.25">
      <c r="A1906" s="113"/>
      <c r="B1906" s="114"/>
      <c r="C1906" s="114"/>
      <c r="D1906" s="114"/>
      <c r="E1906" s="114"/>
    </row>
    <row r="1907" spans="1:5" x14ac:dyDescent="0.25">
      <c r="A1907" s="113"/>
      <c r="B1907" s="114"/>
      <c r="C1907" s="114"/>
      <c r="D1907" s="114"/>
      <c r="E1907" s="114"/>
    </row>
    <row r="1908" spans="1:5" x14ac:dyDescent="0.25">
      <c r="A1908" s="113"/>
      <c r="B1908" s="114"/>
      <c r="C1908" s="114"/>
      <c r="D1908" s="114"/>
      <c r="E1908" s="114"/>
    </row>
    <row r="1909" spans="1:5" x14ac:dyDescent="0.25">
      <c r="A1909" s="113"/>
      <c r="B1909" s="114"/>
      <c r="C1909" s="114"/>
      <c r="D1909" s="114"/>
      <c r="E1909" s="114"/>
    </row>
    <row r="1910" spans="1:5" x14ac:dyDescent="0.25">
      <c r="A1910" s="113"/>
      <c r="B1910" s="114"/>
      <c r="C1910" s="114"/>
      <c r="D1910" s="114"/>
      <c r="E1910" s="114"/>
    </row>
    <row r="1911" spans="1:5" x14ac:dyDescent="0.25">
      <c r="A1911" s="113"/>
      <c r="B1911" s="114"/>
      <c r="C1911" s="114"/>
      <c r="D1911" s="114"/>
      <c r="E1911" s="114"/>
    </row>
    <row r="1912" spans="1:5" x14ac:dyDescent="0.25">
      <c r="A1912" s="113"/>
      <c r="B1912" s="114"/>
      <c r="C1912" s="114"/>
      <c r="D1912" s="114"/>
      <c r="E1912" s="114"/>
    </row>
    <row r="1913" spans="1:5" x14ac:dyDescent="0.25">
      <c r="A1913" s="113"/>
      <c r="B1913" s="114"/>
      <c r="C1913" s="114"/>
      <c r="D1913" s="114"/>
      <c r="E1913" s="114"/>
    </row>
    <row r="1914" spans="1:5" x14ac:dyDescent="0.25">
      <c r="A1914" s="113"/>
      <c r="B1914" s="114"/>
      <c r="C1914" s="114"/>
      <c r="D1914" s="114"/>
      <c r="E1914" s="114"/>
    </row>
    <row r="1915" spans="1:5" x14ac:dyDescent="0.25">
      <c r="A1915" s="113"/>
      <c r="B1915" s="114"/>
      <c r="C1915" s="114"/>
      <c r="D1915" s="114"/>
      <c r="E1915" s="114"/>
    </row>
    <row r="1916" spans="1:5" x14ac:dyDescent="0.25">
      <c r="A1916" s="113"/>
      <c r="B1916" s="114"/>
      <c r="C1916" s="114"/>
      <c r="D1916" s="114"/>
      <c r="E1916" s="114"/>
    </row>
    <row r="1917" spans="1:5" x14ac:dyDescent="0.25">
      <c r="A1917" s="113"/>
      <c r="B1917" s="114"/>
      <c r="C1917" s="114"/>
      <c r="D1917" s="114"/>
      <c r="E1917" s="114"/>
    </row>
    <row r="1918" spans="1:5" x14ac:dyDescent="0.25">
      <c r="A1918" s="113"/>
      <c r="B1918" s="114"/>
      <c r="C1918" s="114"/>
      <c r="D1918" s="114"/>
      <c r="E1918" s="114"/>
    </row>
    <row r="1919" spans="1:5" x14ac:dyDescent="0.25">
      <c r="A1919" s="113"/>
      <c r="B1919" s="114"/>
      <c r="C1919" s="114"/>
      <c r="D1919" s="114"/>
      <c r="E1919" s="114"/>
    </row>
    <row r="1920" spans="1:5" x14ac:dyDescent="0.25">
      <c r="A1920" s="113"/>
      <c r="B1920" s="114"/>
      <c r="C1920" s="114"/>
      <c r="D1920" s="114"/>
      <c r="E1920" s="114"/>
    </row>
    <row r="1921" spans="1:5" x14ac:dyDescent="0.25">
      <c r="A1921" s="113"/>
      <c r="B1921" s="114"/>
      <c r="C1921" s="114"/>
      <c r="D1921" s="114"/>
      <c r="E1921" s="114"/>
    </row>
    <row r="1922" spans="1:5" x14ac:dyDescent="0.25">
      <c r="A1922" s="113"/>
      <c r="B1922" s="114"/>
      <c r="C1922" s="114"/>
      <c r="D1922" s="114"/>
      <c r="E1922" s="114"/>
    </row>
    <row r="1923" spans="1:5" x14ac:dyDescent="0.25">
      <c r="A1923" s="113"/>
      <c r="B1923" s="114"/>
      <c r="C1923" s="114"/>
      <c r="D1923" s="114"/>
      <c r="E1923" s="114"/>
    </row>
    <row r="1924" spans="1:5" x14ac:dyDescent="0.25">
      <c r="A1924" s="113"/>
      <c r="B1924" s="114"/>
      <c r="C1924" s="114"/>
      <c r="D1924" s="114"/>
      <c r="E1924" s="114"/>
    </row>
    <row r="1925" spans="1:5" x14ac:dyDescent="0.25">
      <c r="A1925" s="113"/>
      <c r="B1925" s="114"/>
      <c r="C1925" s="114"/>
      <c r="D1925" s="114"/>
      <c r="E1925" s="114"/>
    </row>
    <row r="1926" spans="1:5" x14ac:dyDescent="0.25">
      <c r="A1926" s="113"/>
      <c r="B1926" s="114"/>
      <c r="C1926" s="114"/>
      <c r="D1926" s="114"/>
      <c r="E1926" s="114"/>
    </row>
    <row r="1927" spans="1:5" x14ac:dyDescent="0.25">
      <c r="A1927" s="113"/>
      <c r="B1927" s="114"/>
      <c r="C1927" s="114"/>
      <c r="D1927" s="114"/>
      <c r="E1927" s="114"/>
    </row>
    <row r="1928" spans="1:5" x14ac:dyDescent="0.25">
      <c r="A1928" s="113"/>
      <c r="B1928" s="114"/>
      <c r="C1928" s="114"/>
      <c r="D1928" s="114"/>
      <c r="E1928" s="114"/>
    </row>
    <row r="1929" spans="1:5" x14ac:dyDescent="0.25">
      <c r="A1929" s="113"/>
      <c r="B1929" s="114"/>
      <c r="C1929" s="114"/>
      <c r="D1929" s="114"/>
      <c r="E1929" s="114"/>
    </row>
    <row r="1930" spans="1:5" x14ac:dyDescent="0.25">
      <c r="A1930" s="113"/>
      <c r="B1930" s="114"/>
      <c r="C1930" s="114"/>
      <c r="D1930" s="114"/>
      <c r="E1930" s="114"/>
    </row>
    <row r="1931" spans="1:5" x14ac:dyDescent="0.25">
      <c r="A1931" s="113"/>
      <c r="B1931" s="114"/>
      <c r="C1931" s="114"/>
      <c r="D1931" s="114"/>
      <c r="E1931" s="114"/>
    </row>
    <row r="1932" spans="1:5" x14ac:dyDescent="0.25">
      <c r="A1932" s="113"/>
      <c r="B1932" s="114"/>
      <c r="C1932" s="114"/>
      <c r="D1932" s="114"/>
      <c r="E1932" s="114"/>
    </row>
    <row r="1933" spans="1:5" x14ac:dyDescent="0.25">
      <c r="A1933" s="113"/>
      <c r="B1933" s="114"/>
      <c r="C1933" s="114"/>
      <c r="D1933" s="114"/>
      <c r="E1933" s="114"/>
    </row>
    <row r="1934" spans="1:5" x14ac:dyDescent="0.25">
      <c r="A1934" s="113"/>
      <c r="B1934" s="114"/>
      <c r="C1934" s="114"/>
      <c r="D1934" s="114"/>
      <c r="E1934" s="114"/>
    </row>
    <row r="1935" spans="1:5" x14ac:dyDescent="0.25">
      <c r="A1935" s="113"/>
      <c r="B1935" s="114"/>
      <c r="C1935" s="114"/>
      <c r="D1935" s="114"/>
      <c r="E1935" s="114"/>
    </row>
    <row r="1936" spans="1:5" x14ac:dyDescent="0.25">
      <c r="A1936" s="113"/>
      <c r="B1936" s="114"/>
      <c r="C1936" s="114"/>
      <c r="D1936" s="114"/>
      <c r="E1936" s="114"/>
    </row>
    <row r="1937" spans="1:5" x14ac:dyDescent="0.25">
      <c r="A1937" s="113"/>
      <c r="B1937" s="114"/>
      <c r="C1937" s="114"/>
      <c r="D1937" s="114"/>
      <c r="E1937" s="114"/>
    </row>
    <row r="1938" spans="1:5" x14ac:dyDescent="0.25">
      <c r="A1938" s="113"/>
      <c r="B1938" s="114"/>
      <c r="C1938" s="114"/>
      <c r="D1938" s="114"/>
      <c r="E1938" s="114"/>
    </row>
    <row r="1939" spans="1:5" x14ac:dyDescent="0.25">
      <c r="A1939" s="113"/>
      <c r="B1939" s="114"/>
      <c r="C1939" s="114"/>
      <c r="D1939" s="114"/>
      <c r="E1939" s="114"/>
    </row>
    <row r="1940" spans="1:5" x14ac:dyDescent="0.25">
      <c r="A1940" s="113"/>
      <c r="B1940" s="114"/>
      <c r="C1940" s="114"/>
      <c r="D1940" s="114"/>
      <c r="E1940" s="114"/>
    </row>
    <row r="1941" spans="1:5" x14ac:dyDescent="0.25">
      <c r="A1941" s="113"/>
      <c r="B1941" s="114"/>
      <c r="C1941" s="114"/>
      <c r="D1941" s="114"/>
      <c r="E1941" s="114"/>
    </row>
    <row r="1942" spans="1:5" x14ac:dyDescent="0.25">
      <c r="A1942" s="113"/>
      <c r="B1942" s="114"/>
      <c r="C1942" s="114"/>
      <c r="D1942" s="114"/>
      <c r="E1942" s="114"/>
    </row>
    <row r="1943" spans="1:5" x14ac:dyDescent="0.25">
      <c r="A1943" s="113"/>
      <c r="B1943" s="114"/>
      <c r="C1943" s="114"/>
      <c r="D1943" s="114"/>
      <c r="E1943" s="114"/>
    </row>
    <row r="1944" spans="1:5" x14ac:dyDescent="0.25">
      <c r="A1944" s="113"/>
      <c r="B1944" s="114"/>
      <c r="C1944" s="114"/>
      <c r="D1944" s="114"/>
      <c r="E1944" s="114"/>
    </row>
    <row r="1945" spans="1:5" x14ac:dyDescent="0.25">
      <c r="A1945" s="113"/>
      <c r="B1945" s="114"/>
      <c r="C1945" s="114"/>
      <c r="D1945" s="114"/>
      <c r="E1945" s="114"/>
    </row>
    <row r="1946" spans="1:5" x14ac:dyDescent="0.25">
      <c r="A1946" s="113"/>
      <c r="B1946" s="114"/>
      <c r="C1946" s="114"/>
      <c r="D1946" s="114"/>
      <c r="E1946" s="114"/>
    </row>
    <row r="1947" spans="1:5" x14ac:dyDescent="0.25">
      <c r="A1947" s="113"/>
      <c r="B1947" s="114"/>
      <c r="C1947" s="114"/>
      <c r="D1947" s="114"/>
      <c r="E1947" s="114"/>
    </row>
    <row r="1948" spans="1:5" x14ac:dyDescent="0.25">
      <c r="A1948" s="113"/>
      <c r="B1948" s="114"/>
      <c r="C1948" s="114"/>
      <c r="D1948" s="114"/>
      <c r="E1948" s="114"/>
    </row>
    <row r="1949" spans="1:5" x14ac:dyDescent="0.25">
      <c r="A1949" s="113"/>
      <c r="B1949" s="114"/>
      <c r="C1949" s="114"/>
      <c r="D1949" s="114"/>
      <c r="E1949" s="114"/>
    </row>
    <row r="1950" spans="1:5" x14ac:dyDescent="0.25">
      <c r="A1950" s="113"/>
      <c r="B1950" s="114"/>
      <c r="C1950" s="114"/>
      <c r="D1950" s="114"/>
      <c r="E1950" s="114"/>
    </row>
    <row r="1951" spans="1:5" x14ac:dyDescent="0.25">
      <c r="A1951" s="113"/>
      <c r="B1951" s="114"/>
      <c r="C1951" s="114"/>
      <c r="D1951" s="114"/>
      <c r="E1951" s="114"/>
    </row>
    <row r="1952" spans="1:5" x14ac:dyDescent="0.25">
      <c r="A1952" s="113"/>
      <c r="B1952" s="114"/>
      <c r="C1952" s="114"/>
      <c r="D1952" s="114"/>
      <c r="E1952" s="114"/>
    </row>
    <row r="1953" spans="1:5" x14ac:dyDescent="0.25">
      <c r="A1953" s="113"/>
      <c r="B1953" s="114"/>
      <c r="C1953" s="114"/>
      <c r="D1953" s="114"/>
      <c r="E1953" s="114"/>
    </row>
    <row r="1954" spans="1:5" x14ac:dyDescent="0.25">
      <c r="A1954" s="113"/>
      <c r="B1954" s="114"/>
      <c r="C1954" s="114"/>
      <c r="D1954" s="114"/>
      <c r="E1954" s="114"/>
    </row>
    <row r="1955" spans="1:5" x14ac:dyDescent="0.25">
      <c r="A1955" s="113"/>
      <c r="B1955" s="114"/>
      <c r="C1955" s="114"/>
      <c r="D1955" s="114"/>
      <c r="E1955" s="114"/>
    </row>
    <row r="1956" spans="1:5" x14ac:dyDescent="0.25">
      <c r="A1956" s="113"/>
      <c r="B1956" s="114"/>
      <c r="C1956" s="114"/>
      <c r="D1956" s="114"/>
      <c r="E1956" s="114"/>
    </row>
    <row r="1957" spans="1:5" x14ac:dyDescent="0.25">
      <c r="A1957" s="113"/>
      <c r="B1957" s="114"/>
      <c r="C1957" s="114"/>
      <c r="D1957" s="114"/>
      <c r="E1957" s="114"/>
    </row>
    <row r="1958" spans="1:5" x14ac:dyDescent="0.25">
      <c r="A1958" s="113"/>
      <c r="B1958" s="114"/>
      <c r="C1958" s="114"/>
      <c r="D1958" s="114"/>
      <c r="E1958" s="114"/>
    </row>
    <row r="1959" spans="1:5" x14ac:dyDescent="0.25">
      <c r="A1959" s="113"/>
      <c r="B1959" s="114"/>
      <c r="C1959" s="114"/>
      <c r="D1959" s="114"/>
      <c r="E1959" s="114"/>
    </row>
    <row r="1960" spans="1:5" x14ac:dyDescent="0.25">
      <c r="A1960" s="113"/>
      <c r="B1960" s="114"/>
      <c r="C1960" s="114"/>
      <c r="D1960" s="114"/>
      <c r="E1960" s="114"/>
    </row>
    <row r="1961" spans="1:5" x14ac:dyDescent="0.25">
      <c r="A1961" s="113"/>
      <c r="B1961" s="114"/>
      <c r="C1961" s="114"/>
      <c r="D1961" s="114"/>
      <c r="E1961" s="114"/>
    </row>
    <row r="1962" spans="1:5" x14ac:dyDescent="0.25">
      <c r="A1962" s="113"/>
      <c r="B1962" s="114"/>
      <c r="C1962" s="114"/>
      <c r="D1962" s="114"/>
      <c r="E1962" s="114"/>
    </row>
    <row r="1963" spans="1:5" x14ac:dyDescent="0.25">
      <c r="A1963" s="113"/>
      <c r="B1963" s="114"/>
      <c r="C1963" s="114"/>
      <c r="D1963" s="114"/>
      <c r="E1963" s="114"/>
    </row>
    <row r="1964" spans="1:5" x14ac:dyDescent="0.25">
      <c r="A1964" s="113"/>
      <c r="B1964" s="114"/>
      <c r="C1964" s="114"/>
      <c r="D1964" s="114"/>
      <c r="E1964" s="114"/>
    </row>
    <row r="1965" spans="1:5" x14ac:dyDescent="0.25">
      <c r="A1965" s="113"/>
      <c r="B1965" s="114"/>
      <c r="C1965" s="114"/>
      <c r="D1965" s="114"/>
      <c r="E1965" s="114"/>
    </row>
    <row r="1966" spans="1:5" x14ac:dyDescent="0.25">
      <c r="A1966" s="113"/>
      <c r="B1966" s="114"/>
      <c r="C1966" s="114"/>
      <c r="D1966" s="114"/>
      <c r="E1966" s="114"/>
    </row>
    <row r="1967" spans="1:5" x14ac:dyDescent="0.25">
      <c r="A1967" s="113"/>
      <c r="B1967" s="114"/>
      <c r="C1967" s="114"/>
      <c r="D1967" s="114"/>
      <c r="E1967" s="114"/>
    </row>
    <row r="1968" spans="1:5" x14ac:dyDescent="0.25">
      <c r="A1968" s="113"/>
      <c r="B1968" s="114"/>
      <c r="C1968" s="114"/>
      <c r="D1968" s="114"/>
      <c r="E1968" s="114"/>
    </row>
    <row r="1969" spans="1:5" x14ac:dyDescent="0.25">
      <c r="A1969" s="113"/>
      <c r="B1969" s="114"/>
      <c r="C1969" s="114"/>
      <c r="D1969" s="114"/>
      <c r="E1969" s="114"/>
    </row>
    <row r="1970" spans="1:5" x14ac:dyDescent="0.25">
      <c r="A1970" s="113"/>
      <c r="B1970" s="114"/>
      <c r="C1970" s="114"/>
      <c r="D1970" s="114"/>
      <c r="E1970" s="114"/>
    </row>
    <row r="1971" spans="1:5" x14ac:dyDescent="0.25">
      <c r="A1971" s="113"/>
      <c r="B1971" s="114"/>
      <c r="C1971" s="114"/>
      <c r="D1971" s="114"/>
      <c r="E1971" s="114"/>
    </row>
    <row r="1972" spans="1:5" x14ac:dyDescent="0.25">
      <c r="A1972" s="113"/>
      <c r="B1972" s="114"/>
      <c r="C1972" s="114"/>
      <c r="D1972" s="114"/>
      <c r="E1972" s="114"/>
    </row>
    <row r="1973" spans="1:5" x14ac:dyDescent="0.25">
      <c r="A1973" s="113"/>
      <c r="B1973" s="114"/>
      <c r="C1973" s="114"/>
      <c r="D1973" s="114"/>
      <c r="E1973" s="114"/>
    </row>
    <row r="1974" spans="1:5" x14ac:dyDescent="0.25">
      <c r="A1974" s="113"/>
      <c r="B1974" s="114"/>
      <c r="C1974" s="114"/>
      <c r="D1974" s="114"/>
      <c r="E1974" s="114"/>
    </row>
    <row r="1975" spans="1:5" x14ac:dyDescent="0.25">
      <c r="A1975" s="113"/>
      <c r="B1975" s="114"/>
      <c r="C1975" s="114"/>
      <c r="D1975" s="114"/>
      <c r="E1975" s="114"/>
    </row>
    <row r="1976" spans="1:5" x14ac:dyDescent="0.25">
      <c r="A1976" s="113"/>
      <c r="B1976" s="114"/>
      <c r="C1976" s="114"/>
      <c r="D1976" s="114"/>
      <c r="E1976" s="114"/>
    </row>
    <row r="1977" spans="1:5" x14ac:dyDescent="0.25">
      <c r="A1977" s="113"/>
      <c r="B1977" s="114"/>
      <c r="C1977" s="114"/>
      <c r="D1977" s="114"/>
      <c r="E1977" s="114"/>
    </row>
    <row r="1978" spans="1:5" x14ac:dyDescent="0.25">
      <c r="A1978" s="113"/>
      <c r="B1978" s="114"/>
      <c r="C1978" s="114"/>
      <c r="D1978" s="114"/>
      <c r="E1978" s="114"/>
    </row>
    <row r="1979" spans="1:5" x14ac:dyDescent="0.25">
      <c r="A1979" s="113"/>
      <c r="B1979" s="114"/>
      <c r="C1979" s="114"/>
      <c r="D1979" s="114"/>
      <c r="E1979" s="114"/>
    </row>
    <row r="1980" spans="1:5" x14ac:dyDescent="0.25">
      <c r="A1980" s="113"/>
      <c r="B1980" s="114"/>
      <c r="C1980" s="114"/>
      <c r="D1980" s="114"/>
      <c r="E1980" s="114"/>
    </row>
    <row r="1981" spans="1:5" x14ac:dyDescent="0.25">
      <c r="A1981" s="113"/>
      <c r="B1981" s="114"/>
      <c r="C1981" s="114"/>
      <c r="D1981" s="114"/>
      <c r="E1981" s="114"/>
    </row>
    <row r="1982" spans="1:5" x14ac:dyDescent="0.25">
      <c r="A1982" s="113"/>
      <c r="B1982" s="114"/>
      <c r="C1982" s="114"/>
      <c r="D1982" s="114"/>
      <c r="E1982" s="114"/>
    </row>
    <row r="1983" spans="1:5" x14ac:dyDescent="0.25">
      <c r="A1983" s="113"/>
      <c r="B1983" s="114"/>
      <c r="C1983" s="114"/>
      <c r="D1983" s="114"/>
      <c r="E1983" s="114"/>
    </row>
    <row r="1984" spans="1:5" x14ac:dyDescent="0.25">
      <c r="A1984" s="113"/>
      <c r="B1984" s="114"/>
      <c r="C1984" s="114"/>
      <c r="D1984" s="114"/>
      <c r="E1984" s="114"/>
    </row>
    <row r="1985" spans="1:5" x14ac:dyDescent="0.25">
      <c r="A1985" s="113"/>
      <c r="B1985" s="114"/>
      <c r="C1985" s="114"/>
      <c r="D1985" s="114"/>
      <c r="E1985" s="114"/>
    </row>
    <row r="1986" spans="1:5" x14ac:dyDescent="0.25">
      <c r="A1986" s="113"/>
      <c r="B1986" s="114"/>
      <c r="C1986" s="114"/>
      <c r="D1986" s="114"/>
      <c r="E1986" s="114"/>
    </row>
    <row r="1987" spans="1:5" x14ac:dyDescent="0.25">
      <c r="A1987" s="113"/>
      <c r="B1987" s="114"/>
      <c r="C1987" s="114"/>
      <c r="D1987" s="114"/>
      <c r="E1987" s="114"/>
    </row>
    <row r="1988" spans="1:5" x14ac:dyDescent="0.25">
      <c r="A1988" s="113"/>
      <c r="B1988" s="114"/>
      <c r="C1988" s="114"/>
      <c r="D1988" s="114"/>
      <c r="E1988" s="114"/>
    </row>
    <row r="1989" spans="1:5" x14ac:dyDescent="0.25">
      <c r="A1989" s="113"/>
      <c r="B1989" s="114"/>
      <c r="C1989" s="114"/>
      <c r="D1989" s="114"/>
      <c r="E1989" s="114"/>
    </row>
    <row r="1990" spans="1:5" x14ac:dyDescent="0.25">
      <c r="A1990" s="113"/>
      <c r="B1990" s="114"/>
      <c r="C1990" s="114"/>
      <c r="D1990" s="114"/>
      <c r="E1990" s="114"/>
    </row>
    <row r="1991" spans="1:5" x14ac:dyDescent="0.25">
      <c r="A1991" s="113"/>
      <c r="B1991" s="114"/>
      <c r="C1991" s="114"/>
      <c r="D1991" s="114"/>
      <c r="E1991" s="114"/>
    </row>
    <row r="1992" spans="1:5" x14ac:dyDescent="0.25">
      <c r="A1992" s="113"/>
      <c r="B1992" s="114"/>
      <c r="C1992" s="114"/>
      <c r="D1992" s="114"/>
      <c r="E1992" s="114"/>
    </row>
    <row r="1993" spans="1:5" x14ac:dyDescent="0.25">
      <c r="A1993" s="113"/>
      <c r="B1993" s="114"/>
      <c r="C1993" s="114"/>
      <c r="D1993" s="114"/>
      <c r="E1993" s="114"/>
    </row>
    <row r="1994" spans="1:5" x14ac:dyDescent="0.25">
      <c r="A1994" s="113"/>
      <c r="B1994" s="114"/>
      <c r="C1994" s="114"/>
      <c r="D1994" s="114"/>
      <c r="E1994" s="114"/>
    </row>
    <row r="1995" spans="1:5" x14ac:dyDescent="0.25">
      <c r="A1995" s="113"/>
      <c r="B1995" s="114"/>
      <c r="C1995" s="114"/>
      <c r="D1995" s="114"/>
      <c r="E1995" s="114"/>
    </row>
    <row r="1996" spans="1:5" x14ac:dyDescent="0.25">
      <c r="A1996" s="113"/>
      <c r="B1996" s="114"/>
      <c r="C1996" s="114"/>
      <c r="D1996" s="114"/>
      <c r="E1996" s="114"/>
    </row>
    <row r="1997" spans="1:5" x14ac:dyDescent="0.25">
      <c r="A1997" s="113"/>
      <c r="B1997" s="114"/>
      <c r="C1997" s="114"/>
      <c r="D1997" s="114"/>
      <c r="E1997" s="114"/>
    </row>
    <row r="1998" spans="1:5" x14ac:dyDescent="0.25">
      <c r="A1998" s="113"/>
      <c r="B1998" s="114"/>
      <c r="C1998" s="114"/>
      <c r="D1998" s="114"/>
      <c r="E1998" s="114"/>
    </row>
    <row r="1999" spans="1:5" x14ac:dyDescent="0.25">
      <c r="A1999" s="113"/>
      <c r="B1999" s="114"/>
      <c r="C1999" s="114"/>
      <c r="D1999" s="114"/>
      <c r="E1999" s="114"/>
    </row>
    <row r="2000" spans="1:5" x14ac:dyDescent="0.25">
      <c r="A2000" s="113"/>
      <c r="B2000" s="114"/>
      <c r="C2000" s="114"/>
      <c r="D2000" s="114"/>
      <c r="E2000" s="114"/>
    </row>
    <row r="2001" spans="1:5" x14ac:dyDescent="0.25">
      <c r="A2001" s="113"/>
      <c r="B2001" s="114"/>
      <c r="C2001" s="114"/>
      <c r="D2001" s="114"/>
      <c r="E2001" s="114"/>
    </row>
    <row r="2002" spans="1:5" x14ac:dyDescent="0.25">
      <c r="A2002" s="113"/>
      <c r="B2002" s="114"/>
      <c r="C2002" s="114"/>
      <c r="D2002" s="114"/>
      <c r="E2002" s="114"/>
    </row>
    <row r="2003" spans="1:5" x14ac:dyDescent="0.25">
      <c r="A2003" s="113"/>
      <c r="B2003" s="114"/>
      <c r="C2003" s="114"/>
      <c r="D2003" s="114"/>
      <c r="E2003" s="114"/>
    </row>
    <row r="2004" spans="1:5" x14ac:dyDescent="0.25">
      <c r="A2004" s="113"/>
      <c r="B2004" s="114"/>
      <c r="C2004" s="114"/>
      <c r="D2004" s="114"/>
      <c r="E2004" s="114"/>
    </row>
    <row r="2005" spans="1:5" x14ac:dyDescent="0.25">
      <c r="A2005" s="113"/>
      <c r="B2005" s="114"/>
      <c r="C2005" s="114"/>
      <c r="D2005" s="114"/>
      <c r="E2005" s="114"/>
    </row>
    <row r="2006" spans="1:5" x14ac:dyDescent="0.25">
      <c r="A2006" s="113"/>
      <c r="B2006" s="114"/>
      <c r="C2006" s="114"/>
      <c r="D2006" s="114"/>
      <c r="E2006" s="114"/>
    </row>
    <row r="2007" spans="1:5" x14ac:dyDescent="0.25">
      <c r="A2007" s="113"/>
      <c r="B2007" s="114"/>
      <c r="C2007" s="114"/>
      <c r="D2007" s="114"/>
      <c r="E2007" s="114"/>
    </row>
    <row r="2008" spans="1:5" x14ac:dyDescent="0.25">
      <c r="A2008" s="113"/>
      <c r="B2008" s="114"/>
      <c r="C2008" s="114"/>
      <c r="D2008" s="114"/>
      <c r="E2008" s="114"/>
    </row>
    <row r="2009" spans="1:5" x14ac:dyDescent="0.25">
      <c r="A2009" s="113"/>
      <c r="B2009" s="114"/>
      <c r="C2009" s="114"/>
      <c r="D2009" s="114"/>
      <c r="E2009" s="114"/>
    </row>
    <row r="2010" spans="1:5" x14ac:dyDescent="0.25">
      <c r="A2010" s="113"/>
      <c r="B2010" s="114"/>
      <c r="C2010" s="114"/>
      <c r="D2010" s="114"/>
      <c r="E2010" s="114"/>
    </row>
    <row r="2011" spans="1:5" x14ac:dyDescent="0.25">
      <c r="A2011" s="113"/>
      <c r="B2011" s="114"/>
      <c r="C2011" s="114"/>
      <c r="D2011" s="114"/>
      <c r="E2011" s="114"/>
    </row>
    <row r="2012" spans="1:5" x14ac:dyDescent="0.25">
      <c r="A2012" s="113"/>
      <c r="B2012" s="114"/>
      <c r="C2012" s="114"/>
      <c r="D2012" s="114"/>
      <c r="E2012" s="114"/>
    </row>
    <row r="2013" spans="1:5" x14ac:dyDescent="0.25">
      <c r="A2013" s="113"/>
      <c r="B2013" s="114"/>
      <c r="C2013" s="114"/>
      <c r="D2013" s="114"/>
      <c r="E2013" s="114"/>
    </row>
    <row r="2014" spans="1:5" x14ac:dyDescent="0.25">
      <c r="A2014" s="113"/>
      <c r="B2014" s="114"/>
      <c r="C2014" s="114"/>
      <c r="D2014" s="114"/>
      <c r="E2014" s="114"/>
    </row>
    <row r="2015" spans="1:5" x14ac:dyDescent="0.25">
      <c r="A2015" s="113"/>
      <c r="B2015" s="114"/>
      <c r="C2015" s="114"/>
      <c r="D2015" s="114"/>
      <c r="E2015" s="114"/>
    </row>
    <row r="2016" spans="1:5" x14ac:dyDescent="0.25">
      <c r="A2016" s="113"/>
      <c r="B2016" s="114"/>
      <c r="C2016" s="114"/>
      <c r="D2016" s="114"/>
      <c r="E2016" s="114"/>
    </row>
    <row r="2017" spans="1:5" x14ac:dyDescent="0.25">
      <c r="A2017" s="113"/>
      <c r="B2017" s="114"/>
      <c r="C2017" s="114"/>
      <c r="D2017" s="114"/>
      <c r="E2017" s="114"/>
    </row>
    <row r="2018" spans="1:5" x14ac:dyDescent="0.25">
      <c r="A2018" s="113"/>
      <c r="B2018" s="114"/>
      <c r="C2018" s="114"/>
      <c r="D2018" s="114"/>
      <c r="E2018" s="114"/>
    </row>
    <row r="2019" spans="1:5" x14ac:dyDescent="0.25">
      <c r="A2019" s="113"/>
      <c r="B2019" s="114"/>
      <c r="C2019" s="114"/>
      <c r="D2019" s="114"/>
      <c r="E2019" s="114"/>
    </row>
    <row r="2020" spans="1:5" x14ac:dyDescent="0.25">
      <c r="A2020" s="113"/>
      <c r="B2020" s="114"/>
      <c r="C2020" s="114"/>
      <c r="D2020" s="114"/>
      <c r="E2020" s="114"/>
    </row>
    <row r="2021" spans="1:5" x14ac:dyDescent="0.25">
      <c r="A2021" s="113"/>
      <c r="B2021" s="114"/>
      <c r="C2021" s="114"/>
      <c r="D2021" s="114"/>
      <c r="E2021" s="114"/>
    </row>
    <row r="2022" spans="1:5" x14ac:dyDescent="0.25">
      <c r="A2022" s="113"/>
      <c r="B2022" s="114"/>
      <c r="C2022" s="114"/>
      <c r="D2022" s="114"/>
      <c r="E2022" s="114"/>
    </row>
    <row r="2023" spans="1:5" x14ac:dyDescent="0.25">
      <c r="A2023" s="113"/>
      <c r="B2023" s="114"/>
      <c r="C2023" s="114"/>
      <c r="D2023" s="114"/>
      <c r="E2023" s="114"/>
    </row>
    <row r="2024" spans="1:5" x14ac:dyDescent="0.25">
      <c r="A2024" s="113"/>
      <c r="B2024" s="114"/>
      <c r="C2024" s="114"/>
      <c r="D2024" s="114"/>
      <c r="E2024" s="114"/>
    </row>
    <row r="2025" spans="1:5" x14ac:dyDescent="0.25">
      <c r="A2025" s="113"/>
      <c r="B2025" s="114"/>
      <c r="C2025" s="114"/>
      <c r="D2025" s="114"/>
      <c r="E2025" s="114"/>
    </row>
    <row r="2026" spans="1:5" x14ac:dyDescent="0.25">
      <c r="A2026" s="113"/>
      <c r="B2026" s="114"/>
      <c r="C2026" s="114"/>
      <c r="D2026" s="114"/>
      <c r="E2026" s="114"/>
    </row>
    <row r="2027" spans="1:5" x14ac:dyDescent="0.25">
      <c r="A2027" s="113"/>
      <c r="B2027" s="114"/>
      <c r="C2027" s="114"/>
      <c r="D2027" s="114"/>
      <c r="E2027" s="114"/>
    </row>
    <row r="2028" spans="1:5" x14ac:dyDescent="0.25">
      <c r="A2028" s="113"/>
      <c r="B2028" s="114"/>
      <c r="C2028" s="114"/>
      <c r="D2028" s="114"/>
      <c r="E2028" s="114"/>
    </row>
    <row r="2029" spans="1:5" x14ac:dyDescent="0.25">
      <c r="A2029" s="113"/>
      <c r="B2029" s="114"/>
      <c r="C2029" s="114"/>
      <c r="D2029" s="114"/>
      <c r="E2029" s="114"/>
    </row>
    <row r="2030" spans="1:5" x14ac:dyDescent="0.25">
      <c r="A2030" s="113"/>
      <c r="B2030" s="114"/>
      <c r="C2030" s="114"/>
      <c r="D2030" s="114"/>
      <c r="E2030" s="114"/>
    </row>
    <row r="2031" spans="1:5" x14ac:dyDescent="0.25">
      <c r="A2031" s="113"/>
      <c r="B2031" s="114"/>
      <c r="C2031" s="114"/>
      <c r="D2031" s="114"/>
      <c r="E2031" s="114"/>
    </row>
    <row r="2032" spans="1:5" x14ac:dyDescent="0.25">
      <c r="A2032" s="113"/>
      <c r="B2032" s="114"/>
      <c r="C2032" s="114"/>
      <c r="D2032" s="114"/>
      <c r="E2032" s="114"/>
    </row>
    <row r="2033" spans="1:5" x14ac:dyDescent="0.25">
      <c r="A2033" s="113"/>
      <c r="B2033" s="114"/>
      <c r="C2033" s="114"/>
      <c r="D2033" s="114"/>
      <c r="E2033" s="114"/>
    </row>
    <row r="2034" spans="1:5" x14ac:dyDescent="0.25">
      <c r="A2034" s="113"/>
      <c r="B2034" s="114"/>
      <c r="C2034" s="114"/>
      <c r="D2034" s="114"/>
      <c r="E2034" s="114"/>
    </row>
    <row r="2035" spans="1:5" x14ac:dyDescent="0.25">
      <c r="A2035" s="113"/>
      <c r="B2035" s="114"/>
      <c r="C2035" s="114"/>
      <c r="D2035" s="114"/>
      <c r="E2035" s="114"/>
    </row>
    <row r="2036" spans="1:5" x14ac:dyDescent="0.25">
      <c r="A2036" s="113"/>
      <c r="B2036" s="114"/>
      <c r="C2036" s="114"/>
      <c r="D2036" s="114"/>
      <c r="E2036" s="114"/>
    </row>
    <row r="2037" spans="1:5" x14ac:dyDescent="0.25">
      <c r="A2037" s="113"/>
      <c r="B2037" s="114"/>
      <c r="C2037" s="114"/>
      <c r="D2037" s="114"/>
      <c r="E2037" s="114"/>
    </row>
    <row r="2038" spans="1:5" x14ac:dyDescent="0.25">
      <c r="A2038" s="113"/>
      <c r="B2038" s="114"/>
      <c r="C2038" s="114"/>
      <c r="D2038" s="114"/>
      <c r="E2038" s="114"/>
    </row>
    <row r="2039" spans="1:5" x14ac:dyDescent="0.25">
      <c r="A2039" s="113"/>
      <c r="B2039" s="114"/>
      <c r="C2039" s="114"/>
      <c r="D2039" s="114"/>
      <c r="E2039" s="114"/>
    </row>
    <row r="2040" spans="1:5" x14ac:dyDescent="0.25">
      <c r="A2040" s="113"/>
      <c r="B2040" s="114"/>
      <c r="C2040" s="114"/>
      <c r="D2040" s="114"/>
      <c r="E2040" s="114"/>
    </row>
    <row r="2041" spans="1:5" x14ac:dyDescent="0.25">
      <c r="A2041" s="113"/>
      <c r="B2041" s="114"/>
      <c r="C2041" s="114"/>
      <c r="D2041" s="114"/>
      <c r="E2041" s="114"/>
    </row>
    <row r="2042" spans="1:5" x14ac:dyDescent="0.25">
      <c r="A2042" s="113"/>
      <c r="B2042" s="114"/>
      <c r="C2042" s="114"/>
      <c r="D2042" s="114"/>
      <c r="E2042" s="114"/>
    </row>
    <row r="2043" spans="1:5" x14ac:dyDescent="0.25">
      <c r="A2043" s="113"/>
      <c r="B2043" s="114"/>
      <c r="C2043" s="114"/>
      <c r="D2043" s="114"/>
      <c r="E2043" s="114"/>
    </row>
    <row r="2044" spans="1:5" x14ac:dyDescent="0.25">
      <c r="A2044" s="113"/>
      <c r="B2044" s="114"/>
      <c r="C2044" s="114"/>
      <c r="D2044" s="114"/>
      <c r="E2044" s="114"/>
    </row>
    <row r="2045" spans="1:5" x14ac:dyDescent="0.25">
      <c r="A2045" s="113"/>
      <c r="B2045" s="114"/>
      <c r="C2045" s="114"/>
      <c r="D2045" s="114"/>
      <c r="E2045" s="114"/>
    </row>
    <row r="2046" spans="1:5" x14ac:dyDescent="0.25">
      <c r="A2046" s="113"/>
      <c r="B2046" s="114"/>
      <c r="C2046" s="114"/>
      <c r="D2046" s="114"/>
      <c r="E2046" s="114"/>
    </row>
    <row r="2047" spans="1:5" x14ac:dyDescent="0.25">
      <c r="A2047" s="113"/>
      <c r="B2047" s="114"/>
      <c r="C2047" s="114"/>
      <c r="D2047" s="114"/>
      <c r="E2047" s="114"/>
    </row>
    <row r="2048" spans="1:5" x14ac:dyDescent="0.25">
      <c r="A2048" s="113"/>
      <c r="B2048" s="114"/>
      <c r="C2048" s="114"/>
      <c r="D2048" s="114"/>
      <c r="E2048" s="114"/>
    </row>
    <row r="2049" spans="1:5" x14ac:dyDescent="0.25">
      <c r="A2049" s="113"/>
      <c r="B2049" s="114"/>
      <c r="C2049" s="114"/>
      <c r="D2049" s="114"/>
      <c r="E2049" s="114"/>
    </row>
    <row r="2050" spans="1:5" x14ac:dyDescent="0.25">
      <c r="A2050" s="113"/>
      <c r="B2050" s="114"/>
      <c r="C2050" s="114"/>
      <c r="D2050" s="114"/>
      <c r="E2050" s="114"/>
    </row>
    <row r="2051" spans="1:5" x14ac:dyDescent="0.25">
      <c r="A2051" s="113"/>
      <c r="B2051" s="114"/>
      <c r="C2051" s="114"/>
      <c r="D2051" s="114"/>
      <c r="E2051" s="114"/>
    </row>
    <row r="2052" spans="1:5" x14ac:dyDescent="0.25">
      <c r="A2052" s="113"/>
      <c r="B2052" s="114"/>
      <c r="C2052" s="114"/>
      <c r="D2052" s="114"/>
      <c r="E2052" s="114"/>
    </row>
    <row r="2053" spans="1:5" x14ac:dyDescent="0.25">
      <c r="A2053" s="113"/>
      <c r="B2053" s="114"/>
      <c r="C2053" s="114"/>
      <c r="D2053" s="114"/>
      <c r="E2053" s="114"/>
    </row>
    <row r="2054" spans="1:5" x14ac:dyDescent="0.25">
      <c r="A2054" s="113"/>
      <c r="B2054" s="114"/>
      <c r="C2054" s="114"/>
      <c r="D2054" s="114"/>
      <c r="E2054" s="114"/>
    </row>
    <row r="2055" spans="1:5" x14ac:dyDescent="0.25">
      <c r="A2055" s="113"/>
      <c r="B2055" s="114"/>
      <c r="C2055" s="114"/>
      <c r="D2055" s="114"/>
      <c r="E2055" s="114"/>
    </row>
    <row r="2056" spans="1:5" x14ac:dyDescent="0.25">
      <c r="A2056" s="113"/>
      <c r="B2056" s="114"/>
      <c r="C2056" s="114"/>
      <c r="D2056" s="114"/>
      <c r="E2056" s="114"/>
    </row>
    <row r="2057" spans="1:5" x14ac:dyDescent="0.25">
      <c r="A2057" s="113"/>
      <c r="B2057" s="114"/>
      <c r="C2057" s="114"/>
      <c r="D2057" s="114"/>
      <c r="E2057" s="114"/>
    </row>
    <row r="2058" spans="1:5" x14ac:dyDescent="0.25">
      <c r="A2058" s="113"/>
      <c r="B2058" s="114"/>
      <c r="C2058" s="114"/>
      <c r="D2058" s="114"/>
      <c r="E2058" s="114"/>
    </row>
    <row r="2059" spans="1:5" x14ac:dyDescent="0.25">
      <c r="A2059" s="113"/>
      <c r="B2059" s="114"/>
      <c r="C2059" s="114"/>
      <c r="D2059" s="114"/>
      <c r="E2059" s="114"/>
    </row>
    <row r="2060" spans="1:5" x14ac:dyDescent="0.25">
      <c r="A2060" s="113"/>
      <c r="B2060" s="114"/>
      <c r="C2060" s="114"/>
      <c r="D2060" s="114"/>
      <c r="E2060" s="114"/>
    </row>
    <row r="2061" spans="1:5" x14ac:dyDescent="0.25">
      <c r="A2061" s="113"/>
      <c r="B2061" s="114"/>
      <c r="C2061" s="114"/>
      <c r="D2061" s="114"/>
      <c r="E2061" s="114"/>
    </row>
    <row r="2062" spans="1:5" x14ac:dyDescent="0.25">
      <c r="A2062" s="113"/>
      <c r="B2062" s="114"/>
      <c r="C2062" s="114"/>
      <c r="D2062" s="114"/>
      <c r="E2062" s="114"/>
    </row>
    <row r="2063" spans="1:5" x14ac:dyDescent="0.25">
      <c r="A2063" s="113"/>
      <c r="B2063" s="114"/>
      <c r="C2063" s="114"/>
      <c r="D2063" s="114"/>
      <c r="E2063" s="114"/>
    </row>
    <row r="2064" spans="1:5" x14ac:dyDescent="0.25">
      <c r="A2064" s="113"/>
      <c r="B2064" s="114"/>
      <c r="C2064" s="114"/>
      <c r="D2064" s="114"/>
      <c r="E2064" s="114"/>
    </row>
    <row r="2065" spans="1:5" x14ac:dyDescent="0.25">
      <c r="A2065" s="113"/>
      <c r="B2065" s="114"/>
      <c r="C2065" s="114"/>
      <c r="D2065" s="114"/>
      <c r="E2065" s="114"/>
    </row>
    <row r="2066" spans="1:5" x14ac:dyDescent="0.25">
      <c r="A2066" s="113"/>
      <c r="B2066" s="114"/>
      <c r="C2066" s="114"/>
      <c r="D2066" s="114"/>
      <c r="E2066" s="114"/>
    </row>
    <row r="2067" spans="1:5" x14ac:dyDescent="0.25">
      <c r="A2067" s="113"/>
      <c r="B2067" s="114"/>
      <c r="C2067" s="114"/>
      <c r="D2067" s="114"/>
      <c r="E2067" s="114"/>
    </row>
    <row r="2068" spans="1:5" x14ac:dyDescent="0.25">
      <c r="A2068" s="113"/>
      <c r="B2068" s="114"/>
      <c r="C2068" s="114"/>
      <c r="D2068" s="114"/>
      <c r="E2068" s="114"/>
    </row>
    <row r="2069" spans="1:5" x14ac:dyDescent="0.25">
      <c r="A2069" s="113"/>
      <c r="B2069" s="114"/>
      <c r="C2069" s="114"/>
      <c r="D2069" s="114"/>
      <c r="E2069" s="114"/>
    </row>
    <row r="2070" spans="1:5" x14ac:dyDescent="0.25">
      <c r="A2070" s="113"/>
      <c r="B2070" s="114"/>
      <c r="C2070" s="114"/>
      <c r="D2070" s="114"/>
      <c r="E2070" s="114"/>
    </row>
    <row r="2071" spans="1:5" x14ac:dyDescent="0.25">
      <c r="A2071" s="113"/>
      <c r="B2071" s="114"/>
      <c r="C2071" s="114"/>
      <c r="D2071" s="114"/>
      <c r="E2071" s="114"/>
    </row>
    <row r="2072" spans="1:5" x14ac:dyDescent="0.25">
      <c r="A2072" s="113"/>
      <c r="B2072" s="114"/>
      <c r="C2072" s="114"/>
      <c r="D2072" s="114"/>
      <c r="E2072" s="114"/>
    </row>
    <row r="2073" spans="1:5" x14ac:dyDescent="0.25">
      <c r="A2073" s="113"/>
      <c r="B2073" s="114"/>
      <c r="C2073" s="114"/>
      <c r="D2073" s="114"/>
      <c r="E2073" s="114"/>
    </row>
    <row r="2074" spans="1:5" x14ac:dyDescent="0.25">
      <c r="A2074" s="113"/>
      <c r="B2074" s="114"/>
      <c r="C2074" s="114"/>
      <c r="D2074" s="114"/>
      <c r="E2074" s="114"/>
    </row>
    <row r="2075" spans="1:5" x14ac:dyDescent="0.25">
      <c r="A2075" s="113"/>
      <c r="B2075" s="114"/>
      <c r="C2075" s="114"/>
      <c r="D2075" s="114"/>
      <c r="E2075" s="114"/>
    </row>
    <row r="2076" spans="1:5" x14ac:dyDescent="0.25">
      <c r="A2076" s="113"/>
      <c r="B2076" s="114"/>
      <c r="C2076" s="114"/>
      <c r="D2076" s="114"/>
      <c r="E2076" s="114"/>
    </row>
    <row r="2077" spans="1:5" x14ac:dyDescent="0.25">
      <c r="A2077" s="113"/>
      <c r="B2077" s="114"/>
      <c r="C2077" s="114"/>
      <c r="D2077" s="114"/>
      <c r="E2077" s="114"/>
    </row>
    <row r="2078" spans="1:5" x14ac:dyDescent="0.25">
      <c r="A2078" s="113"/>
      <c r="B2078" s="114"/>
      <c r="C2078" s="114"/>
      <c r="D2078" s="114"/>
      <c r="E2078" s="114"/>
    </row>
    <row r="2079" spans="1:5" x14ac:dyDescent="0.25">
      <c r="A2079" s="113"/>
      <c r="B2079" s="114"/>
      <c r="C2079" s="114"/>
      <c r="D2079" s="114"/>
      <c r="E2079" s="114"/>
    </row>
    <row r="2080" spans="1:5" x14ac:dyDescent="0.25">
      <c r="A2080" s="113"/>
      <c r="B2080" s="114"/>
      <c r="C2080" s="114"/>
      <c r="D2080" s="114"/>
      <c r="E2080" s="114"/>
    </row>
    <row r="2081" spans="1:5" x14ac:dyDescent="0.25">
      <c r="A2081" s="113"/>
      <c r="B2081" s="114"/>
      <c r="C2081" s="114"/>
      <c r="D2081" s="114"/>
      <c r="E2081" s="114"/>
    </row>
    <row r="2082" spans="1:5" x14ac:dyDescent="0.25">
      <c r="A2082" s="113"/>
      <c r="B2082" s="114"/>
      <c r="C2082" s="114"/>
      <c r="D2082" s="114"/>
      <c r="E2082" s="114"/>
    </row>
    <row r="2083" spans="1:5" x14ac:dyDescent="0.25">
      <c r="A2083" s="113"/>
      <c r="B2083" s="114"/>
      <c r="C2083" s="114"/>
      <c r="D2083" s="114"/>
      <c r="E2083" s="114"/>
    </row>
    <row r="2084" spans="1:5" x14ac:dyDescent="0.25">
      <c r="A2084" s="113"/>
      <c r="B2084" s="114"/>
      <c r="C2084" s="114"/>
      <c r="D2084" s="114"/>
      <c r="E2084" s="114"/>
    </row>
    <row r="2085" spans="1:5" x14ac:dyDescent="0.25">
      <c r="A2085" s="113"/>
      <c r="B2085" s="114"/>
      <c r="C2085" s="114"/>
      <c r="D2085" s="114"/>
      <c r="E2085" s="114"/>
    </row>
    <row r="2086" spans="1:5" x14ac:dyDescent="0.25">
      <c r="A2086" s="113"/>
      <c r="B2086" s="114"/>
      <c r="C2086" s="114"/>
      <c r="D2086" s="114"/>
      <c r="E2086" s="114"/>
    </row>
    <row r="2087" spans="1:5" x14ac:dyDescent="0.25">
      <c r="A2087" s="113"/>
      <c r="B2087" s="114"/>
      <c r="C2087" s="114"/>
      <c r="D2087" s="114"/>
      <c r="E2087" s="114"/>
    </row>
    <row r="2088" spans="1:5" x14ac:dyDescent="0.25">
      <c r="A2088" s="113"/>
      <c r="B2088" s="114"/>
      <c r="C2088" s="114"/>
      <c r="D2088" s="114"/>
      <c r="E2088" s="114"/>
    </row>
    <row r="2089" spans="1:5" x14ac:dyDescent="0.25">
      <c r="A2089" s="113"/>
      <c r="B2089" s="114"/>
      <c r="C2089" s="114"/>
      <c r="D2089" s="114"/>
      <c r="E2089" s="114"/>
    </row>
    <row r="2090" spans="1:5" x14ac:dyDescent="0.25">
      <c r="A2090" s="113"/>
      <c r="B2090" s="114"/>
      <c r="C2090" s="114"/>
      <c r="D2090" s="114"/>
      <c r="E2090" s="114"/>
    </row>
    <row r="2091" spans="1:5" x14ac:dyDescent="0.25">
      <c r="A2091" s="113"/>
      <c r="B2091" s="114"/>
      <c r="C2091" s="114"/>
      <c r="D2091" s="114"/>
      <c r="E2091" s="114"/>
    </row>
    <row r="2092" spans="1:5" x14ac:dyDescent="0.25">
      <c r="A2092" s="113"/>
      <c r="B2092" s="114"/>
      <c r="C2092" s="114"/>
      <c r="D2092" s="114"/>
      <c r="E2092" s="114"/>
    </row>
    <row r="2093" spans="1:5" x14ac:dyDescent="0.25">
      <c r="A2093" s="113"/>
      <c r="B2093" s="114"/>
      <c r="C2093" s="114"/>
      <c r="D2093" s="114"/>
      <c r="E2093" s="114"/>
    </row>
    <row r="2094" spans="1:5" x14ac:dyDescent="0.25">
      <c r="A2094" s="113"/>
      <c r="B2094" s="114"/>
      <c r="C2094" s="114"/>
      <c r="D2094" s="114"/>
      <c r="E2094" s="114"/>
    </row>
    <row r="2095" spans="1:5" x14ac:dyDescent="0.25">
      <c r="A2095" s="113"/>
      <c r="B2095" s="114"/>
      <c r="C2095" s="114"/>
      <c r="D2095" s="114"/>
      <c r="E2095" s="114"/>
    </row>
    <row r="2096" spans="1:5" x14ac:dyDescent="0.25">
      <c r="A2096" s="113"/>
      <c r="B2096" s="114"/>
      <c r="C2096" s="114"/>
      <c r="D2096" s="114"/>
      <c r="E2096" s="114"/>
    </row>
    <row r="2097" spans="1:5" x14ac:dyDescent="0.25">
      <c r="A2097" s="113"/>
      <c r="B2097" s="114"/>
      <c r="C2097" s="114"/>
      <c r="D2097" s="114"/>
      <c r="E2097" s="114"/>
    </row>
    <row r="2098" spans="1:5" x14ac:dyDescent="0.25">
      <c r="A2098" s="113"/>
      <c r="B2098" s="114"/>
      <c r="C2098" s="114"/>
      <c r="D2098" s="114"/>
      <c r="E2098" s="114"/>
    </row>
    <row r="2099" spans="1:5" x14ac:dyDescent="0.25">
      <c r="A2099" s="113"/>
      <c r="B2099" s="114"/>
      <c r="C2099" s="114"/>
      <c r="D2099" s="114"/>
      <c r="E2099" s="114"/>
    </row>
    <row r="2100" spans="1:5" x14ac:dyDescent="0.25">
      <c r="A2100" s="113"/>
      <c r="B2100" s="114"/>
      <c r="C2100" s="114"/>
      <c r="D2100" s="114"/>
      <c r="E2100" s="114"/>
    </row>
    <row r="2101" spans="1:5" x14ac:dyDescent="0.25">
      <c r="A2101" s="113"/>
      <c r="B2101" s="114"/>
      <c r="C2101" s="114"/>
      <c r="D2101" s="114"/>
      <c r="E2101" s="114"/>
    </row>
    <row r="2102" spans="1:5" x14ac:dyDescent="0.25">
      <c r="A2102" s="113"/>
      <c r="B2102" s="114"/>
      <c r="C2102" s="114"/>
      <c r="D2102" s="114"/>
      <c r="E2102" s="114"/>
    </row>
    <row r="2103" spans="1:5" x14ac:dyDescent="0.25">
      <c r="A2103" s="113"/>
      <c r="B2103" s="114"/>
      <c r="C2103" s="114"/>
      <c r="D2103" s="114"/>
      <c r="E2103" s="114"/>
    </row>
    <row r="2104" spans="1:5" x14ac:dyDescent="0.25">
      <c r="A2104" s="113"/>
      <c r="B2104" s="114"/>
      <c r="C2104" s="114"/>
      <c r="D2104" s="114"/>
      <c r="E2104" s="114"/>
    </row>
    <row r="2105" spans="1:5" x14ac:dyDescent="0.25">
      <c r="A2105" s="113"/>
      <c r="B2105" s="114"/>
      <c r="C2105" s="114"/>
      <c r="D2105" s="114"/>
      <c r="E2105" s="114"/>
    </row>
    <row r="2106" spans="1:5" x14ac:dyDescent="0.25">
      <c r="A2106" s="113"/>
      <c r="B2106" s="114"/>
      <c r="C2106" s="114"/>
      <c r="D2106" s="114"/>
      <c r="E2106" s="114"/>
    </row>
    <row r="2107" spans="1:5" x14ac:dyDescent="0.25">
      <c r="A2107" s="113"/>
      <c r="B2107" s="114"/>
      <c r="C2107" s="114"/>
      <c r="D2107" s="114"/>
      <c r="E2107" s="114"/>
    </row>
  </sheetData>
  <mergeCells count="2">
    <mergeCell ref="A1:E1"/>
    <mergeCell ref="A2:E2"/>
  </mergeCells>
  <printOptions horizontalCentered="1"/>
  <pageMargins left="0.31496062992125984" right="0.27559055118110237" top="0.82677165354330717" bottom="0.55118110236220474" header="0.27559055118110237" footer="0.31496062992125984"/>
  <pageSetup paperSize="9" scale="92" orientation="portrait" r:id="rId1"/>
  <headerFooter>
    <oddHeader>&amp;R&amp;"Times New Roman,Félkövér"21. melléklet
&amp;11 az 5/2019.(II.15.) önkormányzati rendelethez</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D8"/>
  <sheetViews>
    <sheetView zoomScaleNormal="100" workbookViewId="0">
      <selection activeCell="C35" sqref="C35"/>
    </sheetView>
  </sheetViews>
  <sheetFormatPr defaultRowHeight="15.75" x14ac:dyDescent="0.25"/>
  <cols>
    <col min="1" max="1" width="4.5" customWidth="1"/>
    <col min="2" max="2" width="27.125" customWidth="1"/>
    <col min="3" max="3" width="53.625" customWidth="1"/>
    <col min="4" max="4" width="17.875" customWidth="1"/>
    <col min="257" max="257" width="4.5" customWidth="1"/>
    <col min="258" max="258" width="27.125" customWidth="1"/>
    <col min="259" max="259" width="53.625" customWidth="1"/>
    <col min="260" max="260" width="17.875" customWidth="1"/>
    <col min="513" max="513" width="4.5" customWidth="1"/>
    <col min="514" max="514" width="27.125" customWidth="1"/>
    <col min="515" max="515" width="53.625" customWidth="1"/>
    <col min="516" max="516" width="17.875" customWidth="1"/>
    <col min="769" max="769" width="4.5" customWidth="1"/>
    <col min="770" max="770" width="27.125" customWidth="1"/>
    <col min="771" max="771" width="53.625" customWidth="1"/>
    <col min="772" max="772" width="17.875" customWidth="1"/>
    <col min="1025" max="1025" width="4.5" customWidth="1"/>
    <col min="1026" max="1026" width="27.125" customWidth="1"/>
    <col min="1027" max="1027" width="53.625" customWidth="1"/>
    <col min="1028" max="1028" width="17.875" customWidth="1"/>
    <col min="1281" max="1281" width="4.5" customWidth="1"/>
    <col min="1282" max="1282" width="27.125" customWidth="1"/>
    <col min="1283" max="1283" width="53.625" customWidth="1"/>
    <col min="1284" max="1284" width="17.875" customWidth="1"/>
    <col min="1537" max="1537" width="4.5" customWidth="1"/>
    <col min="1538" max="1538" width="27.125" customWidth="1"/>
    <col min="1539" max="1539" width="53.625" customWidth="1"/>
    <col min="1540" max="1540" width="17.875" customWidth="1"/>
    <col min="1793" max="1793" width="4.5" customWidth="1"/>
    <col min="1794" max="1794" width="27.125" customWidth="1"/>
    <col min="1795" max="1795" width="53.625" customWidth="1"/>
    <col min="1796" max="1796" width="17.875" customWidth="1"/>
    <col min="2049" max="2049" width="4.5" customWidth="1"/>
    <col min="2050" max="2050" width="27.125" customWidth="1"/>
    <col min="2051" max="2051" width="53.625" customWidth="1"/>
    <col min="2052" max="2052" width="17.875" customWidth="1"/>
    <col min="2305" max="2305" width="4.5" customWidth="1"/>
    <col min="2306" max="2306" width="27.125" customWidth="1"/>
    <col min="2307" max="2307" width="53.625" customWidth="1"/>
    <col min="2308" max="2308" width="17.875" customWidth="1"/>
    <col min="2561" max="2561" width="4.5" customWidth="1"/>
    <col min="2562" max="2562" width="27.125" customWidth="1"/>
    <col min="2563" max="2563" width="53.625" customWidth="1"/>
    <col min="2564" max="2564" width="17.875" customWidth="1"/>
    <col min="2817" max="2817" width="4.5" customWidth="1"/>
    <col min="2818" max="2818" width="27.125" customWidth="1"/>
    <col min="2819" max="2819" width="53.625" customWidth="1"/>
    <col min="2820" max="2820" width="17.875" customWidth="1"/>
    <col min="3073" max="3073" width="4.5" customWidth="1"/>
    <col min="3074" max="3074" width="27.125" customWidth="1"/>
    <col min="3075" max="3075" width="53.625" customWidth="1"/>
    <col min="3076" max="3076" width="17.875" customWidth="1"/>
    <col min="3329" max="3329" width="4.5" customWidth="1"/>
    <col min="3330" max="3330" width="27.125" customWidth="1"/>
    <col min="3331" max="3331" width="53.625" customWidth="1"/>
    <col min="3332" max="3332" width="17.875" customWidth="1"/>
    <col min="3585" max="3585" width="4.5" customWidth="1"/>
    <col min="3586" max="3586" width="27.125" customWidth="1"/>
    <col min="3587" max="3587" width="53.625" customWidth="1"/>
    <col min="3588" max="3588" width="17.875" customWidth="1"/>
    <col min="3841" max="3841" width="4.5" customWidth="1"/>
    <col min="3842" max="3842" width="27.125" customWidth="1"/>
    <col min="3843" max="3843" width="53.625" customWidth="1"/>
    <col min="3844" max="3844" width="17.875" customWidth="1"/>
    <col min="4097" max="4097" width="4.5" customWidth="1"/>
    <col min="4098" max="4098" width="27.125" customWidth="1"/>
    <col min="4099" max="4099" width="53.625" customWidth="1"/>
    <col min="4100" max="4100" width="17.875" customWidth="1"/>
    <col min="4353" max="4353" width="4.5" customWidth="1"/>
    <col min="4354" max="4354" width="27.125" customWidth="1"/>
    <col min="4355" max="4355" width="53.625" customWidth="1"/>
    <col min="4356" max="4356" width="17.875" customWidth="1"/>
    <col min="4609" max="4609" width="4.5" customWidth="1"/>
    <col min="4610" max="4610" width="27.125" customWidth="1"/>
    <col min="4611" max="4611" width="53.625" customWidth="1"/>
    <col min="4612" max="4612" width="17.875" customWidth="1"/>
    <col min="4865" max="4865" width="4.5" customWidth="1"/>
    <col min="4866" max="4866" width="27.125" customWidth="1"/>
    <col min="4867" max="4867" width="53.625" customWidth="1"/>
    <col min="4868" max="4868" width="17.875" customWidth="1"/>
    <col min="5121" max="5121" width="4.5" customWidth="1"/>
    <col min="5122" max="5122" width="27.125" customWidth="1"/>
    <col min="5123" max="5123" width="53.625" customWidth="1"/>
    <col min="5124" max="5124" width="17.875" customWidth="1"/>
    <col min="5377" max="5377" width="4.5" customWidth="1"/>
    <col min="5378" max="5378" width="27.125" customWidth="1"/>
    <col min="5379" max="5379" width="53.625" customWidth="1"/>
    <col min="5380" max="5380" width="17.875" customWidth="1"/>
    <col min="5633" max="5633" width="4.5" customWidth="1"/>
    <col min="5634" max="5634" width="27.125" customWidth="1"/>
    <col min="5635" max="5635" width="53.625" customWidth="1"/>
    <col min="5636" max="5636" width="17.875" customWidth="1"/>
    <col min="5889" max="5889" width="4.5" customWidth="1"/>
    <col min="5890" max="5890" width="27.125" customWidth="1"/>
    <col min="5891" max="5891" width="53.625" customWidth="1"/>
    <col min="5892" max="5892" width="17.875" customWidth="1"/>
    <col min="6145" max="6145" width="4.5" customWidth="1"/>
    <col min="6146" max="6146" width="27.125" customWidth="1"/>
    <col min="6147" max="6147" width="53.625" customWidth="1"/>
    <col min="6148" max="6148" width="17.875" customWidth="1"/>
    <col min="6401" max="6401" width="4.5" customWidth="1"/>
    <col min="6402" max="6402" width="27.125" customWidth="1"/>
    <col min="6403" max="6403" width="53.625" customWidth="1"/>
    <col min="6404" max="6404" width="17.875" customWidth="1"/>
    <col min="6657" max="6657" width="4.5" customWidth="1"/>
    <col min="6658" max="6658" width="27.125" customWidth="1"/>
    <col min="6659" max="6659" width="53.625" customWidth="1"/>
    <col min="6660" max="6660" width="17.875" customWidth="1"/>
    <col min="6913" max="6913" width="4.5" customWidth="1"/>
    <col min="6914" max="6914" width="27.125" customWidth="1"/>
    <col min="6915" max="6915" width="53.625" customWidth="1"/>
    <col min="6916" max="6916" width="17.875" customWidth="1"/>
    <col min="7169" max="7169" width="4.5" customWidth="1"/>
    <col min="7170" max="7170" width="27.125" customWidth="1"/>
    <col min="7171" max="7171" width="53.625" customWidth="1"/>
    <col min="7172" max="7172" width="17.875" customWidth="1"/>
    <col min="7425" max="7425" width="4.5" customWidth="1"/>
    <col min="7426" max="7426" width="27.125" customWidth="1"/>
    <col min="7427" max="7427" width="53.625" customWidth="1"/>
    <col min="7428" max="7428" width="17.875" customWidth="1"/>
    <col min="7681" max="7681" width="4.5" customWidth="1"/>
    <col min="7682" max="7682" width="27.125" customWidth="1"/>
    <col min="7683" max="7683" width="53.625" customWidth="1"/>
    <col min="7684" max="7684" width="17.875" customWidth="1"/>
    <col min="7937" max="7937" width="4.5" customWidth="1"/>
    <col min="7938" max="7938" width="27.125" customWidth="1"/>
    <col min="7939" max="7939" width="53.625" customWidth="1"/>
    <col min="7940" max="7940" width="17.875" customWidth="1"/>
    <col min="8193" max="8193" width="4.5" customWidth="1"/>
    <col min="8194" max="8194" width="27.125" customWidth="1"/>
    <col min="8195" max="8195" width="53.625" customWidth="1"/>
    <col min="8196" max="8196" width="17.875" customWidth="1"/>
    <col min="8449" max="8449" width="4.5" customWidth="1"/>
    <col min="8450" max="8450" width="27.125" customWidth="1"/>
    <col min="8451" max="8451" width="53.625" customWidth="1"/>
    <col min="8452" max="8452" width="17.875" customWidth="1"/>
    <col min="8705" max="8705" width="4.5" customWidth="1"/>
    <col min="8706" max="8706" width="27.125" customWidth="1"/>
    <col min="8707" max="8707" width="53.625" customWidth="1"/>
    <col min="8708" max="8708" width="17.875" customWidth="1"/>
    <col min="8961" max="8961" width="4.5" customWidth="1"/>
    <col min="8962" max="8962" width="27.125" customWidth="1"/>
    <col min="8963" max="8963" width="53.625" customWidth="1"/>
    <col min="8964" max="8964" width="17.875" customWidth="1"/>
    <col min="9217" max="9217" width="4.5" customWidth="1"/>
    <col min="9218" max="9218" width="27.125" customWidth="1"/>
    <col min="9219" max="9219" width="53.625" customWidth="1"/>
    <col min="9220" max="9220" width="17.875" customWidth="1"/>
    <col min="9473" max="9473" width="4.5" customWidth="1"/>
    <col min="9474" max="9474" width="27.125" customWidth="1"/>
    <col min="9475" max="9475" width="53.625" customWidth="1"/>
    <col min="9476" max="9476" width="17.875" customWidth="1"/>
    <col min="9729" max="9729" width="4.5" customWidth="1"/>
    <col min="9730" max="9730" width="27.125" customWidth="1"/>
    <col min="9731" max="9731" width="53.625" customWidth="1"/>
    <col min="9732" max="9732" width="17.875" customWidth="1"/>
    <col min="9985" max="9985" width="4.5" customWidth="1"/>
    <col min="9986" max="9986" width="27.125" customWidth="1"/>
    <col min="9987" max="9987" width="53.625" customWidth="1"/>
    <col min="9988" max="9988" width="17.875" customWidth="1"/>
    <col min="10241" max="10241" width="4.5" customWidth="1"/>
    <col min="10242" max="10242" width="27.125" customWidth="1"/>
    <col min="10243" max="10243" width="53.625" customWidth="1"/>
    <col min="10244" max="10244" width="17.875" customWidth="1"/>
    <col min="10497" max="10497" width="4.5" customWidth="1"/>
    <col min="10498" max="10498" width="27.125" customWidth="1"/>
    <col min="10499" max="10499" width="53.625" customWidth="1"/>
    <col min="10500" max="10500" width="17.875" customWidth="1"/>
    <col min="10753" max="10753" width="4.5" customWidth="1"/>
    <col min="10754" max="10754" width="27.125" customWidth="1"/>
    <col min="10755" max="10755" width="53.625" customWidth="1"/>
    <col min="10756" max="10756" width="17.875" customWidth="1"/>
    <col min="11009" max="11009" width="4.5" customWidth="1"/>
    <col min="11010" max="11010" width="27.125" customWidth="1"/>
    <col min="11011" max="11011" width="53.625" customWidth="1"/>
    <col min="11012" max="11012" width="17.875" customWidth="1"/>
    <col min="11265" max="11265" width="4.5" customWidth="1"/>
    <col min="11266" max="11266" width="27.125" customWidth="1"/>
    <col min="11267" max="11267" width="53.625" customWidth="1"/>
    <col min="11268" max="11268" width="17.875" customWidth="1"/>
    <col min="11521" max="11521" width="4.5" customWidth="1"/>
    <col min="11522" max="11522" width="27.125" customWidth="1"/>
    <col min="11523" max="11523" width="53.625" customWidth="1"/>
    <col min="11524" max="11524" width="17.875" customWidth="1"/>
    <col min="11777" max="11777" width="4.5" customWidth="1"/>
    <col min="11778" max="11778" width="27.125" customWidth="1"/>
    <col min="11779" max="11779" width="53.625" customWidth="1"/>
    <col min="11780" max="11780" width="17.875" customWidth="1"/>
    <col min="12033" max="12033" width="4.5" customWidth="1"/>
    <col min="12034" max="12034" width="27.125" customWidth="1"/>
    <col min="12035" max="12035" width="53.625" customWidth="1"/>
    <col min="12036" max="12036" width="17.875" customWidth="1"/>
    <col min="12289" max="12289" width="4.5" customWidth="1"/>
    <col min="12290" max="12290" width="27.125" customWidth="1"/>
    <col min="12291" max="12291" width="53.625" customWidth="1"/>
    <col min="12292" max="12292" width="17.875" customWidth="1"/>
    <col min="12545" max="12545" width="4.5" customWidth="1"/>
    <col min="12546" max="12546" width="27.125" customWidth="1"/>
    <col min="12547" max="12547" width="53.625" customWidth="1"/>
    <col min="12548" max="12548" width="17.875" customWidth="1"/>
    <col min="12801" max="12801" width="4.5" customWidth="1"/>
    <col min="12802" max="12802" width="27.125" customWidth="1"/>
    <col min="12803" max="12803" width="53.625" customWidth="1"/>
    <col min="12804" max="12804" width="17.875" customWidth="1"/>
    <col min="13057" max="13057" width="4.5" customWidth="1"/>
    <col min="13058" max="13058" width="27.125" customWidth="1"/>
    <col min="13059" max="13059" width="53.625" customWidth="1"/>
    <col min="13060" max="13060" width="17.875" customWidth="1"/>
    <col min="13313" max="13313" width="4.5" customWidth="1"/>
    <col min="13314" max="13314" width="27.125" customWidth="1"/>
    <col min="13315" max="13315" width="53.625" customWidth="1"/>
    <col min="13316" max="13316" width="17.875" customWidth="1"/>
    <col min="13569" max="13569" width="4.5" customWidth="1"/>
    <col min="13570" max="13570" width="27.125" customWidth="1"/>
    <col min="13571" max="13571" width="53.625" customWidth="1"/>
    <col min="13572" max="13572" width="17.875" customWidth="1"/>
    <col min="13825" max="13825" width="4.5" customWidth="1"/>
    <col min="13826" max="13826" width="27.125" customWidth="1"/>
    <col min="13827" max="13827" width="53.625" customWidth="1"/>
    <col min="13828" max="13828" width="17.875" customWidth="1"/>
    <col min="14081" max="14081" width="4.5" customWidth="1"/>
    <col min="14082" max="14082" width="27.125" customWidth="1"/>
    <col min="14083" max="14083" width="53.625" customWidth="1"/>
    <col min="14084" max="14084" width="17.875" customWidth="1"/>
    <col min="14337" max="14337" width="4.5" customWidth="1"/>
    <col min="14338" max="14338" width="27.125" customWidth="1"/>
    <col min="14339" max="14339" width="53.625" customWidth="1"/>
    <col min="14340" max="14340" width="17.875" customWidth="1"/>
    <col min="14593" max="14593" width="4.5" customWidth="1"/>
    <col min="14594" max="14594" width="27.125" customWidth="1"/>
    <col min="14595" max="14595" width="53.625" customWidth="1"/>
    <col min="14596" max="14596" width="17.875" customWidth="1"/>
    <col min="14849" max="14849" width="4.5" customWidth="1"/>
    <col min="14850" max="14850" width="27.125" customWidth="1"/>
    <col min="14851" max="14851" width="53.625" customWidth="1"/>
    <col min="14852" max="14852" width="17.875" customWidth="1"/>
    <col min="15105" max="15105" width="4.5" customWidth="1"/>
    <col min="15106" max="15106" width="27.125" customWidth="1"/>
    <col min="15107" max="15107" width="53.625" customWidth="1"/>
    <col min="15108" max="15108" width="17.875" customWidth="1"/>
    <col min="15361" max="15361" width="4.5" customWidth="1"/>
    <col min="15362" max="15362" width="27.125" customWidth="1"/>
    <col min="15363" max="15363" width="53.625" customWidth="1"/>
    <col min="15364" max="15364" width="17.875" customWidth="1"/>
    <col min="15617" max="15617" width="4.5" customWidth="1"/>
    <col min="15618" max="15618" width="27.125" customWidth="1"/>
    <col min="15619" max="15619" width="53.625" customWidth="1"/>
    <col min="15620" max="15620" width="17.875" customWidth="1"/>
    <col min="15873" max="15873" width="4.5" customWidth="1"/>
    <col min="15874" max="15874" width="27.125" customWidth="1"/>
    <col min="15875" max="15875" width="53.625" customWidth="1"/>
    <col min="15876" max="15876" width="17.875" customWidth="1"/>
    <col min="16129" max="16129" width="4.5" customWidth="1"/>
    <col min="16130" max="16130" width="27.125" customWidth="1"/>
    <col min="16131" max="16131" width="53.625" customWidth="1"/>
    <col min="16132" max="16132" width="17.875" customWidth="1"/>
  </cols>
  <sheetData>
    <row r="1" spans="1:4" ht="32.25" thickBot="1" x14ac:dyDescent="0.3">
      <c r="A1" s="127" t="s">
        <v>220</v>
      </c>
      <c r="B1" s="126" t="s">
        <v>484</v>
      </c>
      <c r="C1" s="126" t="s">
        <v>485</v>
      </c>
      <c r="D1" s="126" t="s">
        <v>486</v>
      </c>
    </row>
    <row r="2" spans="1:4" ht="32.25" thickBot="1" x14ac:dyDescent="0.3">
      <c r="A2" s="121" t="s">
        <v>221</v>
      </c>
      <c r="B2" s="202" t="s">
        <v>816</v>
      </c>
      <c r="C2" s="202" t="s">
        <v>817</v>
      </c>
      <c r="D2" s="203">
        <v>3000</v>
      </c>
    </row>
    <row r="3" spans="1:4" ht="32.25" thickBot="1" x14ac:dyDescent="0.3">
      <c r="A3" s="121" t="s">
        <v>222</v>
      </c>
      <c r="B3" s="202" t="s">
        <v>816</v>
      </c>
      <c r="C3" s="202" t="s">
        <v>504</v>
      </c>
      <c r="D3" s="203">
        <v>7000</v>
      </c>
    </row>
    <row r="4" spans="1:4" ht="32.25" thickBot="1" x14ac:dyDescent="0.3">
      <c r="A4" s="121" t="s">
        <v>223</v>
      </c>
      <c r="B4" s="202" t="s">
        <v>818</v>
      </c>
      <c r="C4" s="202" t="s">
        <v>503</v>
      </c>
      <c r="D4" s="203">
        <v>5000</v>
      </c>
    </row>
    <row r="5" spans="1:4" ht="32.25" thickBot="1" x14ac:dyDescent="0.3">
      <c r="A5" s="121" t="s">
        <v>224</v>
      </c>
      <c r="B5" s="202" t="s">
        <v>818</v>
      </c>
      <c r="C5" s="202" t="s">
        <v>819</v>
      </c>
      <c r="D5" s="203">
        <v>5500</v>
      </c>
    </row>
    <row r="6" spans="1:4" ht="32.25" thickBot="1" x14ac:dyDescent="0.3">
      <c r="A6" s="121" t="s">
        <v>225</v>
      </c>
      <c r="B6" s="202" t="s">
        <v>820</v>
      </c>
      <c r="C6" s="202" t="s">
        <v>821</v>
      </c>
      <c r="D6" s="203">
        <v>2000</v>
      </c>
    </row>
    <row r="7" spans="1:4" ht="16.5" thickBot="1" x14ac:dyDescent="0.3">
      <c r="A7" s="121" t="s">
        <v>226</v>
      </c>
      <c r="B7" s="202" t="s">
        <v>820</v>
      </c>
      <c r="C7" s="202" t="s">
        <v>822</v>
      </c>
      <c r="D7" s="203">
        <v>2000</v>
      </c>
    </row>
    <row r="8" spans="1:4" ht="63.75" thickBot="1" x14ac:dyDescent="0.3">
      <c r="A8" s="121" t="s">
        <v>227</v>
      </c>
      <c r="B8" s="202" t="s">
        <v>823</v>
      </c>
      <c r="C8" s="202" t="s">
        <v>505</v>
      </c>
      <c r="D8" s="203" t="s">
        <v>824</v>
      </c>
    </row>
  </sheetData>
  <printOptions horizontalCentered="1"/>
  <pageMargins left="0.70866141732283472" right="0.70866141732283472" top="1.1417322834645669" bottom="0.74803149606299213" header="0.31496062992125984" footer="0.31496062992125984"/>
  <pageSetup paperSize="9" scale="90" orientation="landscape" r:id="rId1"/>
  <headerFooter>
    <oddHeader>&amp;C&amp;"Times New Roman CE,Félkövér"Társadalmi Felelősségvállalási Alap felosztása (eFt-ban&amp;"Times New Roman CE,Normál")&amp;R&amp;"Times New Roman CE,Félkövér"22. melléklet
&amp;11 az 5/2019.(II.15.) önkormányzati rendelethez</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95CE6-0A54-4FBF-90AC-288725FB594C}">
  <sheetPr>
    <tabColor theme="7" tint="0.39997558519241921"/>
  </sheetPr>
  <dimension ref="A1:D26"/>
  <sheetViews>
    <sheetView zoomScaleNormal="100" workbookViewId="0">
      <selection activeCell="C4" sqref="C4"/>
    </sheetView>
  </sheetViews>
  <sheetFormatPr defaultRowHeight="15.75" x14ac:dyDescent="0.25"/>
  <cols>
    <col min="1" max="1" width="9" style="80"/>
    <col min="2" max="2" width="47.625" style="82" customWidth="1"/>
    <col min="3" max="3" width="15.5" style="81" customWidth="1"/>
    <col min="4" max="257" width="9" style="80"/>
    <col min="258" max="258" width="42.125" style="80" customWidth="1"/>
    <col min="259" max="259" width="13.375" style="80" customWidth="1"/>
    <col min="260" max="513" width="9" style="80"/>
    <col min="514" max="514" width="42.125" style="80" customWidth="1"/>
    <col min="515" max="515" width="13.375" style="80" customWidth="1"/>
    <col min="516" max="769" width="9" style="80"/>
    <col min="770" max="770" width="42.125" style="80" customWidth="1"/>
    <col min="771" max="771" width="13.375" style="80" customWidth="1"/>
    <col min="772" max="1025" width="9" style="80"/>
    <col min="1026" max="1026" width="42.125" style="80" customWidth="1"/>
    <col min="1027" max="1027" width="13.375" style="80" customWidth="1"/>
    <col min="1028" max="1281" width="9" style="80"/>
    <col min="1282" max="1282" width="42.125" style="80" customWidth="1"/>
    <col min="1283" max="1283" width="13.375" style="80" customWidth="1"/>
    <col min="1284" max="1537" width="9" style="80"/>
    <col min="1538" max="1538" width="42.125" style="80" customWidth="1"/>
    <col min="1539" max="1539" width="13.375" style="80" customWidth="1"/>
    <col min="1540" max="1793" width="9" style="80"/>
    <col min="1794" max="1794" width="42.125" style="80" customWidth="1"/>
    <col min="1795" max="1795" width="13.375" style="80" customWidth="1"/>
    <col min="1796" max="2049" width="9" style="80"/>
    <col min="2050" max="2050" width="42.125" style="80" customWidth="1"/>
    <col min="2051" max="2051" width="13.375" style="80" customWidth="1"/>
    <col min="2052" max="2305" width="9" style="80"/>
    <col min="2306" max="2306" width="42.125" style="80" customWidth="1"/>
    <col min="2307" max="2307" width="13.375" style="80" customWidth="1"/>
    <col min="2308" max="2561" width="9" style="80"/>
    <col min="2562" max="2562" width="42.125" style="80" customWidth="1"/>
    <col min="2563" max="2563" width="13.375" style="80" customWidth="1"/>
    <col min="2564" max="2817" width="9" style="80"/>
    <col min="2818" max="2818" width="42.125" style="80" customWidth="1"/>
    <col min="2819" max="2819" width="13.375" style="80" customWidth="1"/>
    <col min="2820" max="3073" width="9" style="80"/>
    <col min="3074" max="3074" width="42.125" style="80" customWidth="1"/>
    <col min="3075" max="3075" width="13.375" style="80" customWidth="1"/>
    <col min="3076" max="3329" width="9" style="80"/>
    <col min="3330" max="3330" width="42.125" style="80" customWidth="1"/>
    <col min="3331" max="3331" width="13.375" style="80" customWidth="1"/>
    <col min="3332" max="3585" width="9" style="80"/>
    <col min="3586" max="3586" width="42.125" style="80" customWidth="1"/>
    <col min="3587" max="3587" width="13.375" style="80" customWidth="1"/>
    <col min="3588" max="3841" width="9" style="80"/>
    <col min="3842" max="3842" width="42.125" style="80" customWidth="1"/>
    <col min="3843" max="3843" width="13.375" style="80" customWidth="1"/>
    <col min="3844" max="4097" width="9" style="80"/>
    <col min="4098" max="4098" width="42.125" style="80" customWidth="1"/>
    <col min="4099" max="4099" width="13.375" style="80" customWidth="1"/>
    <col min="4100" max="4353" width="9" style="80"/>
    <col min="4354" max="4354" width="42.125" style="80" customWidth="1"/>
    <col min="4355" max="4355" width="13.375" style="80" customWidth="1"/>
    <col min="4356" max="4609" width="9" style="80"/>
    <col min="4610" max="4610" width="42.125" style="80" customWidth="1"/>
    <col min="4611" max="4611" width="13.375" style="80" customWidth="1"/>
    <col min="4612" max="4865" width="9" style="80"/>
    <col min="4866" max="4866" width="42.125" style="80" customWidth="1"/>
    <col min="4867" max="4867" width="13.375" style="80" customWidth="1"/>
    <col min="4868" max="5121" width="9" style="80"/>
    <col min="5122" max="5122" width="42.125" style="80" customWidth="1"/>
    <col min="5123" max="5123" width="13.375" style="80" customWidth="1"/>
    <col min="5124" max="5377" width="9" style="80"/>
    <col min="5378" max="5378" width="42.125" style="80" customWidth="1"/>
    <col min="5379" max="5379" width="13.375" style="80" customWidth="1"/>
    <col min="5380" max="5633" width="9" style="80"/>
    <col min="5634" max="5634" width="42.125" style="80" customWidth="1"/>
    <col min="5635" max="5635" width="13.375" style="80" customWidth="1"/>
    <col min="5636" max="5889" width="9" style="80"/>
    <col min="5890" max="5890" width="42.125" style="80" customWidth="1"/>
    <col min="5891" max="5891" width="13.375" style="80" customWidth="1"/>
    <col min="5892" max="6145" width="9" style="80"/>
    <col min="6146" max="6146" width="42.125" style="80" customWidth="1"/>
    <col min="6147" max="6147" width="13.375" style="80" customWidth="1"/>
    <col min="6148" max="6401" width="9" style="80"/>
    <col min="6402" max="6402" width="42.125" style="80" customWidth="1"/>
    <col min="6403" max="6403" width="13.375" style="80" customWidth="1"/>
    <col min="6404" max="6657" width="9" style="80"/>
    <col min="6658" max="6658" width="42.125" style="80" customWidth="1"/>
    <col min="6659" max="6659" width="13.375" style="80" customWidth="1"/>
    <col min="6660" max="6913" width="9" style="80"/>
    <col min="6914" max="6914" width="42.125" style="80" customWidth="1"/>
    <col min="6915" max="6915" width="13.375" style="80" customWidth="1"/>
    <col min="6916" max="7169" width="9" style="80"/>
    <col min="7170" max="7170" width="42.125" style="80" customWidth="1"/>
    <col min="7171" max="7171" width="13.375" style="80" customWidth="1"/>
    <col min="7172" max="7425" width="9" style="80"/>
    <col min="7426" max="7426" width="42.125" style="80" customWidth="1"/>
    <col min="7427" max="7427" width="13.375" style="80" customWidth="1"/>
    <col min="7428" max="7681" width="9" style="80"/>
    <col min="7682" max="7682" width="42.125" style="80" customWidth="1"/>
    <col min="7683" max="7683" width="13.375" style="80" customWidth="1"/>
    <col min="7684" max="7937" width="9" style="80"/>
    <col min="7938" max="7938" width="42.125" style="80" customWidth="1"/>
    <col min="7939" max="7939" width="13.375" style="80" customWidth="1"/>
    <col min="7940" max="8193" width="9" style="80"/>
    <col min="8194" max="8194" width="42.125" style="80" customWidth="1"/>
    <col min="8195" max="8195" width="13.375" style="80" customWidth="1"/>
    <col min="8196" max="8449" width="9" style="80"/>
    <col min="8450" max="8450" width="42.125" style="80" customWidth="1"/>
    <col min="8451" max="8451" width="13.375" style="80" customWidth="1"/>
    <col min="8452" max="8705" width="9" style="80"/>
    <col min="8706" max="8706" width="42.125" style="80" customWidth="1"/>
    <col min="8707" max="8707" width="13.375" style="80" customWidth="1"/>
    <col min="8708" max="8961" width="9" style="80"/>
    <col min="8962" max="8962" width="42.125" style="80" customWidth="1"/>
    <col min="8963" max="8963" width="13.375" style="80" customWidth="1"/>
    <col min="8964" max="9217" width="9" style="80"/>
    <col min="9218" max="9218" width="42.125" style="80" customWidth="1"/>
    <col min="9219" max="9219" width="13.375" style="80" customWidth="1"/>
    <col min="9220" max="9473" width="9" style="80"/>
    <col min="9474" max="9474" width="42.125" style="80" customWidth="1"/>
    <col min="9475" max="9475" width="13.375" style="80" customWidth="1"/>
    <col min="9476" max="9729" width="9" style="80"/>
    <col min="9730" max="9730" width="42.125" style="80" customWidth="1"/>
    <col min="9731" max="9731" width="13.375" style="80" customWidth="1"/>
    <col min="9732" max="9985" width="9" style="80"/>
    <col min="9986" max="9986" width="42.125" style="80" customWidth="1"/>
    <col min="9987" max="9987" width="13.375" style="80" customWidth="1"/>
    <col min="9988" max="10241" width="9" style="80"/>
    <col min="10242" max="10242" width="42.125" style="80" customWidth="1"/>
    <col min="10243" max="10243" width="13.375" style="80" customWidth="1"/>
    <col min="10244" max="10497" width="9" style="80"/>
    <col min="10498" max="10498" width="42.125" style="80" customWidth="1"/>
    <col min="10499" max="10499" width="13.375" style="80" customWidth="1"/>
    <col min="10500" max="10753" width="9" style="80"/>
    <col min="10754" max="10754" width="42.125" style="80" customWidth="1"/>
    <col min="10755" max="10755" width="13.375" style="80" customWidth="1"/>
    <col min="10756" max="11009" width="9" style="80"/>
    <col min="11010" max="11010" width="42.125" style="80" customWidth="1"/>
    <col min="11011" max="11011" width="13.375" style="80" customWidth="1"/>
    <col min="11012" max="11265" width="9" style="80"/>
    <col min="11266" max="11266" width="42.125" style="80" customWidth="1"/>
    <col min="11267" max="11267" width="13.375" style="80" customWidth="1"/>
    <col min="11268" max="11521" width="9" style="80"/>
    <col min="11522" max="11522" width="42.125" style="80" customWidth="1"/>
    <col min="11523" max="11523" width="13.375" style="80" customWidth="1"/>
    <col min="11524" max="11777" width="9" style="80"/>
    <col min="11778" max="11778" width="42.125" style="80" customWidth="1"/>
    <col min="11779" max="11779" width="13.375" style="80" customWidth="1"/>
    <col min="11780" max="12033" width="9" style="80"/>
    <col min="12034" max="12034" width="42.125" style="80" customWidth="1"/>
    <col min="12035" max="12035" width="13.375" style="80" customWidth="1"/>
    <col min="12036" max="12289" width="9" style="80"/>
    <col min="12290" max="12290" width="42.125" style="80" customWidth="1"/>
    <col min="12291" max="12291" width="13.375" style="80" customWidth="1"/>
    <col min="12292" max="12545" width="9" style="80"/>
    <col min="12546" max="12546" width="42.125" style="80" customWidth="1"/>
    <col min="12547" max="12547" width="13.375" style="80" customWidth="1"/>
    <col min="12548" max="12801" width="9" style="80"/>
    <col min="12802" max="12802" width="42.125" style="80" customWidth="1"/>
    <col min="12803" max="12803" width="13.375" style="80" customWidth="1"/>
    <col min="12804" max="13057" width="9" style="80"/>
    <col min="13058" max="13058" width="42.125" style="80" customWidth="1"/>
    <col min="13059" max="13059" width="13.375" style="80" customWidth="1"/>
    <col min="13060" max="13313" width="9" style="80"/>
    <col min="13314" max="13314" width="42.125" style="80" customWidth="1"/>
    <col min="13315" max="13315" width="13.375" style="80" customWidth="1"/>
    <col min="13316" max="13569" width="9" style="80"/>
    <col min="13570" max="13570" width="42.125" style="80" customWidth="1"/>
    <col min="13571" max="13571" width="13.375" style="80" customWidth="1"/>
    <col min="13572" max="13825" width="9" style="80"/>
    <col min="13826" max="13826" width="42.125" style="80" customWidth="1"/>
    <col min="13827" max="13827" width="13.375" style="80" customWidth="1"/>
    <col min="13828" max="14081" width="9" style="80"/>
    <col min="14082" max="14082" width="42.125" style="80" customWidth="1"/>
    <col min="14083" max="14083" width="13.375" style="80" customWidth="1"/>
    <col min="14084" max="14337" width="9" style="80"/>
    <col min="14338" max="14338" width="42.125" style="80" customWidth="1"/>
    <col min="14339" max="14339" width="13.375" style="80" customWidth="1"/>
    <col min="14340" max="14593" width="9" style="80"/>
    <col min="14594" max="14594" width="42.125" style="80" customWidth="1"/>
    <col min="14595" max="14595" width="13.375" style="80" customWidth="1"/>
    <col min="14596" max="14849" width="9" style="80"/>
    <col min="14850" max="14850" width="42.125" style="80" customWidth="1"/>
    <col min="14851" max="14851" width="13.375" style="80" customWidth="1"/>
    <col min="14852" max="15105" width="9" style="80"/>
    <col min="15106" max="15106" width="42.125" style="80" customWidth="1"/>
    <col min="15107" max="15107" width="13.375" style="80" customWidth="1"/>
    <col min="15108" max="15361" width="9" style="80"/>
    <col min="15362" max="15362" width="42.125" style="80" customWidth="1"/>
    <col min="15363" max="15363" width="13.375" style="80" customWidth="1"/>
    <col min="15364" max="15617" width="9" style="80"/>
    <col min="15618" max="15618" width="42.125" style="80" customWidth="1"/>
    <col min="15619" max="15619" width="13.375" style="80" customWidth="1"/>
    <col min="15620" max="15873" width="9" style="80"/>
    <col min="15874" max="15874" width="42.125" style="80" customWidth="1"/>
    <col min="15875" max="15875" width="13.375" style="80" customWidth="1"/>
    <col min="15876" max="16129" width="9" style="80"/>
    <col min="16130" max="16130" width="42.125" style="80" customWidth="1"/>
    <col min="16131" max="16131" width="13.375" style="80" customWidth="1"/>
    <col min="16132" max="16384" width="9" style="80"/>
  </cols>
  <sheetData>
    <row r="1" spans="1:3" x14ac:dyDescent="0.25">
      <c r="C1" s="1127"/>
    </row>
    <row r="2" spans="1:3" x14ac:dyDescent="0.25">
      <c r="C2" s="1128" t="s">
        <v>1418</v>
      </c>
    </row>
    <row r="3" spans="1:3" ht="18" x14ac:dyDescent="0.25">
      <c r="C3" s="1128" t="s">
        <v>1422</v>
      </c>
    </row>
    <row r="4" spans="1:3" x14ac:dyDescent="0.25">
      <c r="C4" s="1129"/>
    </row>
    <row r="5" spans="1:3" x14ac:dyDescent="0.25">
      <c r="C5" s="1129"/>
    </row>
    <row r="6" spans="1:3" x14ac:dyDescent="0.25">
      <c r="A6" s="1130" t="s">
        <v>1419</v>
      </c>
      <c r="B6" s="1130"/>
      <c r="C6" s="1130"/>
    </row>
    <row r="7" spans="1:3" x14ac:dyDescent="0.25">
      <c r="A7" s="1131"/>
      <c r="B7" s="1131"/>
      <c r="C7" s="1131"/>
    </row>
    <row r="8" spans="1:3" ht="16.5" thickBot="1" x14ac:dyDescent="0.3"/>
    <row r="9" spans="1:3" s="992" customFormat="1" ht="47.25" x14ac:dyDescent="0.25">
      <c r="A9" s="989" t="s">
        <v>220</v>
      </c>
      <c r="B9" s="990" t="s">
        <v>165</v>
      </c>
      <c r="C9" s="991" t="s">
        <v>1218</v>
      </c>
    </row>
    <row r="10" spans="1:3" s="992" customFormat="1" x14ac:dyDescent="0.25">
      <c r="A10" s="1099" t="s">
        <v>58</v>
      </c>
      <c r="B10" s="1100"/>
      <c r="C10" s="1101"/>
    </row>
    <row r="11" spans="1:3" x14ac:dyDescent="0.25">
      <c r="A11" s="993" t="s">
        <v>221</v>
      </c>
      <c r="B11" s="994" t="s">
        <v>1219</v>
      </c>
      <c r="C11" s="995">
        <v>62238</v>
      </c>
    </row>
    <row r="12" spans="1:3" x14ac:dyDescent="0.25">
      <c r="A12" s="993" t="s">
        <v>222</v>
      </c>
      <c r="B12" s="994" t="s">
        <v>1220</v>
      </c>
      <c r="C12" s="995">
        <v>3</v>
      </c>
    </row>
    <row r="13" spans="1:3" x14ac:dyDescent="0.25">
      <c r="A13" s="993" t="s">
        <v>223</v>
      </c>
      <c r="B13" s="994" t="s">
        <v>1221</v>
      </c>
      <c r="C13" s="995">
        <v>920</v>
      </c>
    </row>
    <row r="14" spans="1:3" x14ac:dyDescent="0.25">
      <c r="A14" s="993" t="s">
        <v>224</v>
      </c>
      <c r="B14" s="994" t="s">
        <v>1222</v>
      </c>
      <c r="C14" s="995">
        <v>4983</v>
      </c>
    </row>
    <row r="15" spans="1:3" s="992" customFormat="1" x14ac:dyDescent="0.25">
      <c r="A15" s="996" t="s">
        <v>225</v>
      </c>
      <c r="B15" s="997" t="s">
        <v>1223</v>
      </c>
      <c r="C15" s="998">
        <f>SUM(C11:C14)</f>
        <v>68144</v>
      </c>
    </row>
    <row r="16" spans="1:3" x14ac:dyDescent="0.25">
      <c r="A16" s="1099" t="s">
        <v>72</v>
      </c>
      <c r="B16" s="1100"/>
      <c r="C16" s="1101"/>
    </row>
    <row r="17" spans="1:4" ht="47.25" x14ac:dyDescent="0.25">
      <c r="A17" s="993" t="s">
        <v>226</v>
      </c>
      <c r="B17" s="999" t="s">
        <v>825</v>
      </c>
      <c r="C17" s="1000">
        <v>52</v>
      </c>
    </row>
    <row r="18" spans="1:4" x14ac:dyDescent="0.25">
      <c r="A18" s="993"/>
      <c r="B18" s="1001" t="s">
        <v>835</v>
      </c>
      <c r="C18" s="1002">
        <v>52</v>
      </c>
    </row>
    <row r="19" spans="1:4" x14ac:dyDescent="0.25">
      <c r="A19" s="993" t="s">
        <v>227</v>
      </c>
      <c r="B19" s="999" t="s">
        <v>660</v>
      </c>
      <c r="C19" s="995">
        <v>8212</v>
      </c>
    </row>
    <row r="20" spans="1:4" x14ac:dyDescent="0.25">
      <c r="A20" s="993"/>
      <c r="B20" s="1001" t="s">
        <v>835</v>
      </c>
      <c r="C20" s="1002">
        <v>8212</v>
      </c>
    </row>
    <row r="21" spans="1:4" s="1003" customFormat="1" x14ac:dyDescent="0.25">
      <c r="A21" s="993" t="s">
        <v>228</v>
      </c>
      <c r="B21" s="999" t="s">
        <v>826</v>
      </c>
      <c r="C21" s="995">
        <v>2000</v>
      </c>
    </row>
    <row r="22" spans="1:4" x14ac:dyDescent="0.25">
      <c r="A22" s="993" t="s">
        <v>229</v>
      </c>
      <c r="B22" s="999" t="s">
        <v>1224</v>
      </c>
      <c r="C22" s="1004">
        <v>49786</v>
      </c>
    </row>
    <row r="23" spans="1:4" s="992" customFormat="1" x14ac:dyDescent="0.25">
      <c r="A23" s="996" t="s">
        <v>0</v>
      </c>
      <c r="B23" s="997" t="s">
        <v>1225</v>
      </c>
      <c r="C23" s="998">
        <f>SUM(C17:C17,C19:C19,C21:C22)</f>
        <v>60050</v>
      </c>
      <c r="D23" s="1005"/>
    </row>
    <row r="24" spans="1:4" s="992" customFormat="1" x14ac:dyDescent="0.25">
      <c r="A24" s="993" t="s">
        <v>1</v>
      </c>
      <c r="B24" s="1006" t="s">
        <v>1226</v>
      </c>
      <c r="C24" s="1007">
        <v>10</v>
      </c>
      <c r="D24" s="1005"/>
    </row>
    <row r="25" spans="1:4" s="992" customFormat="1" x14ac:dyDescent="0.25">
      <c r="A25" s="993" t="s">
        <v>2</v>
      </c>
      <c r="B25" s="1006" t="s">
        <v>611</v>
      </c>
      <c r="C25" s="1007">
        <f>+C15-C23-C24</f>
        <v>8084</v>
      </c>
      <c r="D25" s="1005"/>
    </row>
    <row r="26" spans="1:4" s="992" customFormat="1" ht="16.5" thickBot="1" x14ac:dyDescent="0.3">
      <c r="A26" s="1008" t="s">
        <v>3</v>
      </c>
      <c r="B26" s="1009" t="s">
        <v>1227</v>
      </c>
      <c r="C26" s="1010">
        <f>+C15</f>
        <v>68144</v>
      </c>
      <c r="D26" s="1005"/>
    </row>
  </sheetData>
  <mergeCells count="3">
    <mergeCell ref="A6:C6"/>
    <mergeCell ref="A10:C10"/>
    <mergeCell ref="A16:C16"/>
  </mergeCells>
  <printOptions horizontalCentered="1"/>
  <pageMargins left="0.70866141732283472" right="0.70866141732283472" top="0.86614173228346458" bottom="0.74803149606299213" header="0.31496062992125984" footer="0.31496062992125984"/>
  <pageSetup paperSize="9" orientation="portrait" r:id="rId1"/>
  <headerFooter>
    <oddHeader xml:space="preserve">&amp;C
&amp;"Times New Roman CE,Félkövér"
&amp;R&amp;"Times New Roman CE,Dőlt"
</oddHeader>
    <oddFooter>&amp;L&amp;X17&amp;X Módosította a  28/2019.(XII.13.) önkormányzati rendelet 8.§ (15) bekezdése, hatályos 2019. december 16-tól.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2D050"/>
  </sheetPr>
  <dimension ref="A3:B8"/>
  <sheetViews>
    <sheetView tabSelected="1" workbookViewId="0">
      <selection activeCell="E7" sqref="E7"/>
    </sheetView>
  </sheetViews>
  <sheetFormatPr defaultColWidth="8" defaultRowHeight="15.75" x14ac:dyDescent="0.25"/>
  <cols>
    <col min="1" max="1" width="49.375" style="75" customWidth="1"/>
    <col min="2" max="2" width="17.375" style="76" customWidth="1"/>
    <col min="3" max="256" width="8" style="77"/>
    <col min="257" max="257" width="49.375" style="77" customWidth="1"/>
    <col min="258" max="258" width="17.375" style="77" customWidth="1"/>
    <col min="259" max="512" width="8" style="77"/>
    <col min="513" max="513" width="49.375" style="77" customWidth="1"/>
    <col min="514" max="514" width="17.375" style="77" customWidth="1"/>
    <col min="515" max="768" width="8" style="77"/>
    <col min="769" max="769" width="49.375" style="77" customWidth="1"/>
    <col min="770" max="770" width="17.375" style="77" customWidth="1"/>
    <col min="771" max="1024" width="8" style="77"/>
    <col min="1025" max="1025" width="49.375" style="77" customWidth="1"/>
    <col min="1026" max="1026" width="17.375" style="77" customWidth="1"/>
    <col min="1027" max="1280" width="8" style="77"/>
    <col min="1281" max="1281" width="49.375" style="77" customWidth="1"/>
    <col min="1282" max="1282" width="17.375" style="77" customWidth="1"/>
    <col min="1283" max="1536" width="8" style="77"/>
    <col min="1537" max="1537" width="49.375" style="77" customWidth="1"/>
    <col min="1538" max="1538" width="17.375" style="77" customWidth="1"/>
    <col min="1539" max="1792" width="8" style="77"/>
    <col min="1793" max="1793" width="49.375" style="77" customWidth="1"/>
    <col min="1794" max="1794" width="17.375" style="77" customWidth="1"/>
    <col min="1795" max="2048" width="8" style="77"/>
    <col min="2049" max="2049" width="49.375" style="77" customWidth="1"/>
    <col min="2050" max="2050" width="17.375" style="77" customWidth="1"/>
    <col min="2051" max="2304" width="8" style="77"/>
    <col min="2305" max="2305" width="49.375" style="77" customWidth="1"/>
    <col min="2306" max="2306" width="17.375" style="77" customWidth="1"/>
    <col min="2307" max="2560" width="8" style="77"/>
    <col min="2561" max="2561" width="49.375" style="77" customWidth="1"/>
    <col min="2562" max="2562" width="17.375" style="77" customWidth="1"/>
    <col min="2563" max="2816" width="8" style="77"/>
    <col min="2817" max="2817" width="49.375" style="77" customWidth="1"/>
    <col min="2818" max="2818" width="17.375" style="77" customWidth="1"/>
    <col min="2819" max="3072" width="8" style="77"/>
    <col min="3073" max="3073" width="49.375" style="77" customWidth="1"/>
    <col min="3074" max="3074" width="17.375" style="77" customWidth="1"/>
    <col min="3075" max="3328" width="8" style="77"/>
    <col min="3329" max="3329" width="49.375" style="77" customWidth="1"/>
    <col min="3330" max="3330" width="17.375" style="77" customWidth="1"/>
    <col min="3331" max="3584" width="8" style="77"/>
    <col min="3585" max="3585" width="49.375" style="77" customWidth="1"/>
    <col min="3586" max="3586" width="17.375" style="77" customWidth="1"/>
    <col min="3587" max="3840" width="8" style="77"/>
    <col min="3841" max="3841" width="49.375" style="77" customWidth="1"/>
    <col min="3842" max="3842" width="17.375" style="77" customWidth="1"/>
    <col min="3843" max="4096" width="8" style="77"/>
    <col min="4097" max="4097" width="49.375" style="77" customWidth="1"/>
    <col min="4098" max="4098" width="17.375" style="77" customWidth="1"/>
    <col min="4099" max="4352" width="8" style="77"/>
    <col min="4353" max="4353" width="49.375" style="77" customWidth="1"/>
    <col min="4354" max="4354" width="17.375" style="77" customWidth="1"/>
    <col min="4355" max="4608" width="8" style="77"/>
    <col min="4609" max="4609" width="49.375" style="77" customWidth="1"/>
    <col min="4610" max="4610" width="17.375" style="77" customWidth="1"/>
    <col min="4611" max="4864" width="8" style="77"/>
    <col min="4865" max="4865" width="49.375" style="77" customWidth="1"/>
    <col min="4866" max="4866" width="17.375" style="77" customWidth="1"/>
    <col min="4867" max="5120" width="8" style="77"/>
    <col min="5121" max="5121" width="49.375" style="77" customWidth="1"/>
    <col min="5122" max="5122" width="17.375" style="77" customWidth="1"/>
    <col min="5123" max="5376" width="8" style="77"/>
    <col min="5377" max="5377" width="49.375" style="77" customWidth="1"/>
    <col min="5378" max="5378" width="17.375" style="77" customWidth="1"/>
    <col min="5379" max="5632" width="8" style="77"/>
    <col min="5633" max="5633" width="49.375" style="77" customWidth="1"/>
    <col min="5634" max="5634" width="17.375" style="77" customWidth="1"/>
    <col min="5635" max="5888" width="8" style="77"/>
    <col min="5889" max="5889" width="49.375" style="77" customWidth="1"/>
    <col min="5890" max="5890" width="17.375" style="77" customWidth="1"/>
    <col min="5891" max="6144" width="8" style="77"/>
    <col min="6145" max="6145" width="49.375" style="77" customWidth="1"/>
    <col min="6146" max="6146" width="17.375" style="77" customWidth="1"/>
    <col min="6147" max="6400" width="8" style="77"/>
    <col min="6401" max="6401" width="49.375" style="77" customWidth="1"/>
    <col min="6402" max="6402" width="17.375" style="77" customWidth="1"/>
    <col min="6403" max="6656" width="8" style="77"/>
    <col min="6657" max="6657" width="49.375" style="77" customWidth="1"/>
    <col min="6658" max="6658" width="17.375" style="77" customWidth="1"/>
    <col min="6659" max="6912" width="8" style="77"/>
    <col min="6913" max="6913" width="49.375" style="77" customWidth="1"/>
    <col min="6914" max="6914" width="17.375" style="77" customWidth="1"/>
    <col min="6915" max="7168" width="8" style="77"/>
    <col min="7169" max="7169" width="49.375" style="77" customWidth="1"/>
    <col min="7170" max="7170" width="17.375" style="77" customWidth="1"/>
    <col min="7171" max="7424" width="8" style="77"/>
    <col min="7425" max="7425" width="49.375" style="77" customWidth="1"/>
    <col min="7426" max="7426" width="17.375" style="77" customWidth="1"/>
    <col min="7427" max="7680" width="8" style="77"/>
    <col min="7681" max="7681" width="49.375" style="77" customWidth="1"/>
    <col min="7682" max="7682" width="17.375" style="77" customWidth="1"/>
    <col min="7683" max="7936" width="8" style="77"/>
    <col min="7937" max="7937" width="49.375" style="77" customWidth="1"/>
    <col min="7938" max="7938" width="17.375" style="77" customWidth="1"/>
    <col min="7939" max="8192" width="8" style="77"/>
    <col min="8193" max="8193" width="49.375" style="77" customWidth="1"/>
    <col min="8194" max="8194" width="17.375" style="77" customWidth="1"/>
    <col min="8195" max="8448" width="8" style="77"/>
    <col min="8449" max="8449" width="49.375" style="77" customWidth="1"/>
    <col min="8450" max="8450" width="17.375" style="77" customWidth="1"/>
    <col min="8451" max="8704" width="8" style="77"/>
    <col min="8705" max="8705" width="49.375" style="77" customWidth="1"/>
    <col min="8706" max="8706" width="17.375" style="77" customWidth="1"/>
    <col min="8707" max="8960" width="8" style="77"/>
    <col min="8961" max="8961" width="49.375" style="77" customWidth="1"/>
    <col min="8962" max="8962" width="17.375" style="77" customWidth="1"/>
    <col min="8963" max="9216" width="8" style="77"/>
    <col min="9217" max="9217" width="49.375" style="77" customWidth="1"/>
    <col min="9218" max="9218" width="17.375" style="77" customWidth="1"/>
    <col min="9219" max="9472" width="8" style="77"/>
    <col min="9473" max="9473" width="49.375" style="77" customWidth="1"/>
    <col min="9474" max="9474" width="17.375" style="77" customWidth="1"/>
    <col min="9475" max="9728" width="8" style="77"/>
    <col min="9729" max="9729" width="49.375" style="77" customWidth="1"/>
    <col min="9730" max="9730" width="17.375" style="77" customWidth="1"/>
    <col min="9731" max="9984" width="8" style="77"/>
    <col min="9985" max="9985" width="49.375" style="77" customWidth="1"/>
    <col min="9986" max="9986" width="17.375" style="77" customWidth="1"/>
    <col min="9987" max="10240" width="8" style="77"/>
    <col min="10241" max="10241" width="49.375" style="77" customWidth="1"/>
    <col min="10242" max="10242" width="17.375" style="77" customWidth="1"/>
    <col min="10243" max="10496" width="8" style="77"/>
    <col min="10497" max="10497" width="49.375" style="77" customWidth="1"/>
    <col min="10498" max="10498" width="17.375" style="77" customWidth="1"/>
    <col min="10499" max="10752" width="8" style="77"/>
    <col min="10753" max="10753" width="49.375" style="77" customWidth="1"/>
    <col min="10754" max="10754" width="17.375" style="77" customWidth="1"/>
    <col min="10755" max="11008" width="8" style="77"/>
    <col min="11009" max="11009" width="49.375" style="77" customWidth="1"/>
    <col min="11010" max="11010" width="17.375" style="77" customWidth="1"/>
    <col min="11011" max="11264" width="8" style="77"/>
    <col min="11265" max="11265" width="49.375" style="77" customWidth="1"/>
    <col min="11266" max="11266" width="17.375" style="77" customWidth="1"/>
    <col min="11267" max="11520" width="8" style="77"/>
    <col min="11521" max="11521" width="49.375" style="77" customWidth="1"/>
    <col min="11522" max="11522" width="17.375" style="77" customWidth="1"/>
    <col min="11523" max="11776" width="8" style="77"/>
    <col min="11777" max="11777" width="49.375" style="77" customWidth="1"/>
    <col min="11778" max="11778" width="17.375" style="77" customWidth="1"/>
    <col min="11779" max="12032" width="8" style="77"/>
    <col min="12033" max="12033" width="49.375" style="77" customWidth="1"/>
    <col min="12034" max="12034" width="17.375" style="77" customWidth="1"/>
    <col min="12035" max="12288" width="8" style="77"/>
    <col min="12289" max="12289" width="49.375" style="77" customWidth="1"/>
    <col min="12290" max="12290" width="17.375" style="77" customWidth="1"/>
    <col min="12291" max="12544" width="8" style="77"/>
    <col min="12545" max="12545" width="49.375" style="77" customWidth="1"/>
    <col min="12546" max="12546" width="17.375" style="77" customWidth="1"/>
    <col min="12547" max="12800" width="8" style="77"/>
    <col min="12801" max="12801" width="49.375" style="77" customWidth="1"/>
    <col min="12802" max="12802" width="17.375" style="77" customWidth="1"/>
    <col min="12803" max="13056" width="8" style="77"/>
    <col min="13057" max="13057" width="49.375" style="77" customWidth="1"/>
    <col min="13058" max="13058" width="17.375" style="77" customWidth="1"/>
    <col min="13059" max="13312" width="8" style="77"/>
    <col min="13313" max="13313" width="49.375" style="77" customWidth="1"/>
    <col min="13314" max="13314" width="17.375" style="77" customWidth="1"/>
    <col min="13315" max="13568" width="8" style="77"/>
    <col min="13569" max="13569" width="49.375" style="77" customWidth="1"/>
    <col min="13570" max="13570" width="17.375" style="77" customWidth="1"/>
    <col min="13571" max="13824" width="8" style="77"/>
    <col min="13825" max="13825" width="49.375" style="77" customWidth="1"/>
    <col min="13826" max="13826" width="17.375" style="77" customWidth="1"/>
    <col min="13827" max="14080" width="8" style="77"/>
    <col min="14081" max="14081" width="49.375" style="77" customWidth="1"/>
    <col min="14082" max="14082" width="17.375" style="77" customWidth="1"/>
    <col min="14083" max="14336" width="8" style="77"/>
    <col min="14337" max="14337" width="49.375" style="77" customWidth="1"/>
    <col min="14338" max="14338" width="17.375" style="77" customWidth="1"/>
    <col min="14339" max="14592" width="8" style="77"/>
    <col min="14593" max="14593" width="49.375" style="77" customWidth="1"/>
    <col min="14594" max="14594" width="17.375" style="77" customWidth="1"/>
    <col min="14595" max="14848" width="8" style="77"/>
    <col min="14849" max="14849" width="49.375" style="77" customWidth="1"/>
    <col min="14850" max="14850" width="17.375" style="77" customWidth="1"/>
    <col min="14851" max="15104" width="8" style="77"/>
    <col min="15105" max="15105" width="49.375" style="77" customWidth="1"/>
    <col min="15106" max="15106" width="17.375" style="77" customWidth="1"/>
    <col min="15107" max="15360" width="8" style="77"/>
    <col min="15361" max="15361" width="49.375" style="77" customWidth="1"/>
    <col min="15362" max="15362" width="17.375" style="77" customWidth="1"/>
    <col min="15363" max="15616" width="8" style="77"/>
    <col min="15617" max="15617" width="49.375" style="77" customWidth="1"/>
    <col min="15618" max="15618" width="17.375" style="77" customWidth="1"/>
    <col min="15619" max="15872" width="8" style="77"/>
    <col min="15873" max="15873" width="49.375" style="77" customWidth="1"/>
    <col min="15874" max="15874" width="17.375" style="77" customWidth="1"/>
    <col min="15875" max="16128" width="8" style="77"/>
    <col min="16129" max="16129" width="49.375" style="77" customWidth="1"/>
    <col min="16130" max="16130" width="17.375" style="77" customWidth="1"/>
    <col min="16131" max="16384" width="8" style="77"/>
  </cols>
  <sheetData>
    <row r="3" spans="1:2" ht="16.5" thickBot="1" x14ac:dyDescent="0.3"/>
    <row r="4" spans="1:2" ht="16.5" thickBot="1" x14ac:dyDescent="0.3">
      <c r="A4" s="78" t="s">
        <v>165</v>
      </c>
      <c r="B4" s="79" t="s">
        <v>338</v>
      </c>
    </row>
    <row r="5" spans="1:2" ht="31.5" x14ac:dyDescent="0.25">
      <c r="A5" s="175" t="s">
        <v>813</v>
      </c>
      <c r="B5" s="204">
        <v>45030</v>
      </c>
    </row>
    <row r="6" spans="1:2" ht="49.5" customHeight="1" thickBot="1" x14ac:dyDescent="0.3">
      <c r="A6" s="176" t="s">
        <v>538</v>
      </c>
      <c r="B6" s="205">
        <v>21202</v>
      </c>
    </row>
    <row r="7" spans="1:2" ht="16.5" thickBot="1" x14ac:dyDescent="0.3">
      <c r="A7" s="177" t="s">
        <v>181</v>
      </c>
      <c r="B7" s="206">
        <f>SUM(B5:B6)</f>
        <v>66232</v>
      </c>
    </row>
    <row r="8" spans="1:2" x14ac:dyDescent="0.25">
      <c r="A8" s="178"/>
      <c r="B8" s="179"/>
    </row>
  </sheetData>
  <printOptions horizontalCentered="1"/>
  <pageMargins left="0.70866141732283472" right="0.70866141732283472" top="1.1417322834645669" bottom="0.74803149606299213" header="0.31496062992125984" footer="0.31496062992125984"/>
  <pageSetup paperSize="9" orientation="portrait" r:id="rId1"/>
  <headerFooter>
    <oddHeader>&amp;C 
&amp;"Times New Roman CE,Félkövér"Turisztikai Alap felosztása
(eFt-ban)&amp;R&amp;"Times New Roman CE,Dőlt"&amp;11 24. melléklet
 az 5/2019.(II.15.) önkormányzati rendelethez</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24</vt:i4>
      </vt:variant>
      <vt:variant>
        <vt:lpstr>Névvel ellátott tartományok</vt:lpstr>
      </vt:variant>
      <vt:variant>
        <vt:i4>21</vt:i4>
      </vt:variant>
    </vt:vector>
  </HeadingPairs>
  <TitlesOfParts>
    <vt:vector size="45" baseType="lpstr">
      <vt:lpstr>1 bevétel (kötelező,önként)</vt:lpstr>
      <vt:lpstr>2 kiadás (kötelező, önként)</vt:lpstr>
      <vt:lpstr>3 bevétel(szűkített)</vt:lpstr>
      <vt:lpstr>4 kiadás(szűkített)</vt:lpstr>
      <vt:lpstr>5 egyenleg</vt:lpstr>
      <vt:lpstr>6normatíva</vt:lpstr>
      <vt:lpstr>7int.bevétel </vt:lpstr>
      <vt:lpstr>8int.kiadás </vt:lpstr>
      <vt:lpstr>9álláshely</vt:lpstr>
      <vt:lpstr>10 ök kiadás</vt:lpstr>
      <vt:lpstr>11melléklet</vt:lpstr>
      <vt:lpstr>12 Fejlesztés</vt:lpstr>
      <vt:lpstr>13 Lakáselidegenítés</vt:lpstr>
      <vt:lpstr> 14 Int.felúj </vt:lpstr>
      <vt:lpstr>15 épületek fentartási költs</vt:lpstr>
      <vt:lpstr>16működési és felhalm </vt:lpstr>
      <vt:lpstr>17előirányzat felhasz.</vt:lpstr>
      <vt:lpstr>18többéves</vt:lpstr>
      <vt:lpstr>19projektek </vt:lpstr>
      <vt:lpstr>20 közvetett támogatások</vt:lpstr>
      <vt:lpstr>21 kiemelt</vt:lpstr>
      <vt:lpstr>22TFA</vt:lpstr>
      <vt:lpstr>23Környezetvéd.alap</vt:lpstr>
      <vt:lpstr>24Turisztikai Alap</vt:lpstr>
      <vt:lpstr>' 14 Int.felúj '!Nyomtatási_cím</vt:lpstr>
      <vt:lpstr>'1 bevétel (kötelező,önként)'!Nyomtatási_cím</vt:lpstr>
      <vt:lpstr>'10 ök kiadás'!Nyomtatási_cím</vt:lpstr>
      <vt:lpstr>'11melléklet'!Nyomtatási_cím</vt:lpstr>
      <vt:lpstr>'12 Fejlesztés'!Nyomtatási_cím</vt:lpstr>
      <vt:lpstr>'19projektek '!Nyomtatási_cím</vt:lpstr>
      <vt:lpstr>'2 kiadás (kötelező, önként)'!Nyomtatási_cím</vt:lpstr>
      <vt:lpstr>'20 közvetett támogatások'!Nyomtatási_cím</vt:lpstr>
      <vt:lpstr>'21 kiemelt'!Nyomtatási_cím</vt:lpstr>
      <vt:lpstr>'3 bevétel(szűkített)'!Nyomtatási_cím</vt:lpstr>
      <vt:lpstr>'7int.bevétel '!Nyomtatási_cím</vt:lpstr>
      <vt:lpstr>'8int.kiadás '!Nyomtatási_cím</vt:lpstr>
      <vt:lpstr>'1 bevétel (kötelező,önként)'!Nyomtatási_terület</vt:lpstr>
      <vt:lpstr>'10 ök kiadás'!Nyomtatási_terület</vt:lpstr>
      <vt:lpstr>'11melléklet'!Nyomtatási_terület</vt:lpstr>
      <vt:lpstr>'17előirányzat felhasz.'!Nyomtatási_terület</vt:lpstr>
      <vt:lpstr>'20 közvetett támogatások'!Nyomtatási_terület</vt:lpstr>
      <vt:lpstr>'21 kiemelt'!Nyomtatási_terület</vt:lpstr>
      <vt:lpstr>'4 kiadás(szűkített)'!Nyomtatási_terület</vt:lpstr>
      <vt:lpstr>'7int.bevétel '!Nyomtatási_terület</vt:lpstr>
      <vt:lpstr>'8int.kiadás '!Nyomtatási_terület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Polgármesteri Hivatal</dc:creator>
  <cp:lastModifiedBy>Windows-felhasználó</cp:lastModifiedBy>
  <cp:lastPrinted>2019-12-16T09:34:31Z</cp:lastPrinted>
  <dcterms:created xsi:type="dcterms:W3CDTF">2003-05-23T09:53:33Z</dcterms:created>
  <dcterms:modified xsi:type="dcterms:W3CDTF">2019-12-16T09:35:19Z</dcterms:modified>
</cp:coreProperties>
</file>