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480" windowHeight="7995"/>
  </bookViews>
  <sheets>
    <sheet name="várható támog." sheetId="1" r:id="rId1"/>
    <sheet name="központ.ei." sheetId="26" state="hidden" r:id="rId2"/>
    <sheet name="január 2.előleg" sheetId="18" state="hidden" r:id="rId3"/>
    <sheet name="január" sheetId="4" state="hidden" r:id="rId4"/>
    <sheet name="február" sheetId="17" state="hidden" r:id="rId5"/>
    <sheet name="március" sheetId="19" state="hidden" r:id="rId6"/>
    <sheet name="április " sheetId="20" state="hidden" r:id="rId7"/>
    <sheet name="május" sheetId="21" state="hidden" r:id="rId8"/>
    <sheet name="junius" sheetId="22" state="hidden" r:id="rId9"/>
    <sheet name="július" sheetId="23" state="hidden" r:id="rId10"/>
    <sheet name="augusztus" sheetId="24" state="hidden" r:id="rId11"/>
    <sheet name="szeptember" sheetId="25" state="hidden" r:id="rId12"/>
    <sheet name="október" sheetId="27" state="hidden" r:id="rId13"/>
  </sheets>
  <definedNames>
    <definedName name="_xlnm.Print_Titles" localSheetId="1">központ.ei.!$2:$2</definedName>
    <definedName name="_xlnm.Print_Titles" localSheetId="0">'várható támog.'!$2:$2</definedName>
  </definedNames>
  <calcPr calcId="125725"/>
</workbook>
</file>

<file path=xl/calcChain.xml><?xml version="1.0" encoding="utf-8"?>
<calcChain xmlns="http://schemas.openxmlformats.org/spreadsheetml/2006/main">
  <c r="BB6" i="1"/>
  <c r="BB7"/>
  <c r="BB9"/>
  <c r="BB10"/>
  <c r="BB11"/>
  <c r="BB12"/>
  <c r="BB13"/>
  <c r="BB14"/>
  <c r="BB15"/>
  <c r="BB17"/>
  <c r="BB19"/>
  <c r="BB20"/>
  <c r="BB21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8"/>
  <c r="BB49"/>
  <c r="BB51"/>
  <c r="AL5"/>
  <c r="AM5"/>
  <c r="AN5"/>
  <c r="AO5"/>
  <c r="AR5"/>
  <c r="AS5"/>
  <c r="AT5"/>
  <c r="AU5"/>
  <c r="AV5"/>
  <c r="AX5"/>
  <c r="AY5"/>
  <c r="AZ5"/>
  <c r="BA5"/>
  <c r="AL32"/>
  <c r="AM32"/>
  <c r="AN32"/>
  <c r="AO32"/>
  <c r="AS32"/>
  <c r="AT32"/>
  <c r="AU32"/>
  <c r="AV32"/>
  <c r="AX32"/>
  <c r="AY32"/>
  <c r="AZ32"/>
  <c r="BA32"/>
  <c r="AL18"/>
  <c r="AL16" s="1"/>
  <c r="AM18"/>
  <c r="AM16" s="1"/>
  <c r="AN18"/>
  <c r="AN16" s="1"/>
  <c r="AO18"/>
  <c r="AO16" s="1"/>
  <c r="AS18"/>
  <c r="AS16" s="1"/>
  <c r="AT18"/>
  <c r="AT16" s="1"/>
  <c r="AU18"/>
  <c r="AU16" s="1"/>
  <c r="AV18"/>
  <c r="AV16" s="1"/>
  <c r="AX18"/>
  <c r="AX16" s="1"/>
  <c r="AY18"/>
  <c r="AY16" s="1"/>
  <c r="AZ18"/>
  <c r="AZ16" s="1"/>
  <c r="BA18"/>
  <c r="BA16" s="1"/>
  <c r="AY4"/>
  <c r="AY50" s="1"/>
  <c r="AZ4"/>
  <c r="AZ50" s="1"/>
  <c r="BA4"/>
  <c r="BA50" s="1"/>
  <c r="AL8"/>
  <c r="AM8"/>
  <c r="AN8"/>
  <c r="AO8"/>
  <c r="AQ8"/>
  <c r="AR8"/>
  <c r="AS8"/>
  <c r="AS4" s="1"/>
  <c r="AT8"/>
  <c r="AT4" s="1"/>
  <c r="AT50" s="1"/>
  <c r="AU8"/>
  <c r="AU4" s="1"/>
  <c r="AU50" s="1"/>
  <c r="AV8"/>
  <c r="AV4" s="1"/>
  <c r="AV50" s="1"/>
  <c r="AX8"/>
  <c r="AX4" s="1"/>
  <c r="AX47" s="1"/>
  <c r="AJ12"/>
  <c r="AJ10"/>
  <c r="AJ9"/>
  <c r="AJ48"/>
  <c r="AJ43"/>
  <c r="AJ42" s="1"/>
  <c r="AJ32" s="1"/>
  <c r="AJ30"/>
  <c r="AJ29"/>
  <c r="AJ26"/>
  <c r="AJ25"/>
  <c r="AJ23"/>
  <c r="AJ22"/>
  <c r="AJ21"/>
  <c r="AJ14"/>
  <c r="AJ7"/>
  <c r="AW6"/>
  <c r="AW7"/>
  <c r="AW9"/>
  <c r="AW10"/>
  <c r="AW11"/>
  <c r="AW12"/>
  <c r="AW13"/>
  <c r="AW14"/>
  <c r="AW15"/>
  <c r="AW17"/>
  <c r="AW19"/>
  <c r="AW20"/>
  <c r="AW21"/>
  <c r="AW22"/>
  <c r="AW23"/>
  <c r="AW24"/>
  <c r="AW25"/>
  <c r="AW26"/>
  <c r="AW27"/>
  <c r="AW28"/>
  <c r="AW29"/>
  <c r="AW30"/>
  <c r="AW31"/>
  <c r="AW33"/>
  <c r="AW34"/>
  <c r="AW35"/>
  <c r="AW36"/>
  <c r="AW37"/>
  <c r="AW38"/>
  <c r="AW39"/>
  <c r="AW40"/>
  <c r="AW41"/>
  <c r="AW42"/>
  <c r="AW32" s="1"/>
  <c r="AW43"/>
  <c r="AW44"/>
  <c r="AW45"/>
  <c r="AW46"/>
  <c r="AW48"/>
  <c r="AW49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1"/>
  <c r="AW72"/>
  <c r="N65" i="27"/>
  <c r="M65"/>
  <c r="L65"/>
  <c r="K65"/>
  <c r="J65"/>
  <c r="I65"/>
  <c r="N61"/>
  <c r="M61"/>
  <c r="L61"/>
  <c r="K61"/>
  <c r="J61"/>
  <c r="I61"/>
  <c r="N58"/>
  <c r="N57"/>
  <c r="N56"/>
  <c r="L55"/>
  <c r="K55"/>
  <c r="J55"/>
  <c r="I55"/>
  <c r="G55"/>
  <c r="N50"/>
  <c r="N49"/>
  <c r="H49"/>
  <c r="M47"/>
  <c r="M48"/>
  <c r="M51" s="1"/>
  <c r="M69" s="1"/>
  <c r="I47"/>
  <c r="I48"/>
  <c r="I51" s="1"/>
  <c r="I69" s="1"/>
  <c r="N45"/>
  <c r="G45"/>
  <c r="H45" s="1"/>
  <c r="N43"/>
  <c r="N42"/>
  <c r="H42"/>
  <c r="J42"/>
  <c r="G35"/>
  <c r="G49"/>
  <c r="G34"/>
  <c r="G33"/>
  <c r="H33" s="1"/>
  <c r="G32"/>
  <c r="H32" s="1"/>
  <c r="G29"/>
  <c r="G27" s="1"/>
  <c r="G18" s="1"/>
  <c r="G16" s="1"/>
  <c r="G28"/>
  <c r="H28" s="1"/>
  <c r="J28" s="1"/>
  <c r="N27"/>
  <c r="J24"/>
  <c r="H23"/>
  <c r="K24" s="1"/>
  <c r="G22"/>
  <c r="G21"/>
  <c r="H21" s="1"/>
  <c r="J21" s="1"/>
  <c r="J18" s="1"/>
  <c r="J16" s="1"/>
  <c r="N19"/>
  <c r="M18"/>
  <c r="M16" s="1"/>
  <c r="I18"/>
  <c r="I16" s="1"/>
  <c r="G14"/>
  <c r="H14" s="1"/>
  <c r="K14" s="1"/>
  <c r="M14" s="1"/>
  <c r="G9"/>
  <c r="G8" s="1"/>
  <c r="G7"/>
  <c r="G5" s="1"/>
  <c r="N4"/>
  <c r="AF57" i="1"/>
  <c r="AP12"/>
  <c r="AP11"/>
  <c r="AP10"/>
  <c r="AP40"/>
  <c r="AP43"/>
  <c r="AP42" s="1"/>
  <c r="AP32" s="1"/>
  <c r="AP44"/>
  <c r="AP63"/>
  <c r="AQ57"/>
  <c r="AP57"/>
  <c r="AQ48"/>
  <c r="AP46"/>
  <c r="AP45"/>
  <c r="AQ44"/>
  <c r="AQ43"/>
  <c r="AR42"/>
  <c r="AR32" s="1"/>
  <c r="AR30"/>
  <c r="AR28" s="1"/>
  <c r="AQ28"/>
  <c r="AR26"/>
  <c r="AR22"/>
  <c r="AQ19"/>
  <c r="AR20"/>
  <c r="AP13"/>
  <c r="AK15"/>
  <c r="AK17"/>
  <c r="AK23"/>
  <c r="AK24"/>
  <c r="AK27"/>
  <c r="AK31"/>
  <c r="AK33"/>
  <c r="AK34"/>
  <c r="AK35"/>
  <c r="AK36"/>
  <c r="AK37"/>
  <c r="AK38"/>
  <c r="AK39"/>
  <c r="AK41"/>
  <c r="AK49"/>
  <c r="AK55"/>
  <c r="AK56"/>
  <c r="M5"/>
  <c r="N5"/>
  <c r="P5"/>
  <c r="Q5"/>
  <c r="R5"/>
  <c r="T5"/>
  <c r="V5"/>
  <c r="W5"/>
  <c r="M6"/>
  <c r="N6"/>
  <c r="P6"/>
  <c r="W6" s="1"/>
  <c r="Q6"/>
  <c r="R6"/>
  <c r="T6"/>
  <c r="M9"/>
  <c r="N9"/>
  <c r="P9"/>
  <c r="Q9"/>
  <c r="R9"/>
  <c r="T9"/>
  <c r="V9"/>
  <c r="M10"/>
  <c r="N10"/>
  <c r="P10"/>
  <c r="Q10"/>
  <c r="R10"/>
  <c r="T10"/>
  <c r="V10"/>
  <c r="M11"/>
  <c r="N11"/>
  <c r="P11"/>
  <c r="Q11"/>
  <c r="R11"/>
  <c r="T11"/>
  <c r="V11"/>
  <c r="M12"/>
  <c r="N12"/>
  <c r="P12"/>
  <c r="Q12"/>
  <c r="R12"/>
  <c r="T12"/>
  <c r="V12"/>
  <c r="M13"/>
  <c r="N13"/>
  <c r="P13"/>
  <c r="Q13"/>
  <c r="R13"/>
  <c r="T13"/>
  <c r="V13"/>
  <c r="U15"/>
  <c r="Z16"/>
  <c r="Y18"/>
  <c r="Y16" s="1"/>
  <c r="Y19"/>
  <c r="Y20"/>
  <c r="T21"/>
  <c r="V21"/>
  <c r="W21"/>
  <c r="Z25"/>
  <c r="V26"/>
  <c r="W26"/>
  <c r="Y28"/>
  <c r="Z29"/>
  <c r="Z28" s="1"/>
  <c r="O31"/>
  <c r="U31"/>
  <c r="U32"/>
  <c r="U33"/>
  <c r="U34"/>
  <c r="U35"/>
  <c r="U36"/>
  <c r="U37"/>
  <c r="U38"/>
  <c r="U39"/>
  <c r="N40"/>
  <c r="R40"/>
  <c r="T40"/>
  <c r="V40"/>
  <c r="Y43"/>
  <c r="Z43"/>
  <c r="Y44"/>
  <c r="Z44"/>
  <c r="Z42" s="1"/>
  <c r="Z32" s="1"/>
  <c r="Z48"/>
  <c r="S49"/>
  <c r="U49" s="1"/>
  <c r="X49" s="1"/>
  <c r="Y51"/>
  <c r="Y54" s="1"/>
  <c r="S52"/>
  <c r="U52" s="1"/>
  <c r="X52" s="1"/>
  <c r="M54"/>
  <c r="N54"/>
  <c r="P54"/>
  <c r="Q54"/>
  <c r="R54"/>
  <c r="T54"/>
  <c r="V54"/>
  <c r="W54"/>
  <c r="U55"/>
  <c r="U56"/>
  <c r="M57"/>
  <c r="N57"/>
  <c r="P57"/>
  <c r="Q57"/>
  <c r="R57"/>
  <c r="T57"/>
  <c r="V57"/>
  <c r="W57"/>
  <c r="Y57"/>
  <c r="Z57"/>
  <c r="O61"/>
  <c r="S61" s="1"/>
  <c r="M63"/>
  <c r="N63"/>
  <c r="P63"/>
  <c r="Q63"/>
  <c r="R63"/>
  <c r="T63"/>
  <c r="V63"/>
  <c r="W63"/>
  <c r="Y63"/>
  <c r="Z63"/>
  <c r="O64"/>
  <c r="O65"/>
  <c r="S65" s="1"/>
  <c r="S66"/>
  <c r="U66" s="1"/>
  <c r="T70"/>
  <c r="U71"/>
  <c r="AF44"/>
  <c r="AF43"/>
  <c r="AF40"/>
  <c r="AF10"/>
  <c r="AF11"/>
  <c r="AF12"/>
  <c r="K82" i="26"/>
  <c r="O82" s="1"/>
  <c r="K77"/>
  <c r="O76"/>
  <c r="S76" s="1"/>
  <c r="W76" s="1"/>
  <c r="K75"/>
  <c r="G74"/>
  <c r="K74" s="1"/>
  <c r="K69"/>
  <c r="K68"/>
  <c r="O68" s="1"/>
  <c r="S68" s="1"/>
  <c r="W68" s="1"/>
  <c r="K67"/>
  <c r="S66"/>
  <c r="W66" s="1"/>
  <c r="O65"/>
  <c r="S65" s="1"/>
  <c r="W65" s="1"/>
  <c r="O64"/>
  <c r="S64" s="1"/>
  <c r="W64" s="1"/>
  <c r="V63"/>
  <c r="V70" s="1"/>
  <c r="U63"/>
  <c r="T63"/>
  <c r="R63"/>
  <c r="Q63"/>
  <c r="Q70" s="1"/>
  <c r="P63"/>
  <c r="N63"/>
  <c r="M63"/>
  <c r="L63"/>
  <c r="J63"/>
  <c r="I63"/>
  <c r="H63"/>
  <c r="G63"/>
  <c r="O61"/>
  <c r="S61" s="1"/>
  <c r="K60"/>
  <c r="K59"/>
  <c r="K58"/>
  <c r="V57"/>
  <c r="U57"/>
  <c r="T57"/>
  <c r="R57"/>
  <c r="Q57"/>
  <c r="P57"/>
  <c r="N57"/>
  <c r="M57"/>
  <c r="L57"/>
  <c r="J57"/>
  <c r="I57"/>
  <c r="H57"/>
  <c r="G57"/>
  <c r="F57"/>
  <c r="V54"/>
  <c r="U54"/>
  <c r="T54"/>
  <c r="R54"/>
  <c r="Q54"/>
  <c r="P54"/>
  <c r="N54"/>
  <c r="M54"/>
  <c r="K53"/>
  <c r="S52"/>
  <c r="G52"/>
  <c r="K52" s="1"/>
  <c r="S49"/>
  <c r="K49"/>
  <c r="F48"/>
  <c r="F46"/>
  <c r="L46"/>
  <c r="F45"/>
  <c r="G45"/>
  <c r="L44"/>
  <c r="J44"/>
  <c r="I44"/>
  <c r="L43"/>
  <c r="J43"/>
  <c r="I43"/>
  <c r="I42" s="1"/>
  <c r="I32" s="1"/>
  <c r="H43"/>
  <c r="H42"/>
  <c r="G43"/>
  <c r="L42"/>
  <c r="L32" s="1"/>
  <c r="G42"/>
  <c r="F42"/>
  <c r="F32" s="1"/>
  <c r="U40"/>
  <c r="T40"/>
  <c r="R40"/>
  <c r="N40"/>
  <c r="L40"/>
  <c r="J40"/>
  <c r="I40"/>
  <c r="H40"/>
  <c r="G40"/>
  <c r="Q40" s="1"/>
  <c r="K39"/>
  <c r="K38"/>
  <c r="K37"/>
  <c r="K36"/>
  <c r="K35"/>
  <c r="K34"/>
  <c r="K33"/>
  <c r="F33"/>
  <c r="F52"/>
  <c r="O31"/>
  <c r="K30"/>
  <c r="O30" s="1"/>
  <c r="F30"/>
  <c r="V30" s="1"/>
  <c r="F29"/>
  <c r="K27"/>
  <c r="O27" s="1"/>
  <c r="S27" s="1"/>
  <c r="V26"/>
  <c r="U26"/>
  <c r="K26"/>
  <c r="O26" s="1"/>
  <c r="S26" s="1"/>
  <c r="W26" s="1"/>
  <c r="F26"/>
  <c r="R26" s="1"/>
  <c r="F25"/>
  <c r="K24"/>
  <c r="O24" s="1"/>
  <c r="S24" s="1"/>
  <c r="F23"/>
  <c r="K22"/>
  <c r="F22"/>
  <c r="U22" s="1"/>
  <c r="V21"/>
  <c r="U21"/>
  <c r="T21"/>
  <c r="F21"/>
  <c r="K17"/>
  <c r="O17" s="1"/>
  <c r="S17" s="1"/>
  <c r="K15"/>
  <c r="F14"/>
  <c r="U13"/>
  <c r="T13"/>
  <c r="R13"/>
  <c r="Q13"/>
  <c r="P13"/>
  <c r="N13"/>
  <c r="M13"/>
  <c r="L13"/>
  <c r="J13"/>
  <c r="I13"/>
  <c r="H13"/>
  <c r="U12"/>
  <c r="T12"/>
  <c r="R12"/>
  <c r="Q12"/>
  <c r="P12"/>
  <c r="N12"/>
  <c r="M12"/>
  <c r="L12"/>
  <c r="J12"/>
  <c r="I12"/>
  <c r="H12"/>
  <c r="G12"/>
  <c r="U11"/>
  <c r="T11"/>
  <c r="R11"/>
  <c r="Q11"/>
  <c r="P11"/>
  <c r="N11"/>
  <c r="M11"/>
  <c r="L11"/>
  <c r="J11"/>
  <c r="I11"/>
  <c r="H11"/>
  <c r="G11"/>
  <c r="U10"/>
  <c r="T10"/>
  <c r="R10"/>
  <c r="Q10"/>
  <c r="P10"/>
  <c r="N10"/>
  <c r="M10"/>
  <c r="L10"/>
  <c r="J10"/>
  <c r="I10"/>
  <c r="H10"/>
  <c r="G10"/>
  <c r="U9"/>
  <c r="T9"/>
  <c r="T8" s="1"/>
  <c r="R9"/>
  <c r="R8" s="1"/>
  <c r="Q9"/>
  <c r="Q8" s="1"/>
  <c r="P9"/>
  <c r="N9"/>
  <c r="N8" s="1"/>
  <c r="M9"/>
  <c r="M8" s="1"/>
  <c r="F9"/>
  <c r="U8"/>
  <c r="P8"/>
  <c r="F7"/>
  <c r="T6"/>
  <c r="R6"/>
  <c r="Q6"/>
  <c r="P6"/>
  <c r="N6"/>
  <c r="M6"/>
  <c r="L6"/>
  <c r="J6"/>
  <c r="I6"/>
  <c r="H6"/>
  <c r="V5"/>
  <c r="U5"/>
  <c r="T5"/>
  <c r="R5"/>
  <c r="Q5"/>
  <c r="P5"/>
  <c r="N5"/>
  <c r="M5"/>
  <c r="N65" i="25"/>
  <c r="M65"/>
  <c r="L65"/>
  <c r="K65"/>
  <c r="J65"/>
  <c r="I65"/>
  <c r="N61"/>
  <c r="M61"/>
  <c r="L61"/>
  <c r="K61"/>
  <c r="J61"/>
  <c r="I61"/>
  <c r="N58"/>
  <c r="N57"/>
  <c r="N56"/>
  <c r="L55"/>
  <c r="K55"/>
  <c r="J55"/>
  <c r="I55"/>
  <c r="G55"/>
  <c r="N50"/>
  <c r="N49"/>
  <c r="H49"/>
  <c r="M47"/>
  <c r="M48" s="1"/>
  <c r="M51" s="1"/>
  <c r="M69" s="1"/>
  <c r="I47"/>
  <c r="I48" s="1"/>
  <c r="I51" s="1"/>
  <c r="N45"/>
  <c r="G45"/>
  <c r="N43"/>
  <c r="N42"/>
  <c r="H42"/>
  <c r="J42" s="1"/>
  <c r="G35"/>
  <c r="G33"/>
  <c r="H33" s="1"/>
  <c r="G32"/>
  <c r="H32" s="1"/>
  <c r="G29"/>
  <c r="G27" s="1"/>
  <c r="G18" s="1"/>
  <c r="G16" s="1"/>
  <c r="G28"/>
  <c r="H28" s="1"/>
  <c r="J28" s="1"/>
  <c r="N27"/>
  <c r="J24"/>
  <c r="H23"/>
  <c r="K24" s="1"/>
  <c r="G22"/>
  <c r="G21"/>
  <c r="H21" s="1"/>
  <c r="J21" s="1"/>
  <c r="N19"/>
  <c r="M18"/>
  <c r="M16" s="1"/>
  <c r="I18"/>
  <c r="I16" s="1"/>
  <c r="G14"/>
  <c r="H14" s="1"/>
  <c r="K14" s="1"/>
  <c r="M14" s="1"/>
  <c r="G9"/>
  <c r="G8" s="1"/>
  <c r="G4" s="1"/>
  <c r="G7"/>
  <c r="G5"/>
  <c r="N4"/>
  <c r="AE57" i="1"/>
  <c r="AE44"/>
  <c r="AE43"/>
  <c r="AE40"/>
  <c r="AE12"/>
  <c r="AE11"/>
  <c r="AE10"/>
  <c r="N65" i="24"/>
  <c r="M65"/>
  <c r="L65"/>
  <c r="K65"/>
  <c r="J65"/>
  <c r="I65"/>
  <c r="N61"/>
  <c r="M61"/>
  <c r="L61"/>
  <c r="K61"/>
  <c r="J61"/>
  <c r="I61"/>
  <c r="N58"/>
  <c r="N57"/>
  <c r="N56"/>
  <c r="L55"/>
  <c r="K55"/>
  <c r="J55"/>
  <c r="I55"/>
  <c r="G55"/>
  <c r="N50"/>
  <c r="N49"/>
  <c r="H49"/>
  <c r="M47"/>
  <c r="M48" s="1"/>
  <c r="M51" s="1"/>
  <c r="M69" s="1"/>
  <c r="I47"/>
  <c r="I48" s="1"/>
  <c r="I51" s="1"/>
  <c r="N45"/>
  <c r="G45"/>
  <c r="H45" s="1"/>
  <c r="N43"/>
  <c r="N42"/>
  <c r="H42"/>
  <c r="J42" s="1"/>
  <c r="G35"/>
  <c r="G49" s="1"/>
  <c r="G33"/>
  <c r="H33" s="1"/>
  <c r="G32"/>
  <c r="H32" s="1"/>
  <c r="K32" s="1"/>
  <c r="G29"/>
  <c r="G28"/>
  <c r="H28" s="1"/>
  <c r="N27"/>
  <c r="J24"/>
  <c r="H23"/>
  <c r="K24" s="1"/>
  <c r="G22"/>
  <c r="G21"/>
  <c r="H21" s="1"/>
  <c r="J21" s="1"/>
  <c r="N19"/>
  <c r="M18"/>
  <c r="M16" s="1"/>
  <c r="I18"/>
  <c r="I16" s="1"/>
  <c r="G14"/>
  <c r="H14" s="1"/>
  <c r="G9"/>
  <c r="G8" s="1"/>
  <c r="G7"/>
  <c r="N4"/>
  <c r="N47" s="1"/>
  <c r="N48" s="1"/>
  <c r="N56" i="23"/>
  <c r="N49"/>
  <c r="AA57" i="1"/>
  <c r="AD44"/>
  <c r="AD43"/>
  <c r="AD40"/>
  <c r="AD12"/>
  <c r="AD11"/>
  <c r="AD10"/>
  <c r="AD63"/>
  <c r="AD57"/>
  <c r="AD42"/>
  <c r="AD32" s="1"/>
  <c r="N65" i="23"/>
  <c r="M65"/>
  <c r="L65"/>
  <c r="K65"/>
  <c r="J65"/>
  <c r="I65"/>
  <c r="N61"/>
  <c r="M61"/>
  <c r="L61"/>
  <c r="K61"/>
  <c r="J61"/>
  <c r="I61"/>
  <c r="N55"/>
  <c r="L55"/>
  <c r="K55"/>
  <c r="J55"/>
  <c r="I55"/>
  <c r="G55"/>
  <c r="N50"/>
  <c r="H49"/>
  <c r="M47"/>
  <c r="M48"/>
  <c r="M51" s="1"/>
  <c r="M69" s="1"/>
  <c r="I47"/>
  <c r="I48"/>
  <c r="I51" s="1"/>
  <c r="I69" s="1"/>
  <c r="N45"/>
  <c r="G45"/>
  <c r="H45" s="1"/>
  <c r="K45" s="1"/>
  <c r="K43" s="1"/>
  <c r="N43"/>
  <c r="G43"/>
  <c r="N42"/>
  <c r="J42"/>
  <c r="H42"/>
  <c r="K42"/>
  <c r="G35"/>
  <c r="G49"/>
  <c r="G33"/>
  <c r="H33" s="1"/>
  <c r="K33" s="1"/>
  <c r="G32"/>
  <c r="H32" s="1"/>
  <c r="G29"/>
  <c r="G28"/>
  <c r="H28" s="1"/>
  <c r="K28" s="1"/>
  <c r="N27"/>
  <c r="J24"/>
  <c r="H23"/>
  <c r="K24"/>
  <c r="G22"/>
  <c r="G21"/>
  <c r="H21" s="1"/>
  <c r="K21" s="1"/>
  <c r="K18" s="1"/>
  <c r="K16" s="1"/>
  <c r="N19"/>
  <c r="M18"/>
  <c r="M16" s="1"/>
  <c r="I18"/>
  <c r="I16"/>
  <c r="G14"/>
  <c r="G9"/>
  <c r="G8" s="1"/>
  <c r="G7"/>
  <c r="N4"/>
  <c r="N47" s="1"/>
  <c r="N48" s="1"/>
  <c r="N51" s="1"/>
  <c r="N69" s="1"/>
  <c r="N50" i="22"/>
  <c r="N19"/>
  <c r="N4"/>
  <c r="AB44" i="1"/>
  <c r="N4" i="21"/>
  <c r="N55"/>
  <c r="N56"/>
  <c r="N54"/>
  <c r="N53" s="1"/>
  <c r="N55" i="20"/>
  <c r="N56"/>
  <c r="N54"/>
  <c r="AC65" i="1"/>
  <c r="AK65" s="1"/>
  <c r="AC66"/>
  <c r="AK66" s="1"/>
  <c r="AC64"/>
  <c r="AK64" s="1"/>
  <c r="AC61"/>
  <c r="AK61" s="1"/>
  <c r="AC62"/>
  <c r="AK62" s="1"/>
  <c r="AB43"/>
  <c r="AB40"/>
  <c r="AA40"/>
  <c r="AA44"/>
  <c r="AA43"/>
  <c r="AB12"/>
  <c r="AA12"/>
  <c r="AB11"/>
  <c r="AA11"/>
  <c r="AB10"/>
  <c r="AA10"/>
  <c r="AB63"/>
  <c r="AA63"/>
  <c r="AB57"/>
  <c r="AC13"/>
  <c r="AB13"/>
  <c r="AD13" s="1"/>
  <c r="AA13"/>
  <c r="AC6"/>
  <c r="AB6"/>
  <c r="AN6" s="1"/>
  <c r="AA6"/>
  <c r="N63" i="22"/>
  <c r="M63"/>
  <c r="L63"/>
  <c r="K63"/>
  <c r="J63"/>
  <c r="I63"/>
  <c r="N59"/>
  <c r="M59"/>
  <c r="L59"/>
  <c r="K59"/>
  <c r="J59"/>
  <c r="I59"/>
  <c r="N53"/>
  <c r="L53"/>
  <c r="L67" s="1"/>
  <c r="K53"/>
  <c r="J53"/>
  <c r="I53"/>
  <c r="G53"/>
  <c r="H49"/>
  <c r="M47"/>
  <c r="M48" s="1"/>
  <c r="M51" s="1"/>
  <c r="M67" s="1"/>
  <c r="I47"/>
  <c r="I48" s="1"/>
  <c r="I51" s="1"/>
  <c r="N45"/>
  <c r="G45"/>
  <c r="H45" s="1"/>
  <c r="N43"/>
  <c r="G43"/>
  <c r="N42"/>
  <c r="H42"/>
  <c r="J42" s="1"/>
  <c r="G35"/>
  <c r="G49" s="1"/>
  <c r="G33"/>
  <c r="H33" s="1"/>
  <c r="G32"/>
  <c r="H32" s="1"/>
  <c r="K32" s="1"/>
  <c r="G29"/>
  <c r="G28"/>
  <c r="H28" s="1"/>
  <c r="N27"/>
  <c r="J24"/>
  <c r="H23"/>
  <c r="K24" s="1"/>
  <c r="G22"/>
  <c r="G21"/>
  <c r="M18"/>
  <c r="M16" s="1"/>
  <c r="I18"/>
  <c r="I16" s="1"/>
  <c r="G14"/>
  <c r="I14"/>
  <c r="G9"/>
  <c r="G8"/>
  <c r="G7"/>
  <c r="H5"/>
  <c r="G5"/>
  <c r="G4"/>
  <c r="N63" i="21"/>
  <c r="M63"/>
  <c r="L63"/>
  <c r="K63"/>
  <c r="J63"/>
  <c r="I63"/>
  <c r="N59"/>
  <c r="M59"/>
  <c r="L59"/>
  <c r="K59"/>
  <c r="J59"/>
  <c r="I59"/>
  <c r="M53"/>
  <c r="L53"/>
  <c r="L67" s="1"/>
  <c r="K53"/>
  <c r="J53"/>
  <c r="I53"/>
  <c r="G53"/>
  <c r="H49"/>
  <c r="M47"/>
  <c r="M48" s="1"/>
  <c r="M51" s="1"/>
  <c r="M67" s="1"/>
  <c r="I47"/>
  <c r="I48" s="1"/>
  <c r="I51" s="1"/>
  <c r="I67" s="1"/>
  <c r="N45"/>
  <c r="G45"/>
  <c r="N43"/>
  <c r="N42"/>
  <c r="H42"/>
  <c r="J42" s="1"/>
  <c r="G35"/>
  <c r="G33"/>
  <c r="H33" s="1"/>
  <c r="K33" s="1"/>
  <c r="G32"/>
  <c r="H32" s="1"/>
  <c r="K32" s="1"/>
  <c r="G29"/>
  <c r="G27" s="1"/>
  <c r="G18" s="1"/>
  <c r="G16" s="1"/>
  <c r="G28"/>
  <c r="H28" s="1"/>
  <c r="J28" s="1"/>
  <c r="N27"/>
  <c r="J24"/>
  <c r="H23"/>
  <c r="K24" s="1"/>
  <c r="G22"/>
  <c r="G21"/>
  <c r="H21" s="1"/>
  <c r="J21" s="1"/>
  <c r="N19"/>
  <c r="N47" s="1"/>
  <c r="N48" s="1"/>
  <c r="N51" s="1"/>
  <c r="N67" s="1"/>
  <c r="M18"/>
  <c r="M16" s="1"/>
  <c r="I18"/>
  <c r="I16" s="1"/>
  <c r="G14"/>
  <c r="G9"/>
  <c r="G8" s="1"/>
  <c r="G7"/>
  <c r="H5" s="1"/>
  <c r="L44" i="1"/>
  <c r="L43"/>
  <c r="L40"/>
  <c r="L12"/>
  <c r="L10"/>
  <c r="L11"/>
  <c r="N63" i="20"/>
  <c r="M63"/>
  <c r="L63"/>
  <c r="K63"/>
  <c r="J63"/>
  <c r="I63"/>
  <c r="N59"/>
  <c r="M59"/>
  <c r="L59"/>
  <c r="K59"/>
  <c r="J59"/>
  <c r="I59"/>
  <c r="N53"/>
  <c r="M53"/>
  <c r="L53"/>
  <c r="L67" s="1"/>
  <c r="K53"/>
  <c r="J53"/>
  <c r="I53"/>
  <c r="G53"/>
  <c r="H49"/>
  <c r="M47"/>
  <c r="M48" s="1"/>
  <c r="M51" s="1"/>
  <c r="M67" s="1"/>
  <c r="I47"/>
  <c r="I48" s="1"/>
  <c r="I51" s="1"/>
  <c r="N45"/>
  <c r="G45"/>
  <c r="H45" s="1"/>
  <c r="N43"/>
  <c r="N42"/>
  <c r="H42"/>
  <c r="G35"/>
  <c r="G49" s="1"/>
  <c r="G33"/>
  <c r="H33" s="1"/>
  <c r="G32"/>
  <c r="H32" s="1"/>
  <c r="J32" s="1"/>
  <c r="G29"/>
  <c r="G28"/>
  <c r="H28" s="1"/>
  <c r="J28" s="1"/>
  <c r="N27"/>
  <c r="J24"/>
  <c r="H23"/>
  <c r="K24" s="1"/>
  <c r="G22"/>
  <c r="G21"/>
  <c r="H21" s="1"/>
  <c r="N19"/>
  <c r="M18"/>
  <c r="M16" s="1"/>
  <c r="I18"/>
  <c r="I16" s="1"/>
  <c r="G14"/>
  <c r="H14" s="1"/>
  <c r="K14" s="1"/>
  <c r="M14" s="1"/>
  <c r="G9"/>
  <c r="G8" s="1"/>
  <c r="G7"/>
  <c r="N43" i="19"/>
  <c r="M18"/>
  <c r="M16" s="1"/>
  <c r="M47"/>
  <c r="M48" s="1"/>
  <c r="M51" s="1"/>
  <c r="M67" s="1"/>
  <c r="N45"/>
  <c r="N42"/>
  <c r="N27"/>
  <c r="N19"/>
  <c r="N4"/>
  <c r="M18" i="17"/>
  <c r="M16" s="1"/>
  <c r="M47"/>
  <c r="M48" s="1"/>
  <c r="M51" s="1"/>
  <c r="N45"/>
  <c r="N43"/>
  <c r="N42"/>
  <c r="N27"/>
  <c r="N19"/>
  <c r="N4"/>
  <c r="M48" i="4"/>
  <c r="N50"/>
  <c r="M51"/>
  <c r="I48"/>
  <c r="I51" s="1"/>
  <c r="N45"/>
  <c r="N43"/>
  <c r="M47"/>
  <c r="M55" i="18"/>
  <c r="M56"/>
  <c r="M53" s="1"/>
  <c r="M54"/>
  <c r="N47"/>
  <c r="N48" s="1"/>
  <c r="N51" s="1"/>
  <c r="N67" s="1"/>
  <c r="N18"/>
  <c r="N16" s="1"/>
  <c r="N14"/>
  <c r="N5"/>
  <c r="N63" i="19"/>
  <c r="M63"/>
  <c r="L63"/>
  <c r="K63"/>
  <c r="J63"/>
  <c r="I63"/>
  <c r="N59"/>
  <c r="M59"/>
  <c r="L59"/>
  <c r="K59"/>
  <c r="J59"/>
  <c r="I59"/>
  <c r="N53"/>
  <c r="M53"/>
  <c r="L53"/>
  <c r="L67" s="1"/>
  <c r="K53"/>
  <c r="J53"/>
  <c r="I53"/>
  <c r="G53"/>
  <c r="H49"/>
  <c r="I47"/>
  <c r="I48" s="1"/>
  <c r="I51" s="1"/>
  <c r="I67" s="1"/>
  <c r="G45"/>
  <c r="H45" s="1"/>
  <c r="H42"/>
  <c r="G35"/>
  <c r="G33"/>
  <c r="H33" s="1"/>
  <c r="G32"/>
  <c r="H32" s="1"/>
  <c r="J32" s="1"/>
  <c r="G29"/>
  <c r="G28"/>
  <c r="J24"/>
  <c r="H23"/>
  <c r="K24" s="1"/>
  <c r="G22"/>
  <c r="G20" s="1"/>
  <c r="G21"/>
  <c r="H21" s="1"/>
  <c r="J21" s="1"/>
  <c r="I18"/>
  <c r="I16" s="1"/>
  <c r="G14"/>
  <c r="H14" s="1"/>
  <c r="K14" s="1"/>
  <c r="M14" s="1"/>
  <c r="G9"/>
  <c r="G8" s="1"/>
  <c r="G7"/>
  <c r="G5" s="1"/>
  <c r="N63" i="18"/>
  <c r="M63"/>
  <c r="L63"/>
  <c r="K63"/>
  <c r="J63"/>
  <c r="I63"/>
  <c r="N59"/>
  <c r="M59"/>
  <c r="L59"/>
  <c r="K59"/>
  <c r="J59"/>
  <c r="I59"/>
  <c r="N53"/>
  <c r="L53"/>
  <c r="L67" s="1"/>
  <c r="K53"/>
  <c r="J53"/>
  <c r="I53"/>
  <c r="G53"/>
  <c r="M51"/>
  <c r="M67" s="1"/>
  <c r="H49"/>
  <c r="I47"/>
  <c r="I48" s="1"/>
  <c r="I51" s="1"/>
  <c r="G45"/>
  <c r="H45" s="1"/>
  <c r="H42"/>
  <c r="K42" s="1"/>
  <c r="G35"/>
  <c r="G33"/>
  <c r="H33" s="1"/>
  <c r="J33" s="1"/>
  <c r="G32"/>
  <c r="H32" s="1"/>
  <c r="G29"/>
  <c r="G28"/>
  <c r="H28" s="1"/>
  <c r="J24"/>
  <c r="H23"/>
  <c r="K24" s="1"/>
  <c r="G22"/>
  <c r="G21"/>
  <c r="G20" s="1"/>
  <c r="I18"/>
  <c r="I16" s="1"/>
  <c r="G14"/>
  <c r="I14" s="1"/>
  <c r="G9"/>
  <c r="G7"/>
  <c r="H5" s="1"/>
  <c r="N63" i="17"/>
  <c r="M63"/>
  <c r="L63"/>
  <c r="K63"/>
  <c r="J63"/>
  <c r="I63"/>
  <c r="N59"/>
  <c r="M59"/>
  <c r="L59"/>
  <c r="K59"/>
  <c r="J59"/>
  <c r="I59"/>
  <c r="N53"/>
  <c r="M53"/>
  <c r="L53"/>
  <c r="L67" s="1"/>
  <c r="K53"/>
  <c r="J53"/>
  <c r="I53"/>
  <c r="G53"/>
  <c r="H49"/>
  <c r="I47"/>
  <c r="I48" s="1"/>
  <c r="I51" s="1"/>
  <c r="I67" s="1"/>
  <c r="G45"/>
  <c r="H45" s="1"/>
  <c r="J45" s="1"/>
  <c r="J43" s="1"/>
  <c r="H42"/>
  <c r="G35"/>
  <c r="G49" s="1"/>
  <c r="G33"/>
  <c r="H33" s="1"/>
  <c r="G32"/>
  <c r="H32" s="1"/>
  <c r="G29"/>
  <c r="G28"/>
  <c r="J24"/>
  <c r="H23"/>
  <c r="K24" s="1"/>
  <c r="G22"/>
  <c r="G20" s="1"/>
  <c r="G21"/>
  <c r="H21" s="1"/>
  <c r="J21" s="1"/>
  <c r="I18"/>
  <c r="I16" s="1"/>
  <c r="G14"/>
  <c r="H14" s="1"/>
  <c r="K14" s="1"/>
  <c r="M14" s="1"/>
  <c r="G9"/>
  <c r="G8" s="1"/>
  <c r="G7"/>
  <c r="G5" s="1"/>
  <c r="J63" i="4"/>
  <c r="K63"/>
  <c r="L63"/>
  <c r="M63"/>
  <c r="N63"/>
  <c r="J59"/>
  <c r="K59"/>
  <c r="L59"/>
  <c r="M59"/>
  <c r="N59"/>
  <c r="I63"/>
  <c r="I59"/>
  <c r="J53"/>
  <c r="K53"/>
  <c r="L53"/>
  <c r="M53"/>
  <c r="N53"/>
  <c r="I53"/>
  <c r="I47"/>
  <c r="K49" i="1"/>
  <c r="K53"/>
  <c r="AC53" s="1"/>
  <c r="K22"/>
  <c r="K24"/>
  <c r="O24" s="1"/>
  <c r="S24" s="1"/>
  <c r="K26"/>
  <c r="O26"/>
  <c r="K27"/>
  <c r="O27"/>
  <c r="S27" s="1"/>
  <c r="K15"/>
  <c r="J44"/>
  <c r="J42" s="1"/>
  <c r="J43"/>
  <c r="J12"/>
  <c r="I44"/>
  <c r="J40"/>
  <c r="J10"/>
  <c r="J11"/>
  <c r="I12"/>
  <c r="I11"/>
  <c r="I10"/>
  <c r="I13"/>
  <c r="H40"/>
  <c r="H10"/>
  <c r="H43"/>
  <c r="H42" s="1"/>
  <c r="H32" s="1"/>
  <c r="I43"/>
  <c r="I40"/>
  <c r="H12"/>
  <c r="H11"/>
  <c r="G40"/>
  <c r="P40" s="1"/>
  <c r="G43"/>
  <c r="G42" s="1"/>
  <c r="F25"/>
  <c r="I25" s="1"/>
  <c r="G10"/>
  <c r="G11"/>
  <c r="G12"/>
  <c r="F46"/>
  <c r="G46" s="1"/>
  <c r="N46" s="1"/>
  <c r="F45"/>
  <c r="N45"/>
  <c r="F42"/>
  <c r="F32" s="1"/>
  <c r="F29"/>
  <c r="F26"/>
  <c r="AP26" s="1"/>
  <c r="F23"/>
  <c r="AP23" s="1"/>
  <c r="F22"/>
  <c r="F21"/>
  <c r="F20" s="1"/>
  <c r="F19" s="1"/>
  <c r="H63"/>
  <c r="I63"/>
  <c r="J63"/>
  <c r="L63"/>
  <c r="G63"/>
  <c r="L57"/>
  <c r="G7" i="4"/>
  <c r="G9"/>
  <c r="G8" s="1"/>
  <c r="G14"/>
  <c r="H14" s="1"/>
  <c r="I14"/>
  <c r="I18"/>
  <c r="I16" s="1"/>
  <c r="G21"/>
  <c r="G22"/>
  <c r="H23"/>
  <c r="J24"/>
  <c r="K24"/>
  <c r="G28"/>
  <c r="G29"/>
  <c r="G32"/>
  <c r="H32"/>
  <c r="G33"/>
  <c r="H33" s="1"/>
  <c r="J33" s="1"/>
  <c r="G35"/>
  <c r="G34" s="1"/>
  <c r="H42"/>
  <c r="J42" s="1"/>
  <c r="K42"/>
  <c r="G45"/>
  <c r="H45" s="1"/>
  <c r="H49"/>
  <c r="G53"/>
  <c r="H6" i="1"/>
  <c r="I6"/>
  <c r="J6"/>
  <c r="L6"/>
  <c r="F7"/>
  <c r="AP7" s="1"/>
  <c r="F9"/>
  <c r="AP9" s="1"/>
  <c r="H13"/>
  <c r="J13"/>
  <c r="L13"/>
  <c r="F14"/>
  <c r="K17"/>
  <c r="O17" s="1"/>
  <c r="S17" s="1"/>
  <c r="F30"/>
  <c r="AP30" s="1"/>
  <c r="AP28" s="1"/>
  <c r="K30"/>
  <c r="O30" s="1"/>
  <c r="F33"/>
  <c r="F52" s="1"/>
  <c r="K33"/>
  <c r="K34"/>
  <c r="K35"/>
  <c r="K36"/>
  <c r="K37"/>
  <c r="K38"/>
  <c r="K39"/>
  <c r="F48"/>
  <c r="AP48" s="1"/>
  <c r="G52"/>
  <c r="K52" s="1"/>
  <c r="AC52" s="1"/>
  <c r="AK52" s="1"/>
  <c r="F57"/>
  <c r="G57"/>
  <c r="H57"/>
  <c r="I57"/>
  <c r="J57"/>
  <c r="K58"/>
  <c r="AC58" s="1"/>
  <c r="K59"/>
  <c r="AC59" s="1"/>
  <c r="AK59" s="1"/>
  <c r="K60"/>
  <c r="AC60" s="1"/>
  <c r="AK60" s="1"/>
  <c r="K67"/>
  <c r="AC67" s="1"/>
  <c r="K68"/>
  <c r="AC68" s="1"/>
  <c r="AK68" s="1"/>
  <c r="K69"/>
  <c r="AC69" s="1"/>
  <c r="AK69" s="1"/>
  <c r="G45"/>
  <c r="I45" s="1"/>
  <c r="K45" s="1"/>
  <c r="O45" s="1"/>
  <c r="L45"/>
  <c r="J14" i="19"/>
  <c r="K21"/>
  <c r="K32"/>
  <c r="K28" i="18"/>
  <c r="J28"/>
  <c r="J45"/>
  <c r="J43" s="1"/>
  <c r="K45"/>
  <c r="K43" s="1"/>
  <c r="K33"/>
  <c r="J42"/>
  <c r="K21" i="17"/>
  <c r="K45"/>
  <c r="K43" s="1"/>
  <c r="G34"/>
  <c r="H29" i="1"/>
  <c r="H28" s="1"/>
  <c r="I48"/>
  <c r="J7"/>
  <c r="P7" s="1"/>
  <c r="V7" s="1"/>
  <c r="G14"/>
  <c r="N14" s="1"/>
  <c r="AQ14" s="1"/>
  <c r="N47" i="19"/>
  <c r="N48" s="1"/>
  <c r="N51" s="1"/>
  <c r="N67" s="1"/>
  <c r="N47" i="17"/>
  <c r="N48" s="1"/>
  <c r="N51" s="1"/>
  <c r="N67" s="1"/>
  <c r="I67" i="4"/>
  <c r="H14" i="22"/>
  <c r="K14" s="1"/>
  <c r="J32"/>
  <c r="G34"/>
  <c r="J33" i="21"/>
  <c r="J32"/>
  <c r="K21"/>
  <c r="K28"/>
  <c r="K18" s="1"/>
  <c r="K16" s="1"/>
  <c r="K42"/>
  <c r="G4"/>
  <c r="K33" i="20"/>
  <c r="J33"/>
  <c r="K32"/>
  <c r="K45"/>
  <c r="K43" s="1"/>
  <c r="J45"/>
  <c r="J43" s="1"/>
  <c r="J14"/>
  <c r="K28"/>
  <c r="J14" i="22"/>
  <c r="AA42" i="1"/>
  <c r="AA32" s="1"/>
  <c r="J21" i="23"/>
  <c r="J28"/>
  <c r="J18" s="1"/>
  <c r="J16" s="1"/>
  <c r="G20"/>
  <c r="J33"/>
  <c r="G34"/>
  <c r="J45"/>
  <c r="J43" s="1"/>
  <c r="N53"/>
  <c r="N55" i="24"/>
  <c r="N51"/>
  <c r="J32"/>
  <c r="K45"/>
  <c r="K43" s="1"/>
  <c r="J45"/>
  <c r="J43" s="1"/>
  <c r="K33"/>
  <c r="J33"/>
  <c r="K21"/>
  <c r="K42"/>
  <c r="K10" i="26"/>
  <c r="O10" s="1"/>
  <c r="S10" s="1"/>
  <c r="K12"/>
  <c r="O12" s="1"/>
  <c r="S12" s="1"/>
  <c r="W12" s="1"/>
  <c r="G32"/>
  <c r="K6"/>
  <c r="O6" s="1"/>
  <c r="S6" s="1"/>
  <c r="W6" s="1"/>
  <c r="T30"/>
  <c r="K73"/>
  <c r="F28"/>
  <c r="K43"/>
  <c r="G46"/>
  <c r="U46" s="1"/>
  <c r="O60"/>
  <c r="S60" s="1"/>
  <c r="W60" s="1"/>
  <c r="O74"/>
  <c r="S74" s="1"/>
  <c r="K13"/>
  <c r="O13" s="1"/>
  <c r="S13" s="1"/>
  <c r="T26"/>
  <c r="R30"/>
  <c r="U30"/>
  <c r="P40"/>
  <c r="O53"/>
  <c r="O54" s="1"/>
  <c r="N70"/>
  <c r="T70"/>
  <c r="O59"/>
  <c r="S59" s="1"/>
  <c r="W59" s="1"/>
  <c r="O67"/>
  <c r="V22"/>
  <c r="W52"/>
  <c r="P70"/>
  <c r="U70"/>
  <c r="S82"/>
  <c r="O77"/>
  <c r="S77" s="1"/>
  <c r="O75"/>
  <c r="S75" s="1"/>
  <c r="W75" s="1"/>
  <c r="W17"/>
  <c r="V45"/>
  <c r="M45"/>
  <c r="U45"/>
  <c r="R45"/>
  <c r="J45"/>
  <c r="G7"/>
  <c r="H9"/>
  <c r="G9"/>
  <c r="W24"/>
  <c r="W27"/>
  <c r="J7"/>
  <c r="J9"/>
  <c r="J8" s="1"/>
  <c r="H14"/>
  <c r="J14"/>
  <c r="L14"/>
  <c r="H21"/>
  <c r="H20" s="1"/>
  <c r="J21"/>
  <c r="J20" s="1"/>
  <c r="L21"/>
  <c r="L18" s="1"/>
  <c r="L16" s="1"/>
  <c r="H25"/>
  <c r="J25"/>
  <c r="L25"/>
  <c r="N25"/>
  <c r="P25"/>
  <c r="H29"/>
  <c r="H28" s="1"/>
  <c r="J29"/>
  <c r="J28" s="1"/>
  <c r="L29"/>
  <c r="L28" s="1"/>
  <c r="N29"/>
  <c r="P29"/>
  <c r="H45"/>
  <c r="L45"/>
  <c r="N45"/>
  <c r="I46"/>
  <c r="Q46"/>
  <c r="J48"/>
  <c r="W49"/>
  <c r="W61"/>
  <c r="G14"/>
  <c r="I14"/>
  <c r="K14" s="1"/>
  <c r="G21"/>
  <c r="R22"/>
  <c r="R20" s="1"/>
  <c r="T22"/>
  <c r="G25"/>
  <c r="I25"/>
  <c r="M25"/>
  <c r="Q25"/>
  <c r="G29"/>
  <c r="M29" s="1"/>
  <c r="I29"/>
  <c r="Q29"/>
  <c r="K40"/>
  <c r="M40"/>
  <c r="H46"/>
  <c r="J46"/>
  <c r="P46"/>
  <c r="T46"/>
  <c r="G48"/>
  <c r="U48" s="1"/>
  <c r="I48"/>
  <c r="N55" i="25"/>
  <c r="K32"/>
  <c r="J32"/>
  <c r="K33"/>
  <c r="J33"/>
  <c r="J14"/>
  <c r="K21"/>
  <c r="K28"/>
  <c r="K42"/>
  <c r="K57" i="1"/>
  <c r="O57"/>
  <c r="S57" s="1"/>
  <c r="I9"/>
  <c r="I8"/>
  <c r="H7"/>
  <c r="N7"/>
  <c r="H9"/>
  <c r="H8"/>
  <c r="G48"/>
  <c r="V48"/>
  <c r="G7"/>
  <c r="M7"/>
  <c r="S7" s="1"/>
  <c r="Y7" s="1"/>
  <c r="J45"/>
  <c r="F5"/>
  <c r="F8"/>
  <c r="F4" s="1"/>
  <c r="L4" s="1"/>
  <c r="H45"/>
  <c r="H46"/>
  <c r="J48"/>
  <c r="J9"/>
  <c r="J8"/>
  <c r="I7"/>
  <c r="O7"/>
  <c r="U7" s="1"/>
  <c r="J21"/>
  <c r="J29"/>
  <c r="J28" s="1"/>
  <c r="L9"/>
  <c r="L8" s="1"/>
  <c r="L21"/>
  <c r="L20" s="1"/>
  <c r="AA7"/>
  <c r="AA9"/>
  <c r="AA8" s="1"/>
  <c r="AA14"/>
  <c r="AB14"/>
  <c r="AA25"/>
  <c r="AA48"/>
  <c r="AB21"/>
  <c r="AB20" s="1"/>
  <c r="AB29"/>
  <c r="AB28" s="1"/>
  <c r="AD9"/>
  <c r="AD8" s="1"/>
  <c r="AD21"/>
  <c r="AD20" s="1"/>
  <c r="AD29"/>
  <c r="AD28" s="1"/>
  <c r="L7"/>
  <c r="R7" s="1"/>
  <c r="X7" s="1"/>
  <c r="L29"/>
  <c r="L28" s="1"/>
  <c r="L48"/>
  <c r="AB7"/>
  <c r="L14"/>
  <c r="AB25"/>
  <c r="AB48"/>
  <c r="S67" i="26"/>
  <c r="W67" s="1"/>
  <c r="V19"/>
  <c r="V20"/>
  <c r="W82"/>
  <c r="O40"/>
  <c r="S40" s="1"/>
  <c r="V40" s="1"/>
  <c r="W40" s="1"/>
  <c r="G28"/>
  <c r="T20"/>
  <c r="Q21"/>
  <c r="N21"/>
  <c r="N19" s="1"/>
  <c r="S22"/>
  <c r="Q14"/>
  <c r="Q4" s="1"/>
  <c r="M14"/>
  <c r="M4" s="1"/>
  <c r="G5"/>
  <c r="V12"/>
  <c r="L20"/>
  <c r="G8"/>
  <c r="G4" s="1"/>
  <c r="I5" i="1"/>
  <c r="H5"/>
  <c r="J20"/>
  <c r="K7"/>
  <c r="Q7" s="1"/>
  <c r="W7" s="1"/>
  <c r="J5"/>
  <c r="W74" i="26"/>
  <c r="N18"/>
  <c r="N16" s="1"/>
  <c r="Q19"/>
  <c r="Q20"/>
  <c r="Q18"/>
  <c r="Q16" s="1"/>
  <c r="U61" i="1"/>
  <c r="X61"/>
  <c r="U27"/>
  <c r="X27" s="1"/>
  <c r="U24"/>
  <c r="X24" s="1"/>
  <c r="U17"/>
  <c r="X17" s="1"/>
  <c r="N42"/>
  <c r="N4"/>
  <c r="AB9"/>
  <c r="AB5" s="1"/>
  <c r="AD7"/>
  <c r="J25"/>
  <c r="G32"/>
  <c r="AF42"/>
  <c r="O69"/>
  <c r="S69" s="1"/>
  <c r="O68"/>
  <c r="S68" s="1"/>
  <c r="O67"/>
  <c r="S67" s="1"/>
  <c r="S64"/>
  <c r="W46"/>
  <c r="W42" s="1"/>
  <c r="Q46"/>
  <c r="M46"/>
  <c r="W45"/>
  <c r="Q45"/>
  <c r="M45"/>
  <c r="Q40"/>
  <c r="M40"/>
  <c r="W30"/>
  <c r="P29"/>
  <c r="N29"/>
  <c r="T26"/>
  <c r="R26"/>
  <c r="S26" s="1"/>
  <c r="Q25"/>
  <c r="M25"/>
  <c r="W22"/>
  <c r="W20" s="1"/>
  <c r="X20"/>
  <c r="Q14"/>
  <c r="Q4" s="1"/>
  <c r="M14"/>
  <c r="M4" s="1"/>
  <c r="J19"/>
  <c r="J18" s="1"/>
  <c r="J16" s="1"/>
  <c r="O60"/>
  <c r="S60" s="1"/>
  <c r="O59"/>
  <c r="S59" s="1"/>
  <c r="O58"/>
  <c r="S58" s="1"/>
  <c r="V46"/>
  <c r="T46"/>
  <c r="Z46" s="1"/>
  <c r="R46"/>
  <c r="P46"/>
  <c r="V45"/>
  <c r="V42" s="1"/>
  <c r="T45"/>
  <c r="R45"/>
  <c r="P45"/>
  <c r="P42" s="1"/>
  <c r="V30"/>
  <c r="T30"/>
  <c r="R30"/>
  <c r="Q29"/>
  <c r="P25"/>
  <c r="N25"/>
  <c r="V22"/>
  <c r="V19" s="1"/>
  <c r="V18" s="1"/>
  <c r="V16" s="1"/>
  <c r="T22"/>
  <c r="T19" s="1"/>
  <c r="T18" s="1"/>
  <c r="T16" s="1"/>
  <c r="R22"/>
  <c r="R19" s="1"/>
  <c r="R18" s="1"/>
  <c r="R16" s="1"/>
  <c r="V14"/>
  <c r="V4" s="1"/>
  <c r="T14"/>
  <c r="T4" s="1"/>
  <c r="R14"/>
  <c r="R4" s="1"/>
  <c r="P14"/>
  <c r="P4" s="1"/>
  <c r="AA5"/>
  <c r="AA4" s="1"/>
  <c r="AD5"/>
  <c r="AD48"/>
  <c r="AA29"/>
  <c r="AA28" s="1"/>
  <c r="K10"/>
  <c r="AC10" s="1"/>
  <c r="AD25"/>
  <c r="AD19"/>
  <c r="AD18" s="1"/>
  <c r="AD16" s="1"/>
  <c r="K40"/>
  <c r="K44"/>
  <c r="AC44" s="1"/>
  <c r="AK44" s="1"/>
  <c r="AB19"/>
  <c r="AB18" s="1"/>
  <c r="AB16" s="1"/>
  <c r="J14"/>
  <c r="J4" s="1"/>
  <c r="K13"/>
  <c r="O13" s="1"/>
  <c r="S13" s="1"/>
  <c r="AA21"/>
  <c r="AA20" s="1"/>
  <c r="AA19" s="1"/>
  <c r="AA18" s="1"/>
  <c r="AA16" s="1"/>
  <c r="I42"/>
  <c r="L42"/>
  <c r="L32" s="1"/>
  <c r="AD6"/>
  <c r="AB42"/>
  <c r="AB32" s="1"/>
  <c r="AE42"/>
  <c r="AE32" s="1"/>
  <c r="AF32"/>
  <c r="J46"/>
  <c r="I46"/>
  <c r="K46" s="1"/>
  <c r="AD14"/>
  <c r="L25"/>
  <c r="L18" s="1"/>
  <c r="L16" s="1"/>
  <c r="AE6"/>
  <c r="AM6"/>
  <c r="AM4" s="1"/>
  <c r="AM50" s="1"/>
  <c r="AO6"/>
  <c r="AO4" s="1"/>
  <c r="AO50" s="1"/>
  <c r="AE9"/>
  <c r="AE8" s="1"/>
  <c r="AF14"/>
  <c r="AF48"/>
  <c r="AF6"/>
  <c r="AL6"/>
  <c r="AE7"/>
  <c r="AC40"/>
  <c r="AK40" s="1"/>
  <c r="O40"/>
  <c r="S40" s="1"/>
  <c r="O10"/>
  <c r="S10" s="1"/>
  <c r="S22"/>
  <c r="U22" s="1"/>
  <c r="X22" s="1"/>
  <c r="U64"/>
  <c r="X64"/>
  <c r="AB8"/>
  <c r="M42"/>
  <c r="T42"/>
  <c r="Z45"/>
  <c r="T20"/>
  <c r="O63"/>
  <c r="S63" s="1"/>
  <c r="I32"/>
  <c r="L19"/>
  <c r="AB45"/>
  <c r="AD45"/>
  <c r="AC45"/>
  <c r="N55" i="27"/>
  <c r="N47"/>
  <c r="N48" s="1"/>
  <c r="N51" s="1"/>
  <c r="K32"/>
  <c r="J32"/>
  <c r="K45"/>
  <c r="K43" s="1"/>
  <c r="J45"/>
  <c r="J43" s="1"/>
  <c r="K33"/>
  <c r="J33"/>
  <c r="J14"/>
  <c r="K21"/>
  <c r="K28"/>
  <c r="K42"/>
  <c r="O53" i="1"/>
  <c r="S53" s="1"/>
  <c r="X57" l="1"/>
  <c r="U57"/>
  <c r="AK58"/>
  <c r="AC57"/>
  <c r="AK57" s="1"/>
  <c r="U19" i="26"/>
  <c r="U18" s="1"/>
  <c r="U16" s="1"/>
  <c r="W22"/>
  <c r="U40" i="1"/>
  <c r="W40"/>
  <c r="W77" i="26"/>
  <c r="S73"/>
  <c r="AK67" i="1"/>
  <c r="AC63"/>
  <c r="AK63" s="1"/>
  <c r="K5" i="18"/>
  <c r="I5"/>
  <c r="L5" s="1"/>
  <c r="J5"/>
  <c r="J32"/>
  <c r="K32"/>
  <c r="J28" i="22"/>
  <c r="K28"/>
  <c r="U42" i="26"/>
  <c r="AP5" i="1"/>
  <c r="K11"/>
  <c r="V6"/>
  <c r="AR19"/>
  <c r="AR18" s="1"/>
  <c r="AR16" s="1"/>
  <c r="AQ18"/>
  <c r="AQ16" s="1"/>
  <c r="AP8"/>
  <c r="G4" i="27"/>
  <c r="AZ47" i="1"/>
  <c r="BB32"/>
  <c r="BB5"/>
  <c r="S30"/>
  <c r="K18" i="27"/>
  <c r="K16" s="1"/>
  <c r="V20" i="1"/>
  <c r="R20"/>
  <c r="L50"/>
  <c r="L51" s="1"/>
  <c r="L54" s="1"/>
  <c r="L70" s="1"/>
  <c r="AB4"/>
  <c r="AB47" s="1"/>
  <c r="AC7"/>
  <c r="R19" i="26"/>
  <c r="R18" s="1"/>
  <c r="R16" s="1"/>
  <c r="V18"/>
  <c r="V16" s="1"/>
  <c r="O73"/>
  <c r="L5" i="1"/>
  <c r="K18" i="25"/>
  <c r="K16" s="1"/>
  <c r="R46" i="26"/>
  <c r="N46"/>
  <c r="N42" s="1"/>
  <c r="T19"/>
  <c r="T18" s="1"/>
  <c r="T16" s="1"/>
  <c r="V46"/>
  <c r="V42" s="1"/>
  <c r="M46"/>
  <c r="M42" s="1"/>
  <c r="J19"/>
  <c r="J18" s="1"/>
  <c r="J16" s="1"/>
  <c r="H25" i="1"/>
  <c r="G9"/>
  <c r="K63"/>
  <c r="J14" i="17"/>
  <c r="AF9" i="1"/>
  <c r="AF8" s="1"/>
  <c r="AF7"/>
  <c r="K6"/>
  <c r="H5" i="4"/>
  <c r="M67"/>
  <c r="I14" i="17"/>
  <c r="G43"/>
  <c r="H21" i="18"/>
  <c r="G27"/>
  <c r="G18" s="1"/>
  <c r="G16" s="1"/>
  <c r="I67"/>
  <c r="I14" i="19"/>
  <c r="G43"/>
  <c r="N47" i="4"/>
  <c r="N48" s="1"/>
  <c r="N51" s="1"/>
  <c r="G5" i="20"/>
  <c r="G34"/>
  <c r="N47"/>
  <c r="N48" s="1"/>
  <c r="N51" s="1"/>
  <c r="N67" s="1"/>
  <c r="G20" i="21"/>
  <c r="J18"/>
  <c r="J16" s="1"/>
  <c r="G27" i="22"/>
  <c r="G18" s="1"/>
  <c r="G16" s="1"/>
  <c r="G5" i="24"/>
  <c r="I69"/>
  <c r="G20" i="25"/>
  <c r="I69"/>
  <c r="K11" i="26"/>
  <c r="O11" s="1"/>
  <c r="S11" s="1"/>
  <c r="U20"/>
  <c r="N70" i="1"/>
  <c r="Y42"/>
  <c r="Y32" s="1"/>
  <c r="AW18"/>
  <c r="AW16" s="1"/>
  <c r="AJ8"/>
  <c r="AN4"/>
  <c r="AN50" s="1"/>
  <c r="BA47"/>
  <c r="BB16"/>
  <c r="AV47"/>
  <c r="AX50"/>
  <c r="W10"/>
  <c r="U10"/>
  <c r="X10"/>
  <c r="AK10"/>
  <c r="AB46"/>
  <c r="AD46" s="1"/>
  <c r="AC46"/>
  <c r="U26"/>
  <c r="X26" s="1"/>
  <c r="J32"/>
  <c r="J47" s="1"/>
  <c r="K42"/>
  <c r="O42" s="1"/>
  <c r="N53" i="24"/>
  <c r="N69"/>
  <c r="AP14" i="1"/>
  <c r="AE14"/>
  <c r="H14"/>
  <c r="I14"/>
  <c r="J32" i="4"/>
  <c r="K32"/>
  <c r="K14"/>
  <c r="J14"/>
  <c r="AP22" i="1"/>
  <c r="AF22"/>
  <c r="AK22" s="1"/>
  <c r="H28" i="17"/>
  <c r="G27"/>
  <c r="G18" s="1"/>
  <c r="G16" s="1"/>
  <c r="J32"/>
  <c r="K32"/>
  <c r="G49" i="18"/>
  <c r="G34"/>
  <c r="J45" i="19"/>
  <c r="J43" s="1"/>
  <c r="K45"/>
  <c r="K43" s="1"/>
  <c r="H14" i="21"/>
  <c r="I14"/>
  <c r="K5" i="22"/>
  <c r="J5"/>
  <c r="H21"/>
  <c r="G20"/>
  <c r="K33"/>
  <c r="J33"/>
  <c r="K45"/>
  <c r="K43" s="1"/>
  <c r="J45"/>
  <c r="J43" s="1"/>
  <c r="H5" i="23"/>
  <c r="G5"/>
  <c r="I14"/>
  <c r="H14"/>
  <c r="K14" i="24"/>
  <c r="M14" s="1"/>
  <c r="J14"/>
  <c r="J28"/>
  <c r="K28"/>
  <c r="G49" i="25"/>
  <c r="G34"/>
  <c r="H45"/>
  <c r="G43"/>
  <c r="L9" i="26"/>
  <c r="L8" s="1"/>
  <c r="F8"/>
  <c r="I9"/>
  <c r="F20"/>
  <c r="F19" s="1"/>
  <c r="F18" s="1"/>
  <c r="F16" s="1"/>
  <c r="I21"/>
  <c r="K63"/>
  <c r="O69"/>
  <c r="S69" s="1"/>
  <c r="W69" s="1"/>
  <c r="X40" i="1"/>
  <c r="K32"/>
  <c r="O54"/>
  <c r="S54" s="1"/>
  <c r="AE5"/>
  <c r="AD4"/>
  <c r="AB50"/>
  <c r="AB51" s="1"/>
  <c r="AB54" s="1"/>
  <c r="AB70" s="1"/>
  <c r="S45"/>
  <c r="R42"/>
  <c r="W19"/>
  <c r="W18" s="1"/>
  <c r="W16" s="1"/>
  <c r="Q42"/>
  <c r="S53" i="26"/>
  <c r="W53" s="1"/>
  <c r="K46"/>
  <c r="O46" s="1"/>
  <c r="S46" s="1"/>
  <c r="W46" s="1"/>
  <c r="K18" i="24"/>
  <c r="K16" s="1"/>
  <c r="O6" i="1"/>
  <c r="S6" s="1"/>
  <c r="K33" i="4"/>
  <c r="K12" i="1"/>
  <c r="N67" i="4"/>
  <c r="M67" i="17"/>
  <c r="G5" i="21"/>
  <c r="I67" i="22"/>
  <c r="J18" i="24"/>
  <c r="J16" s="1"/>
  <c r="G34"/>
  <c r="S30" i="26"/>
  <c r="W30" s="1"/>
  <c r="W70" i="1"/>
  <c r="Q70"/>
  <c r="Y70"/>
  <c r="G47" i="27"/>
  <c r="G48" s="1"/>
  <c r="AU47" i="1"/>
  <c r="AS47"/>
  <c r="AY47"/>
  <c r="BB47" s="1"/>
  <c r="AT47"/>
  <c r="BB18"/>
  <c r="BB8"/>
  <c r="W13" i="26"/>
  <c r="V13"/>
  <c r="G20" i="4"/>
  <c r="H21"/>
  <c r="AE21" i="1"/>
  <c r="AE20" s="1"/>
  <c r="G21"/>
  <c r="H21"/>
  <c r="H20" s="1"/>
  <c r="H19" s="1"/>
  <c r="H18" s="1"/>
  <c r="I21"/>
  <c r="I20" s="1"/>
  <c r="I19" s="1"/>
  <c r="AE29"/>
  <c r="AE28" s="1"/>
  <c r="I29"/>
  <c r="I28" s="1"/>
  <c r="G29"/>
  <c r="AE25"/>
  <c r="G25"/>
  <c r="K25" s="1"/>
  <c r="H28" i="19"/>
  <c r="G27"/>
  <c r="G18" s="1"/>
  <c r="G16" s="1"/>
  <c r="G49"/>
  <c r="G34"/>
  <c r="J21" i="20"/>
  <c r="J18" s="1"/>
  <c r="J16" s="1"/>
  <c r="K21"/>
  <c r="K18" s="1"/>
  <c r="K16" s="1"/>
  <c r="J42"/>
  <c r="K42"/>
  <c r="K5" i="21"/>
  <c r="J5"/>
  <c r="I5"/>
  <c r="L5" s="1"/>
  <c r="M5" s="1"/>
  <c r="G49"/>
  <c r="G34"/>
  <c r="G47" s="1"/>
  <c r="G48" s="1"/>
  <c r="H45"/>
  <c r="G43"/>
  <c r="K32" i="23"/>
  <c r="J32"/>
  <c r="U6" i="26"/>
  <c r="V6"/>
  <c r="F4"/>
  <c r="F5"/>
  <c r="I7"/>
  <c r="O7" s="1"/>
  <c r="H7"/>
  <c r="N7" s="1"/>
  <c r="T7" s="1"/>
  <c r="L7"/>
  <c r="J42"/>
  <c r="K44"/>
  <c r="Q45"/>
  <c r="Q42" s="1"/>
  <c r="I45"/>
  <c r="K45" s="1"/>
  <c r="O45" s="1"/>
  <c r="T45"/>
  <c r="T42" s="1"/>
  <c r="P45"/>
  <c r="P42" s="1"/>
  <c r="H48"/>
  <c r="K48" s="1"/>
  <c r="O48" s="1"/>
  <c r="S48" s="1"/>
  <c r="V48" s="1"/>
  <c r="L48"/>
  <c r="O58"/>
  <c r="S58" s="1"/>
  <c r="W58" s="1"/>
  <c r="K57"/>
  <c r="O57" s="1"/>
  <c r="S57" s="1"/>
  <c r="W57" s="1"/>
  <c r="L47" i="1"/>
  <c r="AD47"/>
  <c r="I4"/>
  <c r="J4" i="22"/>
  <c r="G47"/>
  <c r="G48" s="1"/>
  <c r="N47"/>
  <c r="N48" s="1"/>
  <c r="N51" s="1"/>
  <c r="N67" s="1"/>
  <c r="H32" i="26"/>
  <c r="M70"/>
  <c r="R70"/>
  <c r="AW47" i="1"/>
  <c r="AW8"/>
  <c r="AW4" s="1"/>
  <c r="AW50" s="1"/>
  <c r="AL4"/>
  <c r="AL50" s="1"/>
  <c r="AS50"/>
  <c r="AO47"/>
  <c r="AM47"/>
  <c r="AW5"/>
  <c r="R42" i="26"/>
  <c r="L19"/>
  <c r="O63"/>
  <c r="S63" s="1"/>
  <c r="W63" s="1"/>
  <c r="G27" i="4"/>
  <c r="G18" s="1"/>
  <c r="G16" s="1"/>
  <c r="G4" i="20"/>
  <c r="G27"/>
  <c r="G18" s="1"/>
  <c r="G16" s="1"/>
  <c r="I67"/>
  <c r="G4" i="23"/>
  <c r="G4" i="24"/>
  <c r="G27"/>
  <c r="G18" s="1"/>
  <c r="G16" s="1"/>
  <c r="N47" i="25"/>
  <c r="N48" s="1"/>
  <c r="N51" s="1"/>
  <c r="J18"/>
  <c r="J16" s="1"/>
  <c r="W20" i="26"/>
  <c r="V8" i="1"/>
  <c r="R8"/>
  <c r="P8"/>
  <c r="M8"/>
  <c r="T8"/>
  <c r="Q8"/>
  <c r="N8"/>
  <c r="AQ42"/>
  <c r="AQ32" s="1"/>
  <c r="AJ5"/>
  <c r="AJ20"/>
  <c r="AJ19" s="1"/>
  <c r="AJ4"/>
  <c r="BB4"/>
  <c r="BB50"/>
  <c r="AV70"/>
  <c r="AU70"/>
  <c r="AJ28"/>
  <c r="N69" i="27"/>
  <c r="N53"/>
  <c r="AA47" i="1"/>
  <c r="AA50"/>
  <c r="AA51" s="1"/>
  <c r="AA54" s="1"/>
  <c r="AA70" s="1"/>
  <c r="X13"/>
  <c r="W13"/>
  <c r="U13"/>
  <c r="H16"/>
  <c r="Y45"/>
  <c r="AA45" s="1"/>
  <c r="U45"/>
  <c r="X45" s="1"/>
  <c r="U30"/>
  <c r="X30" s="1"/>
  <c r="AD50"/>
  <c r="AD51" s="1"/>
  <c r="AD54" s="1"/>
  <c r="AD70" s="1"/>
  <c r="J50"/>
  <c r="J51" s="1"/>
  <c r="J54" s="1"/>
  <c r="J70" s="1"/>
  <c r="W10" i="26"/>
  <c r="V10"/>
  <c r="AQ7" i="1"/>
  <c r="T7"/>
  <c r="Z7" s="1"/>
  <c r="I28" i="26"/>
  <c r="K28" s="1"/>
  <c r="O28" s="1"/>
  <c r="S28" s="1"/>
  <c r="W28" s="1"/>
  <c r="K29"/>
  <c r="O29" s="1"/>
  <c r="S29" s="1"/>
  <c r="W29" s="1"/>
  <c r="M21"/>
  <c r="P21"/>
  <c r="G20"/>
  <c r="G19" s="1"/>
  <c r="U14"/>
  <c r="U4" s="1"/>
  <c r="T14"/>
  <c r="T4" s="1"/>
  <c r="R14"/>
  <c r="R4" s="1"/>
  <c r="P14"/>
  <c r="P4" s="1"/>
  <c r="N14"/>
  <c r="P7"/>
  <c r="U7" s="1"/>
  <c r="J5"/>
  <c r="J4" s="1"/>
  <c r="I8"/>
  <c r="I5"/>
  <c r="I4" s="1"/>
  <c r="S54"/>
  <c r="W54" s="1"/>
  <c r="O70"/>
  <c r="S70" s="1"/>
  <c r="W70" s="1"/>
  <c r="K45" i="4"/>
  <c r="K43" s="1"/>
  <c r="J45"/>
  <c r="J43" s="1"/>
  <c r="H8" i="26"/>
  <c r="H5"/>
  <c r="M7"/>
  <c r="S7" s="1"/>
  <c r="K7"/>
  <c r="Q7" s="1"/>
  <c r="V7" s="1"/>
  <c r="J47" i="22"/>
  <c r="J48" s="1"/>
  <c r="J51" s="1"/>
  <c r="J67" s="1"/>
  <c r="K4"/>
  <c r="L4" s="1"/>
  <c r="L47" s="1"/>
  <c r="L48" s="1"/>
  <c r="M14"/>
  <c r="J5" i="4"/>
  <c r="J4" s="1"/>
  <c r="H47"/>
  <c r="H48" s="1"/>
  <c r="I5"/>
  <c r="L5" s="1"/>
  <c r="K5"/>
  <c r="K4" s="1"/>
  <c r="J33" i="17"/>
  <c r="K33"/>
  <c r="J33" i="19"/>
  <c r="K33"/>
  <c r="O70" i="1"/>
  <c r="AK45"/>
  <c r="AK46"/>
  <c r="W48" i="26"/>
  <c r="AK7" i="1"/>
  <c r="K25" i="26"/>
  <c r="O25" s="1"/>
  <c r="S25" s="1"/>
  <c r="W25" s="1"/>
  <c r="H19"/>
  <c r="H18" s="1"/>
  <c r="H16" s="1"/>
  <c r="K9"/>
  <c r="O9" s="1"/>
  <c r="I5" i="23"/>
  <c r="K5"/>
  <c r="G5" i="4"/>
  <c r="G4"/>
  <c r="G47" s="1"/>
  <c r="G48" s="1"/>
  <c r="G43"/>
  <c r="AK6" i="1"/>
  <c r="G4" i="17"/>
  <c r="G47" s="1"/>
  <c r="G48" s="1"/>
  <c r="H5"/>
  <c r="J42"/>
  <c r="K42"/>
  <c r="G8" i="18"/>
  <c r="G4" s="1"/>
  <c r="G47" s="1"/>
  <c r="G48" s="1"/>
  <c r="G5"/>
  <c r="G4" i="19"/>
  <c r="G47" s="1"/>
  <c r="G48" s="1"/>
  <c r="H5"/>
  <c r="J42"/>
  <c r="K42"/>
  <c r="AR6" i="1"/>
  <c r="AR4" s="1"/>
  <c r="AP6"/>
  <c r="AP4" s="1"/>
  <c r="AP50" s="1"/>
  <c r="AQ6"/>
  <c r="H48"/>
  <c r="K48" s="1"/>
  <c r="K43"/>
  <c r="AC43" s="1"/>
  <c r="F28"/>
  <c r="F18" s="1"/>
  <c r="F16" s="1"/>
  <c r="L46"/>
  <c r="O46" s="1"/>
  <c r="S46" s="1"/>
  <c r="AE48"/>
  <c r="AF30"/>
  <c r="G49" i="4"/>
  <c r="H28"/>
  <c r="AF20" i="1"/>
  <c r="AP20"/>
  <c r="AP19" s="1"/>
  <c r="AP18" s="1"/>
  <c r="AP16" s="1"/>
  <c r="AF26"/>
  <c r="AK26" s="1"/>
  <c r="H14" i="18"/>
  <c r="G43"/>
  <c r="AK13" i="1"/>
  <c r="G47" i="25"/>
  <c r="G48" s="1"/>
  <c r="AJ18" i="1"/>
  <c r="AJ16" s="1"/>
  <c r="AJ47" s="1"/>
  <c r="H5" i="20"/>
  <c r="I14"/>
  <c r="G20"/>
  <c r="G43"/>
  <c r="I5" i="22"/>
  <c r="L5" s="1"/>
  <c r="M5" s="1"/>
  <c r="K42"/>
  <c r="G27" i="23"/>
  <c r="G18" s="1"/>
  <c r="G16" s="1"/>
  <c r="G47" s="1"/>
  <c r="G48" s="1"/>
  <c r="H5" i="24"/>
  <c r="I14"/>
  <c r="G20"/>
  <c r="G43"/>
  <c r="H5" i="25"/>
  <c r="I14"/>
  <c r="X66" i="1"/>
  <c r="V70"/>
  <c r="R70"/>
  <c r="P70"/>
  <c r="M70"/>
  <c r="H5" i="27"/>
  <c r="I14"/>
  <c r="G20"/>
  <c r="G43"/>
  <c r="X65" i="1"/>
  <c r="U65"/>
  <c r="U54"/>
  <c r="X54"/>
  <c r="U58"/>
  <c r="X58"/>
  <c r="U60"/>
  <c r="X60"/>
  <c r="X68"/>
  <c r="U68"/>
  <c r="X53"/>
  <c r="U53"/>
  <c r="U63"/>
  <c r="X63"/>
  <c r="U59"/>
  <c r="X59"/>
  <c r="U67"/>
  <c r="X67"/>
  <c r="U69"/>
  <c r="X69"/>
  <c r="AK53"/>
  <c r="V11" i="26" l="1"/>
  <c r="W11"/>
  <c r="J21" i="18"/>
  <c r="J18" s="1"/>
  <c r="J16" s="1"/>
  <c r="K21"/>
  <c r="K18" s="1"/>
  <c r="K16" s="1"/>
  <c r="G5" i="1"/>
  <c r="K5" s="1"/>
  <c r="O5" s="1"/>
  <c r="S5" s="1"/>
  <c r="U5" s="1"/>
  <c r="G8"/>
  <c r="K9"/>
  <c r="AC11"/>
  <c r="AK11" s="1"/>
  <c r="O11"/>
  <c r="S11" s="1"/>
  <c r="AP47"/>
  <c r="AE19"/>
  <c r="AE4"/>
  <c r="AF5"/>
  <c r="AF4" s="1"/>
  <c r="AN47"/>
  <c r="AJ50"/>
  <c r="AJ74" s="1"/>
  <c r="AR50"/>
  <c r="AR51" s="1"/>
  <c r="AR54" s="1"/>
  <c r="AR47"/>
  <c r="AQ5"/>
  <c r="AQ4"/>
  <c r="AQ50" s="1"/>
  <c r="AQ51" s="1"/>
  <c r="AQ54" s="1"/>
  <c r="AQ70" s="1"/>
  <c r="K42" i="26"/>
  <c r="O42" s="1"/>
  <c r="S42" s="1"/>
  <c r="W42" s="1"/>
  <c r="J32"/>
  <c r="K32" s="1"/>
  <c r="O25" i="1"/>
  <c r="S25" s="1"/>
  <c r="U25" s="1"/>
  <c r="X25" s="1"/>
  <c r="AC25"/>
  <c r="AK25" s="1"/>
  <c r="M29"/>
  <c r="G28"/>
  <c r="K28" s="1"/>
  <c r="O28" s="1"/>
  <c r="S28" s="1"/>
  <c r="K29"/>
  <c r="K21" i="26"/>
  <c r="K20" s="1"/>
  <c r="I20"/>
  <c r="I19" s="1"/>
  <c r="I18" s="1"/>
  <c r="I16" s="1"/>
  <c r="I47" s="1"/>
  <c r="J45" i="25"/>
  <c r="J43" s="1"/>
  <c r="K45"/>
  <c r="K43" s="1"/>
  <c r="H47" i="23"/>
  <c r="H48" s="1"/>
  <c r="J5"/>
  <c r="J21" i="22"/>
  <c r="J18" s="1"/>
  <c r="J16" s="1"/>
  <c r="K21"/>
  <c r="K18" s="1"/>
  <c r="K16" s="1"/>
  <c r="AE18" i="1"/>
  <c r="AE16" s="1"/>
  <c r="AL47"/>
  <c r="N69" i="25"/>
  <c r="N53"/>
  <c r="R7" i="26"/>
  <c r="W7" s="1"/>
  <c r="L5"/>
  <c r="F50"/>
  <c r="F51" s="1"/>
  <c r="L4"/>
  <c r="K45" i="21"/>
  <c r="K43" s="1"/>
  <c r="J45"/>
  <c r="J43" s="1"/>
  <c r="J28" i="19"/>
  <c r="J18" s="1"/>
  <c r="J16" s="1"/>
  <c r="K28"/>
  <c r="K18" s="1"/>
  <c r="K16" s="1"/>
  <c r="N21" i="1"/>
  <c r="K21"/>
  <c r="Q21"/>
  <c r="P21"/>
  <c r="G20"/>
  <c r="G19" s="1"/>
  <c r="M21"/>
  <c r="J21" i="4"/>
  <c r="K21"/>
  <c r="AC12" i="1"/>
  <c r="O12"/>
  <c r="X6"/>
  <c r="U6"/>
  <c r="K14" i="23"/>
  <c r="M14" s="1"/>
  <c r="J14"/>
  <c r="J4" s="1"/>
  <c r="J47" s="1"/>
  <c r="J48" s="1"/>
  <c r="J51" s="1"/>
  <c r="J69" s="1"/>
  <c r="K14" i="21"/>
  <c r="M14" s="1"/>
  <c r="J14"/>
  <c r="J4" s="1"/>
  <c r="J28" i="17"/>
  <c r="J18" s="1"/>
  <c r="J16" s="1"/>
  <c r="K28"/>
  <c r="K18" s="1"/>
  <c r="K16" s="1"/>
  <c r="H4" i="1"/>
  <c r="K14"/>
  <c r="AE50"/>
  <c r="AE51" s="1"/>
  <c r="AE54" s="1"/>
  <c r="AE70" s="1"/>
  <c r="K8" i="26"/>
  <c r="J50"/>
  <c r="J51" s="1"/>
  <c r="J54" s="1"/>
  <c r="J70" s="1"/>
  <c r="AQ47" i="1"/>
  <c r="G47" i="24"/>
  <c r="G48" s="1"/>
  <c r="G47" i="20"/>
  <c r="G48" s="1"/>
  <c r="S45" i="26"/>
  <c r="W45" s="1"/>
  <c r="H47" i="21"/>
  <c r="H48" s="1"/>
  <c r="I18" i="1"/>
  <c r="I16" s="1"/>
  <c r="F47" i="26"/>
  <c r="H47" i="22"/>
  <c r="H48" s="1"/>
  <c r="S42" i="1"/>
  <c r="AT70"/>
  <c r="AW70" s="1"/>
  <c r="U46"/>
  <c r="Y46"/>
  <c r="AA46" s="1"/>
  <c r="X46"/>
  <c r="F50"/>
  <c r="F47"/>
  <c r="K5" i="27"/>
  <c r="K4" s="1"/>
  <c r="K47" s="1"/>
  <c r="K48" s="1"/>
  <c r="K51" s="1"/>
  <c r="K69" s="1"/>
  <c r="J5"/>
  <c r="J4" s="1"/>
  <c r="H47"/>
  <c r="H48" s="1"/>
  <c r="I5"/>
  <c r="K5" i="20"/>
  <c r="K4" s="1"/>
  <c r="K47" s="1"/>
  <c r="K48" s="1"/>
  <c r="K51" s="1"/>
  <c r="K67" s="1"/>
  <c r="J5"/>
  <c r="J4" s="1"/>
  <c r="H47"/>
  <c r="H48" s="1"/>
  <c r="I5"/>
  <c r="AK30" i="1"/>
  <c r="AF28"/>
  <c r="K5" i="25"/>
  <c r="K4" s="1"/>
  <c r="K47" s="1"/>
  <c r="K48" s="1"/>
  <c r="K51" s="1"/>
  <c r="K69" s="1"/>
  <c r="J5"/>
  <c r="J4" s="1"/>
  <c r="H47"/>
  <c r="H48" s="1"/>
  <c r="I5"/>
  <c r="K5" i="24"/>
  <c r="K4" s="1"/>
  <c r="K47" s="1"/>
  <c r="K48" s="1"/>
  <c r="K51" s="1"/>
  <c r="K69" s="1"/>
  <c r="H47"/>
  <c r="H48" s="1"/>
  <c r="I5"/>
  <c r="J5"/>
  <c r="J4" s="1"/>
  <c r="K14" i="18"/>
  <c r="K4" s="1"/>
  <c r="K47" s="1"/>
  <c r="K48" s="1"/>
  <c r="K51" s="1"/>
  <c r="K67" s="1"/>
  <c r="H47"/>
  <c r="H48" s="1"/>
  <c r="J14"/>
  <c r="J4" s="1"/>
  <c r="K28" i="4"/>
  <c r="K18" s="1"/>
  <c r="K16" s="1"/>
  <c r="J28"/>
  <c r="J18" s="1"/>
  <c r="J16" s="1"/>
  <c r="O48" i="1"/>
  <c r="S48" s="1"/>
  <c r="AC48"/>
  <c r="AK48" s="1"/>
  <c r="K48" i="4"/>
  <c r="K51" s="1"/>
  <c r="K67" s="1"/>
  <c r="K47"/>
  <c r="H4" i="26"/>
  <c r="H47" s="1"/>
  <c r="K5"/>
  <c r="O5" s="1"/>
  <c r="S5" s="1"/>
  <c r="O14"/>
  <c r="S14" s="1"/>
  <c r="N4"/>
  <c r="P20"/>
  <c r="P18"/>
  <c r="P16" s="1"/>
  <c r="P19"/>
  <c r="AP51" i="1"/>
  <c r="AP54" s="1"/>
  <c r="AP70" s="1"/>
  <c r="L5" i="23"/>
  <c r="M5" s="1"/>
  <c r="I50" i="26"/>
  <c r="I51" s="1"/>
  <c r="I54" s="1"/>
  <c r="I70" s="1"/>
  <c r="J47"/>
  <c r="AK43" i="1"/>
  <c r="AC42"/>
  <c r="J5" i="19"/>
  <c r="J4" s="1"/>
  <c r="H47"/>
  <c r="H48" s="1"/>
  <c r="K5"/>
  <c r="K4" s="1"/>
  <c r="K47" s="1"/>
  <c r="K48" s="1"/>
  <c r="K51" s="1"/>
  <c r="K67" s="1"/>
  <c r="I5"/>
  <c r="J5" i="17"/>
  <c r="J4" s="1"/>
  <c r="H47"/>
  <c r="H48" s="1"/>
  <c r="K5"/>
  <c r="K4" s="1"/>
  <c r="K47" s="1"/>
  <c r="K48" s="1"/>
  <c r="K51" s="1"/>
  <c r="K67" s="1"/>
  <c r="I5"/>
  <c r="O8" i="26"/>
  <c r="S9"/>
  <c r="S70" i="1"/>
  <c r="O72"/>
  <c r="J48" i="4"/>
  <c r="J51" s="1"/>
  <c r="J67" s="1"/>
  <c r="J47"/>
  <c r="L4"/>
  <c r="K19" i="26"/>
  <c r="G18"/>
  <c r="O21"/>
  <c r="M19"/>
  <c r="M18"/>
  <c r="M16" s="1"/>
  <c r="H50" i="1"/>
  <c r="H47"/>
  <c r="AF19"/>
  <c r="AF18" s="1"/>
  <c r="AF16" s="1"/>
  <c r="K47" i="22"/>
  <c r="K48" s="1"/>
  <c r="K51" s="1"/>
  <c r="K67" s="1"/>
  <c r="X11" i="1" l="1"/>
  <c r="U11"/>
  <c r="W11"/>
  <c r="O9"/>
  <c r="S9" s="1"/>
  <c r="AC9"/>
  <c r="AK9" s="1"/>
  <c r="L5" i="24"/>
  <c r="M5" s="1"/>
  <c r="AE47" i="1"/>
  <c r="K8"/>
  <c r="G4"/>
  <c r="K4" s="1"/>
  <c r="O4" s="1"/>
  <c r="S4" s="1"/>
  <c r="U4" s="1"/>
  <c r="J47" i="21"/>
  <c r="J48" s="1"/>
  <c r="J51" s="1"/>
  <c r="J67" s="1"/>
  <c r="I50" i="1"/>
  <c r="I51" s="1"/>
  <c r="I54" s="1"/>
  <c r="I70" s="1"/>
  <c r="I47"/>
  <c r="AK12"/>
  <c r="AC5"/>
  <c r="AC8"/>
  <c r="G18"/>
  <c r="K19"/>
  <c r="Q19"/>
  <c r="Q18"/>
  <c r="Q16" s="1"/>
  <c r="Q20"/>
  <c r="N18"/>
  <c r="N16" s="1"/>
  <c r="N19"/>
  <c r="U28"/>
  <c r="X28" s="1"/>
  <c r="K4" i="23"/>
  <c r="X42" i="1"/>
  <c r="U42"/>
  <c r="O14"/>
  <c r="S14" s="1"/>
  <c r="AC14"/>
  <c r="AK14" s="1"/>
  <c r="O8"/>
  <c r="S12"/>
  <c r="M19"/>
  <c r="M18"/>
  <c r="M16" s="1"/>
  <c r="P18"/>
  <c r="P16" s="1"/>
  <c r="P20"/>
  <c r="P19"/>
  <c r="K20"/>
  <c r="O21"/>
  <c r="AC21"/>
  <c r="L50" i="26"/>
  <c r="L51" s="1"/>
  <c r="L54" s="1"/>
  <c r="L70" s="1"/>
  <c r="L47"/>
  <c r="O29" i="1"/>
  <c r="S29" s="1"/>
  <c r="AC29"/>
  <c r="L5" i="17"/>
  <c r="M5" s="1"/>
  <c r="L5" i="19"/>
  <c r="M5" s="1"/>
  <c r="K4" i="21"/>
  <c r="K47" s="1"/>
  <c r="K48" s="1"/>
  <c r="K51" s="1"/>
  <c r="K67" s="1"/>
  <c r="AF47" i="1"/>
  <c r="AF50"/>
  <c r="AF51" s="1"/>
  <c r="AF54" s="1"/>
  <c r="AF70" s="1"/>
  <c r="H51"/>
  <c r="K18" i="26"/>
  <c r="O18" s="1"/>
  <c r="S18" s="1"/>
  <c r="W18" s="1"/>
  <c r="G16"/>
  <c r="L48" i="4"/>
  <c r="L51" s="1"/>
  <c r="L67" s="1"/>
  <c r="L47"/>
  <c r="X70" i="1"/>
  <c r="U70"/>
  <c r="J47" i="17"/>
  <c r="J48" s="1"/>
  <c r="J51" s="1"/>
  <c r="J67" s="1"/>
  <c r="L4"/>
  <c r="L47" s="1"/>
  <c r="L48" s="1"/>
  <c r="J47" i="19"/>
  <c r="J48" s="1"/>
  <c r="J51" s="1"/>
  <c r="J67" s="1"/>
  <c r="L4"/>
  <c r="L47" s="1"/>
  <c r="L48" s="1"/>
  <c r="V14" i="26"/>
  <c r="V4" s="1"/>
  <c r="H50"/>
  <c r="H51" s="1"/>
  <c r="H54" s="1"/>
  <c r="H70" s="1"/>
  <c r="K4"/>
  <c r="O4" s="1"/>
  <c r="S4" s="1"/>
  <c r="U48" i="1"/>
  <c r="X48" s="1"/>
  <c r="W48"/>
  <c r="J47" i="24"/>
  <c r="J48" s="1"/>
  <c r="J51" s="1"/>
  <c r="J69" s="1"/>
  <c r="L4"/>
  <c r="L47" s="1"/>
  <c r="L48" s="1"/>
  <c r="L51" s="1"/>
  <c r="L69" s="1"/>
  <c r="L4" i="25"/>
  <c r="L47" s="1"/>
  <c r="L48" s="1"/>
  <c r="L51" s="1"/>
  <c r="L69" s="1"/>
  <c r="J47"/>
  <c r="J48" s="1"/>
  <c r="J51" s="1"/>
  <c r="J69" s="1"/>
  <c r="J47" i="20"/>
  <c r="J48" s="1"/>
  <c r="J51" s="1"/>
  <c r="J67" s="1"/>
  <c r="L4"/>
  <c r="L47" s="1"/>
  <c r="L48" s="1"/>
  <c r="J47" i="27"/>
  <c r="J48" s="1"/>
  <c r="J51" s="1"/>
  <c r="J69" s="1"/>
  <c r="L4"/>
  <c r="L47" s="1"/>
  <c r="L48" s="1"/>
  <c r="L51" s="1"/>
  <c r="L69" s="1"/>
  <c r="L5" i="25"/>
  <c r="M5" s="1"/>
  <c r="L5" i="20"/>
  <c r="M5" s="1"/>
  <c r="L5" i="27"/>
  <c r="M5" s="1"/>
  <c r="S21" i="26"/>
  <c r="O20"/>
  <c r="O19" s="1"/>
  <c r="S19" s="1"/>
  <c r="W9"/>
  <c r="V9"/>
  <c r="V8" s="1"/>
  <c r="S8"/>
  <c r="AK42" i="1"/>
  <c r="AK32" s="1"/>
  <c r="AC32"/>
  <c r="J47" i="18"/>
  <c r="J48" s="1"/>
  <c r="J51" s="1"/>
  <c r="J67" s="1"/>
  <c r="L4"/>
  <c r="W14" i="26" l="1"/>
  <c r="W9" i="1"/>
  <c r="X9"/>
  <c r="U9"/>
  <c r="U29"/>
  <c r="X29"/>
  <c r="O20"/>
  <c r="O19" s="1"/>
  <c r="S19" s="1"/>
  <c r="U19" s="1"/>
  <c r="S21"/>
  <c r="W14"/>
  <c r="W4" s="1"/>
  <c r="U14"/>
  <c r="X14" s="1"/>
  <c r="AK5"/>
  <c r="AK8"/>
  <c r="AK4" s="1"/>
  <c r="AK29"/>
  <c r="AC28"/>
  <c r="AK28" s="1"/>
  <c r="AK21"/>
  <c r="AC20"/>
  <c r="X12"/>
  <c r="U12"/>
  <c r="W12"/>
  <c r="S8"/>
  <c r="U8" s="1"/>
  <c r="L4" i="23"/>
  <c r="L47" s="1"/>
  <c r="L48" s="1"/>
  <c r="L51" s="1"/>
  <c r="L69" s="1"/>
  <c r="K47"/>
  <c r="K48" s="1"/>
  <c r="K51" s="1"/>
  <c r="K69" s="1"/>
  <c r="G16" i="1"/>
  <c r="K18"/>
  <c r="O18" s="1"/>
  <c r="S18" s="1"/>
  <c r="AC4"/>
  <c r="L4" i="21"/>
  <c r="L47" s="1"/>
  <c r="L48" s="1"/>
  <c r="W8" i="26"/>
  <c r="W4" s="1"/>
  <c r="W5"/>
  <c r="W21"/>
  <c r="W19" s="1"/>
  <c r="S20"/>
  <c r="G50"/>
  <c r="G47"/>
  <c r="K47" s="1"/>
  <c r="K16"/>
  <c r="O16" s="1"/>
  <c r="S16" s="1"/>
  <c r="W16" s="1"/>
  <c r="H54" i="1"/>
  <c r="W8" l="1"/>
  <c r="G47"/>
  <c r="K47" s="1"/>
  <c r="G50"/>
  <c r="K16"/>
  <c r="O16" s="1"/>
  <c r="S16" s="1"/>
  <c r="X5"/>
  <c r="X8"/>
  <c r="U18"/>
  <c r="X18"/>
  <c r="AC19"/>
  <c r="AK20"/>
  <c r="U21"/>
  <c r="X21"/>
  <c r="X19" s="1"/>
  <c r="S20"/>
  <c r="U20" s="1"/>
  <c r="X4"/>
  <c r="K50" i="26"/>
  <c r="G51"/>
  <c r="H70" i="1"/>
  <c r="U16" l="1"/>
  <c r="X16"/>
  <c r="AK19"/>
  <c r="AK18" s="1"/>
  <c r="AK16" s="1"/>
  <c r="AC18"/>
  <c r="AC16" s="1"/>
  <c r="G51"/>
  <c r="K50"/>
  <c r="K51" i="26"/>
  <c r="G54"/>
  <c r="G54" i="1" l="1"/>
  <c r="K51"/>
  <c r="AK47"/>
  <c r="AK50"/>
  <c r="AC50"/>
  <c r="AC51" s="1"/>
  <c r="AC47"/>
  <c r="K54" i="26"/>
  <c r="K70" s="1"/>
  <c r="G70"/>
  <c r="AK51" i="1"/>
  <c r="AC54"/>
  <c r="G70" l="1"/>
  <c r="K54"/>
  <c r="K70" s="1"/>
  <c r="AK54"/>
  <c r="AC70"/>
  <c r="AK70" s="1"/>
  <c r="AK72" s="1"/>
  <c r="AK74" s="1"/>
</calcChain>
</file>

<file path=xl/sharedStrings.xml><?xml version="1.0" encoding="utf-8"?>
<sst xmlns="http://schemas.openxmlformats.org/spreadsheetml/2006/main" count="1785" uniqueCount="191">
  <si>
    <t>Jogcím</t>
  </si>
  <si>
    <t xml:space="preserve">Önkormányzati hivatal működésének támogatása </t>
  </si>
  <si>
    <t>fő</t>
  </si>
  <si>
    <t>ha</t>
  </si>
  <si>
    <t>Köztemető fenntartásával kapcsolatos feladatok (legalább 100eFt)</t>
  </si>
  <si>
    <t>Beszámítás összege (2011. évi ipa.adóalap 0,5%-a) (-)</t>
  </si>
  <si>
    <t>Egyéb kötelező önkormányzati feladatok támogatása</t>
  </si>
  <si>
    <t>Óvodaműködtetési támogatás</t>
  </si>
  <si>
    <t>Ingyenes étkezés (óvoda)</t>
  </si>
  <si>
    <t>Pénzbeli szociális támogatások (szoc.támogatások önrészéhez)</t>
  </si>
  <si>
    <t>Kulturális feladatok támogatása (könyvtár, műv.ház, rendezvények)</t>
  </si>
  <si>
    <t>támogatás alapja</t>
  </si>
  <si>
    <t>mérték-egység</t>
  </si>
  <si>
    <t>Ft/egység</t>
  </si>
  <si>
    <t>Összesen:</t>
  </si>
  <si>
    <t>támogatás összege (Ft)</t>
  </si>
  <si>
    <t>Közvilágítás fenntartásának támogatása (2011.)</t>
  </si>
  <si>
    <t>Közutak fenntartása (2011.)</t>
  </si>
  <si>
    <t>Sorszám</t>
  </si>
  <si>
    <t>I.</t>
  </si>
  <si>
    <t>a</t>
  </si>
  <si>
    <t>b</t>
  </si>
  <si>
    <t>bb</t>
  </si>
  <si>
    <t xml:space="preserve">Település üzemeltetéshez kapcsolódó feladatellátás támogatása </t>
  </si>
  <si>
    <t>ba</t>
  </si>
  <si>
    <t>Zöldterület-gazdálkodással kapcsolatos feladatellátás támogatása</t>
  </si>
  <si>
    <t>bc</t>
  </si>
  <si>
    <t>bd</t>
  </si>
  <si>
    <t>c</t>
  </si>
  <si>
    <t>d</t>
  </si>
  <si>
    <t>II.1</t>
  </si>
  <si>
    <t>Ingyenes étkezés ( iskola)</t>
  </si>
  <si>
    <t>III.</t>
  </si>
  <si>
    <t>Szociális és gyermekjóléti feladatainak támogatása</t>
  </si>
  <si>
    <t>Létalapként nyújtott szoc.ellátások támog.( jöv.pótló támog.kieg.)</t>
  </si>
  <si>
    <t>IV.1.d,</t>
  </si>
  <si>
    <t>rendsz.szoc.segély 90%</t>
  </si>
  <si>
    <t>lakásfenntartási támogatás 90 %</t>
  </si>
  <si>
    <t>foglalkoztatást helyettesítő támogatás 80 %</t>
  </si>
  <si>
    <t>időskoruak járadéka 90 %</t>
  </si>
  <si>
    <t>ápolási díj 75 %</t>
  </si>
  <si>
    <t>Óvodapedagógusok és munkájukat segítők bértámogatása (bér+járulék, 2013. évre tervezett összeg) 2012 évi előirányzat szintjén</t>
  </si>
  <si>
    <t>Óvoda támogatás</t>
  </si>
  <si>
    <t>Települési ökormányzatok működésének támogatása</t>
  </si>
  <si>
    <t>Helyi önkormányzatok működésének általános támogatása</t>
  </si>
  <si>
    <t>Egyes köznevelési és gyermekétkeztetési feladatok támog.</t>
  </si>
  <si>
    <t>II</t>
  </si>
  <si>
    <t>II.2</t>
  </si>
  <si>
    <t>II.3</t>
  </si>
  <si>
    <t>ingyenes és kedvezményes gyermekétkeztetés támogatása</t>
  </si>
  <si>
    <t>Beszámítással érintett támogatás ( a,b,ba,bb,bc,bd,c)</t>
  </si>
  <si>
    <t>1-8 hónapra</t>
  </si>
  <si>
    <t>9-12. hónapra</t>
  </si>
  <si>
    <t>óvodapedagógusok támogatása</t>
  </si>
  <si>
    <t>óvodapedag.munkáját segítők támogatása</t>
  </si>
  <si>
    <t>Támog.alapja</t>
  </si>
  <si>
    <t>január hó</t>
  </si>
  <si>
    <t>normatíva</t>
  </si>
  <si>
    <t>február</t>
  </si>
  <si>
    <t>március</t>
  </si>
  <si>
    <t xml:space="preserve">I negyedév </t>
  </si>
  <si>
    <t>bérkompenzáció</t>
  </si>
  <si>
    <t>Tárgyhavi előirányzat</t>
  </si>
  <si>
    <t>összesen</t>
  </si>
  <si>
    <t>nettósítás</t>
  </si>
  <si>
    <t>utalás</t>
  </si>
  <si>
    <t xml:space="preserve">Létalapként nyújtott szoc.ellátások támog.( jöv.pótló támog.kieg.) </t>
  </si>
  <si>
    <t>eredeti előirányzat</t>
  </si>
  <si>
    <t>EU önerő alap  Szennyvíz</t>
  </si>
  <si>
    <t>előleg</t>
  </si>
  <si>
    <t>előleg 01.03</t>
  </si>
  <si>
    <t>3.hó 22</t>
  </si>
  <si>
    <t>1.hó 22.</t>
  </si>
  <si>
    <t>2.hó 22</t>
  </si>
  <si>
    <t>lakott külterület</t>
  </si>
  <si>
    <t>Egyéb támogatások</t>
  </si>
  <si>
    <t>Eu önerő alap Szennyvíz</t>
  </si>
  <si>
    <t>Mindösszesen</t>
  </si>
  <si>
    <t>tárgyhavi</t>
  </si>
  <si>
    <t>előleg visszavonás bérkompenzáció</t>
  </si>
  <si>
    <t>augusztus</t>
  </si>
  <si>
    <t>Félév össz</t>
  </si>
  <si>
    <t>július</t>
  </si>
  <si>
    <t>szeptember</t>
  </si>
  <si>
    <t>háromnegyedév össz</t>
  </si>
  <si>
    <t>9/12.rész</t>
  </si>
  <si>
    <t>április05.02</t>
  </si>
  <si>
    <t>junius06.30</t>
  </si>
  <si>
    <t>május06.02</t>
  </si>
  <si>
    <t>január 02.01</t>
  </si>
  <si>
    <t>február03.02</t>
  </si>
  <si>
    <t>1/8.rész</t>
  </si>
  <si>
    <t>1/8rész</t>
  </si>
  <si>
    <t>óvodáztatási támog.</t>
  </si>
  <si>
    <t>jun.22</t>
  </si>
  <si>
    <t>Mindöszesen</t>
  </si>
  <si>
    <t>felh.</t>
  </si>
  <si>
    <t>műk-i</t>
  </si>
  <si>
    <t>Erzsébet utalvány</t>
  </si>
  <si>
    <t>október</t>
  </si>
  <si>
    <t>november</t>
  </si>
  <si>
    <t>december</t>
  </si>
  <si>
    <t>éves össz</t>
  </si>
  <si>
    <t>pótlólagos összeg</t>
  </si>
  <si>
    <t>elismert dolgozók bértámogatása</t>
  </si>
  <si>
    <t>gyerm.étk.műk-i támogatása</t>
  </si>
  <si>
    <t>Egyes köznevelési  feladatok támog.</t>
  </si>
  <si>
    <t>Állami támogatás 2014.év</t>
  </si>
  <si>
    <t>előleg 4 %</t>
  </si>
  <si>
    <t>Támogatás összesen</t>
  </si>
  <si>
    <t>Egyéb támog.összesen</t>
  </si>
  <si>
    <t>Központosított ei.</t>
  </si>
  <si>
    <t>január hó előleg</t>
  </si>
  <si>
    <t>091113</t>
  </si>
  <si>
    <t>091114</t>
  </si>
  <si>
    <t>091115</t>
  </si>
  <si>
    <t>091116</t>
  </si>
  <si>
    <t>091117</t>
  </si>
  <si>
    <t>091118</t>
  </si>
  <si>
    <t>091119</t>
  </si>
  <si>
    <t>091120</t>
  </si>
  <si>
    <t>091121</t>
  </si>
  <si>
    <t>091122</t>
  </si>
  <si>
    <t>091123</t>
  </si>
  <si>
    <t>091125</t>
  </si>
  <si>
    <t>091126</t>
  </si>
  <si>
    <t>091127</t>
  </si>
  <si>
    <t>091129</t>
  </si>
  <si>
    <t>091130</t>
  </si>
  <si>
    <t>091131</t>
  </si>
  <si>
    <t>091132</t>
  </si>
  <si>
    <t>091133</t>
  </si>
  <si>
    <t>091134</t>
  </si>
  <si>
    <t>091137</t>
  </si>
  <si>
    <t>091138</t>
  </si>
  <si>
    <t>091141</t>
  </si>
  <si>
    <t>091142</t>
  </si>
  <si>
    <t>091143</t>
  </si>
  <si>
    <t>091144</t>
  </si>
  <si>
    <t>091145</t>
  </si>
  <si>
    <t>091146</t>
  </si>
  <si>
    <t>091147</t>
  </si>
  <si>
    <t>091148</t>
  </si>
  <si>
    <t>091149</t>
  </si>
  <si>
    <t>091153</t>
  </si>
  <si>
    <t>091631</t>
  </si>
  <si>
    <t>09213</t>
  </si>
  <si>
    <t>április</t>
  </si>
  <si>
    <t>éves támogatás összege (Ft)</t>
  </si>
  <si>
    <t>március03.31</t>
  </si>
  <si>
    <t>május</t>
  </si>
  <si>
    <t>június</t>
  </si>
  <si>
    <t xml:space="preserve">május </t>
  </si>
  <si>
    <t>Félév összes.</t>
  </si>
  <si>
    <t>4.hó</t>
  </si>
  <si>
    <t>5.hó</t>
  </si>
  <si>
    <t>6.hó</t>
  </si>
  <si>
    <t>félév össz</t>
  </si>
  <si>
    <t>EU önerő alap</t>
  </si>
  <si>
    <t>óvodáztatási támogatás</t>
  </si>
  <si>
    <t>EU útdíj</t>
  </si>
  <si>
    <t>nyári gyermekétkeztetés</t>
  </si>
  <si>
    <t>7.hó</t>
  </si>
  <si>
    <t>lakott külter</t>
  </si>
  <si>
    <t>BÍRSÁG</t>
  </si>
  <si>
    <t xml:space="preserve">összesen </t>
  </si>
  <si>
    <t>nyári étkeztetés közp.ei</t>
  </si>
  <si>
    <t>E-útdíj közp.ei.</t>
  </si>
  <si>
    <t>lakott külterület közp.ei</t>
  </si>
  <si>
    <t>bérkompenzáció 2013. közp ei. 2014 egyéb</t>
  </si>
  <si>
    <t>III:negyedév</t>
  </si>
  <si>
    <t xml:space="preserve">bérkompenzáció 2013. közp ei. </t>
  </si>
  <si>
    <t xml:space="preserve">Egyéb támogatás működési </t>
  </si>
  <si>
    <t xml:space="preserve">bérkompenzáció 2014 </t>
  </si>
  <si>
    <t>091163</t>
  </si>
  <si>
    <t>lemondás</t>
  </si>
  <si>
    <t>éves összesen</t>
  </si>
  <si>
    <t xml:space="preserve">közp. előirányzatok 2014. </t>
  </si>
  <si>
    <t>önkorm.</t>
  </si>
  <si>
    <t>hivatal</t>
  </si>
  <si>
    <t>Ámk</t>
  </si>
  <si>
    <t>km</t>
  </si>
  <si>
    <t>Pénzbeli szociális ellátások kieg.(szoc.támogatások önrészéhez)</t>
  </si>
  <si>
    <t>Települési önk.szoc.feladatainak egyéb támogatása</t>
  </si>
  <si>
    <t xml:space="preserve">lakott külterület </t>
  </si>
  <si>
    <t>támogatás 2015 év</t>
  </si>
  <si>
    <t>2014 évről áthzódó bérkompenzáció</t>
  </si>
  <si>
    <t>önkorm</t>
  </si>
  <si>
    <t>óvoda</t>
  </si>
  <si>
    <t>műv.h</t>
  </si>
  <si>
    <t>ell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</si>
</sst>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4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3" fontId="1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0" xfId="0" applyFont="1" applyFill="1"/>
    <xf numFmtId="0" fontId="1" fillId="5" borderId="1" xfId="0" applyFont="1" applyFill="1" applyBorder="1" applyAlignment="1">
      <alignment wrapText="1"/>
    </xf>
    <xf numFmtId="3" fontId="1" fillId="5" borderId="1" xfId="0" applyNumberFormat="1" applyFont="1" applyFill="1" applyBorder="1"/>
    <xf numFmtId="3" fontId="1" fillId="5" borderId="1" xfId="0" applyNumberFormat="1" applyFont="1" applyFill="1" applyBorder="1" applyAlignment="1">
      <alignment wrapText="1"/>
    </xf>
    <xf numFmtId="0" fontId="1" fillId="5" borderId="1" xfId="0" applyNumberFormat="1" applyFont="1" applyFill="1" applyBorder="1" applyAlignment="1">
      <alignment wrapText="1"/>
    </xf>
    <xf numFmtId="3" fontId="1" fillId="6" borderId="1" xfId="0" applyNumberFormat="1" applyFont="1" applyFill="1" applyBorder="1"/>
    <xf numFmtId="0" fontId="1" fillId="6" borderId="1" xfId="0" applyFont="1" applyFill="1" applyBorder="1"/>
    <xf numFmtId="0" fontId="1" fillId="3" borderId="1" xfId="0" applyFont="1" applyFill="1" applyBorder="1"/>
    <xf numFmtId="1" fontId="1" fillId="0" borderId="1" xfId="0" applyNumberFormat="1" applyFont="1" applyBorder="1"/>
    <xf numFmtId="0" fontId="3" fillId="7" borderId="1" xfId="0" applyFont="1" applyFill="1" applyBorder="1"/>
    <xf numFmtId="3" fontId="3" fillId="7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3" fontId="1" fillId="7" borderId="1" xfId="0" applyNumberFormat="1" applyFont="1" applyFill="1" applyBorder="1"/>
    <xf numFmtId="1" fontId="1" fillId="7" borderId="1" xfId="0" applyNumberFormat="1" applyFont="1" applyFill="1" applyBorder="1"/>
    <xf numFmtId="0" fontId="1" fillId="0" borderId="1" xfId="0" applyFont="1" applyFill="1" applyBorder="1"/>
    <xf numFmtId="0" fontId="1" fillId="8" borderId="1" xfId="0" applyFont="1" applyFill="1" applyBorder="1"/>
    <xf numFmtId="0" fontId="1" fillId="0" borderId="0" xfId="0" applyFont="1" applyFill="1"/>
    <xf numFmtId="0" fontId="1" fillId="0" borderId="2" xfId="0" applyFont="1" applyBorder="1" applyAlignment="1">
      <alignment wrapText="1"/>
    </xf>
    <xf numFmtId="0" fontId="1" fillId="0" borderId="2" xfId="0" applyFont="1" applyBorder="1"/>
    <xf numFmtId="1" fontId="1" fillId="3" borderId="1" xfId="0" applyNumberFormat="1" applyFont="1" applyFill="1" applyBorder="1"/>
    <xf numFmtId="0" fontId="3" fillId="0" borderId="3" xfId="0" applyFont="1" applyBorder="1"/>
    <xf numFmtId="0" fontId="1" fillId="0" borderId="3" xfId="0" applyFont="1" applyFill="1" applyBorder="1"/>
    <xf numFmtId="1" fontId="1" fillId="8" borderId="3" xfId="0" applyNumberFormat="1" applyFont="1" applyFill="1" applyBorder="1"/>
    <xf numFmtId="0" fontId="1" fillId="8" borderId="3" xfId="0" applyFont="1" applyFill="1" applyBorder="1"/>
    <xf numFmtId="0" fontId="1" fillId="0" borderId="3" xfId="0" applyFont="1" applyBorder="1"/>
    <xf numFmtId="3" fontId="1" fillId="8" borderId="3" xfId="0" applyNumberFormat="1" applyFont="1" applyFill="1" applyBorder="1"/>
    <xf numFmtId="16" fontId="1" fillId="0" borderId="1" xfId="0" applyNumberFormat="1" applyFont="1" applyBorder="1"/>
    <xf numFmtId="9" fontId="1" fillId="0" borderId="1" xfId="0" applyNumberFormat="1" applyFont="1" applyBorder="1"/>
    <xf numFmtId="9" fontId="1" fillId="0" borderId="3" xfId="0" applyNumberFormat="1" applyFont="1" applyFill="1" applyBorder="1"/>
    <xf numFmtId="1" fontId="1" fillId="9" borderId="1" xfId="0" applyNumberFormat="1" applyFont="1" applyFill="1" applyBorder="1"/>
    <xf numFmtId="1" fontId="1" fillId="3" borderId="3" xfId="0" applyNumberFormat="1" applyFont="1" applyFill="1" applyBorder="1"/>
    <xf numFmtId="0" fontId="1" fillId="3" borderId="3" xfId="0" applyFont="1" applyFill="1" applyBorder="1"/>
    <xf numFmtId="1" fontId="3" fillId="8" borderId="3" xfId="0" applyNumberFormat="1" applyFont="1" applyFill="1" applyBorder="1"/>
    <xf numFmtId="0" fontId="3" fillId="5" borderId="1" xfId="0" applyFont="1" applyFill="1" applyBorder="1" applyAlignment="1">
      <alignment wrapText="1"/>
    </xf>
    <xf numFmtId="0" fontId="1" fillId="10" borderId="0" xfId="0" applyFont="1" applyFill="1"/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/>
    <xf numFmtId="3" fontId="1" fillId="10" borderId="1" xfId="0" applyNumberFormat="1" applyFont="1" applyFill="1" applyBorder="1"/>
    <xf numFmtId="3" fontId="3" fillId="8" borderId="3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3" fontId="1" fillId="0" borderId="0" xfId="0" applyNumberFormat="1" applyFont="1"/>
    <xf numFmtId="1" fontId="3" fillId="0" borderId="1" xfId="0" applyNumberFormat="1" applyFont="1" applyBorder="1"/>
    <xf numFmtId="0" fontId="1" fillId="11" borderId="1" xfId="0" applyFont="1" applyFill="1" applyBorder="1"/>
    <xf numFmtId="1" fontId="1" fillId="6" borderId="1" xfId="0" applyNumberFormat="1" applyFont="1" applyFill="1" applyBorder="1"/>
    <xf numFmtId="3" fontId="3" fillId="3" borderId="1" xfId="0" applyNumberFormat="1" applyFont="1" applyFill="1" applyBorder="1"/>
    <xf numFmtId="1" fontId="1" fillId="10" borderId="1" xfId="0" applyNumberFormat="1" applyFont="1" applyFill="1" applyBorder="1"/>
    <xf numFmtId="9" fontId="1" fillId="0" borderId="0" xfId="0" applyNumberFormat="1" applyFont="1"/>
    <xf numFmtId="0" fontId="1" fillId="12" borderId="1" xfId="0" applyFont="1" applyFill="1" applyBorder="1" applyAlignment="1">
      <alignment wrapText="1"/>
    </xf>
    <xf numFmtId="3" fontId="1" fillId="0" borderId="3" xfId="0" applyNumberFormat="1" applyFont="1" applyFill="1" applyBorder="1"/>
    <xf numFmtId="1" fontId="1" fillId="12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" fontId="1" fillId="0" borderId="1" xfId="0" applyNumberFormat="1" applyFont="1" applyFill="1" applyBorder="1"/>
    <xf numFmtId="0" fontId="1" fillId="8" borderId="1" xfId="0" applyFont="1" applyFill="1" applyBorder="1" applyAlignment="1">
      <alignment wrapText="1"/>
    </xf>
    <xf numFmtId="3" fontId="1" fillId="8" borderId="1" xfId="0" applyNumberFormat="1" applyFont="1" applyFill="1" applyBorder="1"/>
    <xf numFmtId="49" fontId="1" fillId="0" borderId="1" xfId="0" applyNumberFormat="1" applyFont="1" applyFill="1" applyBorder="1"/>
    <xf numFmtId="16" fontId="1" fillId="0" borderId="3" xfId="0" applyNumberFormat="1" applyFont="1" applyBorder="1"/>
    <xf numFmtId="3" fontId="1" fillId="6" borderId="3" xfId="0" applyNumberFormat="1" applyFont="1" applyFill="1" applyBorder="1"/>
    <xf numFmtId="1" fontId="1" fillId="0" borderId="3" xfId="0" applyNumberFormat="1" applyFont="1" applyBorder="1"/>
    <xf numFmtId="3" fontId="1" fillId="5" borderId="3" xfId="0" applyNumberFormat="1" applyFont="1" applyFill="1" applyBorder="1"/>
    <xf numFmtId="3" fontId="1" fillId="3" borderId="3" xfId="0" applyNumberFormat="1" applyFont="1" applyFill="1" applyBorder="1"/>
    <xf numFmtId="9" fontId="1" fillId="0" borderId="3" xfId="0" applyNumberFormat="1" applyFont="1" applyBorder="1"/>
    <xf numFmtId="3" fontId="1" fillId="0" borderId="3" xfId="0" applyNumberFormat="1" applyFont="1" applyBorder="1"/>
    <xf numFmtId="1" fontId="1" fillId="10" borderId="3" xfId="0" applyNumberFormat="1" applyFont="1" applyFill="1" applyBorder="1"/>
    <xf numFmtId="1" fontId="1" fillId="6" borderId="3" xfId="0" applyNumberFormat="1" applyFont="1" applyFill="1" applyBorder="1"/>
    <xf numFmtId="1" fontId="1" fillId="12" borderId="3" xfId="0" applyNumberFormat="1" applyFont="1" applyFill="1" applyBorder="1" applyAlignment="1">
      <alignment wrapText="1"/>
    </xf>
    <xf numFmtId="3" fontId="3" fillId="0" borderId="3" xfId="0" applyNumberFormat="1" applyFont="1" applyBorder="1"/>
    <xf numFmtId="3" fontId="3" fillId="7" borderId="3" xfId="0" applyNumberFormat="1" applyFont="1" applyFill="1" applyBorder="1"/>
    <xf numFmtId="0" fontId="1" fillId="5" borderId="3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3" fillId="0" borderId="2" xfId="0" applyFont="1" applyFill="1" applyBorder="1"/>
    <xf numFmtId="3" fontId="3" fillId="0" borderId="2" xfId="0" applyNumberFormat="1" applyFont="1" applyFill="1" applyBorder="1"/>
    <xf numFmtId="0" fontId="1" fillId="13" borderId="3" xfId="0" applyFont="1" applyFill="1" applyBorder="1"/>
    <xf numFmtId="0" fontId="3" fillId="0" borderId="0" xfId="0" applyFont="1" applyAlignment="1">
      <alignment wrapText="1"/>
    </xf>
    <xf numFmtId="0" fontId="3" fillId="8" borderId="3" xfId="0" applyFont="1" applyFill="1" applyBorder="1"/>
    <xf numFmtId="0" fontId="1" fillId="6" borderId="1" xfId="0" applyFont="1" applyFill="1" applyBorder="1" applyAlignment="1">
      <alignment wrapText="1"/>
    </xf>
    <xf numFmtId="3" fontId="3" fillId="3" borderId="3" xfId="0" applyNumberFormat="1" applyFont="1" applyFill="1" applyBorder="1"/>
    <xf numFmtId="3" fontId="3" fillId="5" borderId="3" xfId="0" applyNumberFormat="1" applyFont="1" applyFill="1" applyBorder="1"/>
    <xf numFmtId="0" fontId="0" fillId="0" borderId="1" xfId="0" applyBorder="1"/>
    <xf numFmtId="0" fontId="1" fillId="14" borderId="1" xfId="0" applyFont="1" applyFill="1" applyBorder="1"/>
    <xf numFmtId="0" fontId="1" fillId="14" borderId="0" xfId="0" applyFont="1" applyFill="1"/>
    <xf numFmtId="1" fontId="1" fillId="0" borderId="0" xfId="0" applyNumberFormat="1" applyFont="1"/>
    <xf numFmtId="165" fontId="1" fillId="5" borderId="1" xfId="0" applyNumberFormat="1" applyFont="1" applyFill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0" fontId="1" fillId="15" borderId="1" xfId="0" applyFont="1" applyFill="1" applyBorder="1" applyAlignment="1">
      <alignment wrapText="1"/>
    </xf>
    <xf numFmtId="0" fontId="1" fillId="15" borderId="1" xfId="0" applyFont="1" applyFill="1" applyBorder="1"/>
    <xf numFmtId="3" fontId="1" fillId="15" borderId="1" xfId="0" applyNumberFormat="1" applyFont="1" applyFill="1" applyBorder="1"/>
    <xf numFmtId="3" fontId="1" fillId="15" borderId="3" xfId="0" applyNumberFormat="1" applyFont="1" applyFill="1" applyBorder="1"/>
    <xf numFmtId="1" fontId="1" fillId="15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4"/>
  <sheetViews>
    <sheetView tabSelected="1" workbookViewId="0">
      <selection activeCell="BC5" sqref="BC5"/>
    </sheetView>
  </sheetViews>
  <sheetFormatPr defaultRowHeight="15"/>
  <cols>
    <col min="1" max="1" width="4.7109375" style="1" customWidth="1"/>
    <col min="2" max="2" width="30.5703125" style="2" customWidth="1"/>
    <col min="3" max="3" width="6.140625" style="1" customWidth="1"/>
    <col min="4" max="4" width="5" style="1" customWidth="1"/>
    <col min="5" max="5" width="9.28515625" style="1" customWidth="1"/>
    <col min="6" max="6" width="12.140625" style="1" customWidth="1"/>
    <col min="7" max="7" width="11" style="1" hidden="1" customWidth="1"/>
    <col min="8" max="8" width="11.42578125" style="1" hidden="1" customWidth="1"/>
    <col min="9" max="10" width="11.7109375" style="1" hidden="1" customWidth="1"/>
    <col min="11" max="11" width="11" style="1" hidden="1" customWidth="1"/>
    <col min="12" max="13" width="11.140625" style="1" hidden="1" customWidth="1"/>
    <col min="14" max="14" width="11.28515625" style="1" hidden="1" customWidth="1"/>
    <col min="15" max="15" width="12.7109375" style="1" hidden="1" customWidth="1"/>
    <col min="16" max="16" width="11.7109375" style="1" hidden="1" customWidth="1"/>
    <col min="17" max="17" width="11.28515625" style="1" hidden="1" customWidth="1"/>
    <col min="18" max="18" width="11.140625" style="1" hidden="1" customWidth="1"/>
    <col min="19" max="19" width="11.7109375" style="1" hidden="1" customWidth="1"/>
    <col min="20" max="21" width="11.140625" style="1" hidden="1" customWidth="1"/>
    <col min="22" max="22" width="11" style="1" hidden="1" customWidth="1"/>
    <col min="23" max="23" width="11.85546875" style="1" hidden="1" customWidth="1"/>
    <col min="24" max="24" width="11.140625" style="1" hidden="1" customWidth="1"/>
    <col min="25" max="26" width="11.28515625" style="1" hidden="1" customWidth="1"/>
    <col min="27" max="27" width="11.5703125" style="1" hidden="1" customWidth="1"/>
    <col min="28" max="28" width="11" style="1" hidden="1" customWidth="1"/>
    <col min="29" max="29" width="12.7109375" style="1" hidden="1" customWidth="1"/>
    <col min="30" max="30" width="13.28515625" style="1" hidden="1" customWidth="1"/>
    <col min="31" max="31" width="11.42578125" style="1" hidden="1" customWidth="1"/>
    <col min="32" max="32" width="12.7109375" style="1" hidden="1" customWidth="1"/>
    <col min="33" max="33" width="7.42578125" style="1" customWidth="1"/>
    <col min="34" max="34" width="4.7109375" style="1" customWidth="1"/>
    <col min="35" max="35" width="10.28515625" style="1" customWidth="1"/>
    <col min="36" max="36" width="12.7109375" style="1" customWidth="1"/>
    <col min="37" max="37" width="12.7109375" style="1" hidden="1" customWidth="1"/>
    <col min="38" max="41" width="0" style="1" hidden="1" customWidth="1"/>
    <col min="42" max="42" width="11.7109375" style="1" hidden="1" customWidth="1"/>
    <col min="43" max="43" width="10.85546875" style="1" hidden="1" customWidth="1"/>
    <col min="44" max="44" width="13" style="1" hidden="1" customWidth="1"/>
    <col min="45" max="45" width="14.28515625" style="1" hidden="1" customWidth="1"/>
    <col min="46" max="46" width="0" style="1" hidden="1" customWidth="1"/>
    <col min="47" max="47" width="11.7109375" style="1" hidden="1" customWidth="1"/>
    <col min="48" max="48" width="0" style="1" hidden="1" customWidth="1"/>
    <col min="49" max="49" width="14.7109375" style="1" hidden="1" customWidth="1"/>
    <col min="50" max="50" width="11.5703125" style="1" hidden="1" customWidth="1"/>
    <col min="51" max="51" width="11.140625" style="1" hidden="1" customWidth="1"/>
    <col min="52" max="52" width="11.28515625" style="1" hidden="1" customWidth="1"/>
    <col min="53" max="53" width="10.5703125" style="1" hidden="1" customWidth="1"/>
    <col min="54" max="54" width="13" style="1" hidden="1" customWidth="1"/>
    <col min="55" max="16384" width="9.140625" style="1"/>
  </cols>
  <sheetData>
    <row r="1" spans="1:54" ht="25.5" customHeight="1">
      <c r="A1" s="1" t="s">
        <v>18</v>
      </c>
      <c r="B1" s="113" t="s">
        <v>107</v>
      </c>
      <c r="C1" s="114"/>
      <c r="D1" s="114"/>
      <c r="E1" s="114"/>
      <c r="F1" s="114"/>
      <c r="H1" s="68">
        <v>0.08</v>
      </c>
      <c r="I1" s="68">
        <v>0.08</v>
      </c>
      <c r="J1" s="68">
        <v>0.08</v>
      </c>
      <c r="L1" s="68">
        <v>0.08</v>
      </c>
      <c r="Y1" s="68">
        <v>0.08</v>
      </c>
      <c r="Z1" s="68">
        <v>0.08</v>
      </c>
      <c r="AA1" s="68">
        <v>0.08</v>
      </c>
      <c r="AB1" s="68">
        <v>0.08</v>
      </c>
      <c r="AC1" s="68">
        <v>0.08</v>
      </c>
      <c r="AD1" s="68">
        <v>0.08</v>
      </c>
      <c r="AE1" s="68">
        <v>0.08</v>
      </c>
      <c r="AF1" s="68">
        <v>0.08</v>
      </c>
      <c r="AG1" s="115" t="s">
        <v>185</v>
      </c>
      <c r="AH1" s="115"/>
      <c r="AI1" s="115"/>
      <c r="AJ1" s="115"/>
      <c r="AK1" s="68"/>
    </row>
    <row r="2" spans="1:54" ht="38.25" customHeight="1">
      <c r="B2" s="3" t="s">
        <v>0</v>
      </c>
      <c r="C2" s="4" t="s">
        <v>11</v>
      </c>
      <c r="D2" s="4" t="s">
        <v>12</v>
      </c>
      <c r="E2" s="4" t="s">
        <v>13</v>
      </c>
      <c r="F2" s="4" t="s">
        <v>148</v>
      </c>
      <c r="G2" s="6" t="s">
        <v>108</v>
      </c>
      <c r="H2" s="6" t="s">
        <v>89</v>
      </c>
      <c r="I2" s="6" t="s">
        <v>90</v>
      </c>
      <c r="J2" s="6" t="s">
        <v>149</v>
      </c>
      <c r="K2" s="41" t="s">
        <v>60</v>
      </c>
      <c r="L2" s="6" t="s">
        <v>86</v>
      </c>
      <c r="M2" s="6" t="s">
        <v>88</v>
      </c>
      <c r="N2" s="6" t="s">
        <v>87</v>
      </c>
      <c r="O2" s="12" t="s">
        <v>81</v>
      </c>
      <c r="P2" s="35" t="s">
        <v>82</v>
      </c>
      <c r="Q2" s="35" t="s">
        <v>80</v>
      </c>
      <c r="R2" s="35" t="s">
        <v>83</v>
      </c>
      <c r="S2" s="72" t="s">
        <v>84</v>
      </c>
      <c r="T2" s="35" t="s">
        <v>99</v>
      </c>
      <c r="U2" s="35"/>
      <c r="V2" s="35" t="s">
        <v>100</v>
      </c>
      <c r="W2" s="6" t="s">
        <v>101</v>
      </c>
      <c r="X2" s="11" t="s">
        <v>102</v>
      </c>
      <c r="Y2" s="6"/>
      <c r="Z2" s="6"/>
      <c r="AA2" s="6" t="s">
        <v>152</v>
      </c>
      <c r="AB2" s="6" t="s">
        <v>151</v>
      </c>
      <c r="AC2" s="41" t="s">
        <v>153</v>
      </c>
      <c r="AD2" s="45" t="s">
        <v>82</v>
      </c>
      <c r="AE2" s="6" t="s">
        <v>80</v>
      </c>
      <c r="AF2" s="6" t="s">
        <v>83</v>
      </c>
      <c r="AG2" s="4" t="s">
        <v>11</v>
      </c>
      <c r="AH2" s="4" t="s">
        <v>12</v>
      </c>
      <c r="AI2" s="4" t="s">
        <v>13</v>
      </c>
      <c r="AJ2" s="4" t="s">
        <v>148</v>
      </c>
      <c r="AK2" s="12" t="s">
        <v>170</v>
      </c>
      <c r="AL2" s="6" t="s">
        <v>99</v>
      </c>
      <c r="AM2" s="6" t="s">
        <v>100</v>
      </c>
      <c r="AN2" s="6" t="s">
        <v>101</v>
      </c>
      <c r="AO2" s="12" t="s">
        <v>102</v>
      </c>
      <c r="AP2" s="45" t="s">
        <v>99</v>
      </c>
      <c r="AQ2" s="6" t="s">
        <v>100</v>
      </c>
      <c r="AR2" s="45" t="s">
        <v>101</v>
      </c>
      <c r="AS2" s="6" t="s">
        <v>176</v>
      </c>
      <c r="AT2" s="6" t="s">
        <v>178</v>
      </c>
      <c r="AU2" s="6" t="s">
        <v>179</v>
      </c>
      <c r="AV2" s="6" t="s">
        <v>180</v>
      </c>
      <c r="AX2" s="6" t="s">
        <v>187</v>
      </c>
      <c r="AY2" s="6" t="s">
        <v>179</v>
      </c>
      <c r="AZ2" s="6" t="s">
        <v>188</v>
      </c>
      <c r="BA2" s="6" t="s">
        <v>189</v>
      </c>
      <c r="BB2" s="1" t="s">
        <v>190</v>
      </c>
    </row>
    <row r="3" spans="1:54">
      <c r="B3" s="5"/>
      <c r="C3" s="6"/>
      <c r="D3" s="6"/>
      <c r="E3" s="6"/>
      <c r="F3" s="6"/>
      <c r="G3" s="6"/>
      <c r="H3" s="47"/>
      <c r="I3" s="47"/>
      <c r="J3" s="47"/>
      <c r="K3" s="47"/>
      <c r="L3" s="47"/>
      <c r="M3" s="47" t="s">
        <v>91</v>
      </c>
      <c r="N3" s="47" t="s">
        <v>91</v>
      </c>
      <c r="O3" s="47"/>
      <c r="P3" s="47" t="s">
        <v>92</v>
      </c>
      <c r="Q3" s="47" t="s">
        <v>91</v>
      </c>
      <c r="R3" s="47" t="s">
        <v>91</v>
      </c>
      <c r="S3" s="47" t="s">
        <v>85</v>
      </c>
      <c r="T3" s="47" t="s">
        <v>92</v>
      </c>
      <c r="U3" s="47"/>
      <c r="V3" s="47" t="s">
        <v>91</v>
      </c>
      <c r="W3" s="47" t="s">
        <v>91</v>
      </c>
      <c r="X3" s="47"/>
      <c r="Y3" s="47"/>
      <c r="Z3" s="47"/>
      <c r="AA3" s="47"/>
      <c r="AB3" s="47"/>
      <c r="AC3" s="77"/>
      <c r="AD3" s="45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45"/>
      <c r="AQ3" s="6"/>
      <c r="AR3" s="45"/>
      <c r="AS3" s="6"/>
      <c r="AT3" s="6"/>
      <c r="AU3" s="6"/>
      <c r="AV3" s="6"/>
      <c r="AX3" s="6"/>
      <c r="AY3" s="6"/>
      <c r="AZ3" s="6"/>
      <c r="BA3" s="6"/>
    </row>
    <row r="4" spans="1:54" ht="45">
      <c r="A4" s="16" t="s">
        <v>19</v>
      </c>
      <c r="B4" s="17" t="s">
        <v>44</v>
      </c>
      <c r="C4" s="6"/>
      <c r="D4" s="6"/>
      <c r="E4" s="7"/>
      <c r="F4" s="8">
        <f>F7+F8+F13+F14</f>
        <v>63330307</v>
      </c>
      <c r="G4" s="7">
        <f>G7+G8+G14</f>
        <v>2533212.2800000003</v>
      </c>
      <c r="H4" s="40">
        <f>H5+H14</f>
        <v>5066424.5600000005</v>
      </c>
      <c r="I4" s="40">
        <f>I5+I14</f>
        <v>5066424.5600000005</v>
      </c>
      <c r="J4" s="40">
        <f>J5+J14</f>
        <v>5066424.5600000005</v>
      </c>
      <c r="K4" s="43">
        <f>SUM(G4:J4)</f>
        <v>17732485.960000001</v>
      </c>
      <c r="L4" s="40">
        <f>F4*L1</f>
        <v>5066424.5600000005</v>
      </c>
      <c r="M4" s="40" t="e">
        <f>M5+M14</f>
        <v>#REF!</v>
      </c>
      <c r="N4" s="40" t="e">
        <f>N5+N14</f>
        <v>#REF!</v>
      </c>
      <c r="O4" s="51" t="e">
        <f>K4+L4+M4+N4</f>
        <v>#REF!</v>
      </c>
      <c r="P4" s="40" t="e">
        <f>P5+P14</f>
        <v>#REF!</v>
      </c>
      <c r="Q4" s="40" t="e">
        <f>Q5+Q14</f>
        <v>#REF!</v>
      </c>
      <c r="R4" s="40" t="e">
        <f>R5+R14</f>
        <v>#REF!</v>
      </c>
      <c r="S4" s="43" t="e">
        <f>SUM(O4:R4)</f>
        <v>#REF!</v>
      </c>
      <c r="T4" s="40" t="e">
        <f>T5+T14</f>
        <v>#REF!</v>
      </c>
      <c r="U4" s="40" t="e">
        <f>SUM(S4:T4)</f>
        <v>#REF!</v>
      </c>
      <c r="V4" s="40" t="e">
        <f>V5+V14</f>
        <v>#REF!</v>
      </c>
      <c r="W4" s="40" t="e">
        <f>W5+W14</f>
        <v>#REF!</v>
      </c>
      <c r="X4" s="8" t="e">
        <f>X7+X8+X13+X14</f>
        <v>#REF!</v>
      </c>
      <c r="Y4" s="40"/>
      <c r="Z4" s="40"/>
      <c r="AA4" s="40">
        <f>AA5+AA14</f>
        <v>5066424.5600000005</v>
      </c>
      <c r="AB4" s="40">
        <f>AB5+AB14</f>
        <v>5066424.5600000005</v>
      </c>
      <c r="AC4" s="51">
        <f>AC5+AC14</f>
        <v>32931759.639999997</v>
      </c>
      <c r="AD4" s="51">
        <f>AD5+AD14</f>
        <v>5066424.5600000005</v>
      </c>
      <c r="AE4" s="51">
        <f t="shared" ref="AE4:AF4" si="0">AE5+AE14</f>
        <v>5066424.5600000005</v>
      </c>
      <c r="AF4" s="51">
        <f t="shared" si="0"/>
        <v>5066424.5600000005</v>
      </c>
      <c r="AG4" s="51"/>
      <c r="AH4" s="51"/>
      <c r="AI4" s="51"/>
      <c r="AJ4" s="8">
        <f>AJ7+AJ8+AJ13+AJ14+AJ49+AJ6</f>
        <v>62125133.981399998</v>
      </c>
      <c r="AK4" s="8">
        <f t="shared" ref="AK4:BA4" si="1">AK7+AK8+AK13+AK14+AK49+AK6</f>
        <v>48131033.32</v>
      </c>
      <c r="AL4" s="8">
        <f t="shared" si="1"/>
        <v>0</v>
      </c>
      <c r="AM4" s="8">
        <f t="shared" si="1"/>
        <v>0</v>
      </c>
      <c r="AN4" s="8">
        <f t="shared" si="1"/>
        <v>0</v>
      </c>
      <c r="AO4" s="8">
        <f t="shared" si="1"/>
        <v>0</v>
      </c>
      <c r="AP4" s="8">
        <f t="shared" si="1"/>
        <v>5066424.5600000005</v>
      </c>
      <c r="AQ4" s="8">
        <f t="shared" si="1"/>
        <v>0</v>
      </c>
      <c r="AR4" s="8">
        <f t="shared" si="1"/>
        <v>0</v>
      </c>
      <c r="AS4" s="8">
        <f t="shared" si="1"/>
        <v>0</v>
      </c>
      <c r="AT4" s="8">
        <f t="shared" si="1"/>
        <v>5948748</v>
      </c>
      <c r="AU4" s="8">
        <f t="shared" si="1"/>
        <v>27150240</v>
      </c>
      <c r="AV4" s="8">
        <f t="shared" si="1"/>
        <v>0</v>
      </c>
      <c r="AW4" s="8">
        <f t="shared" si="1"/>
        <v>33098988</v>
      </c>
      <c r="AX4" s="8">
        <f t="shared" si="1"/>
        <v>26401134</v>
      </c>
      <c r="AY4" s="8">
        <f t="shared" si="1"/>
        <v>35724000</v>
      </c>
      <c r="AZ4" s="8">
        <f t="shared" si="1"/>
        <v>0</v>
      </c>
      <c r="BA4" s="8">
        <f t="shared" si="1"/>
        <v>0</v>
      </c>
      <c r="BB4" s="62">
        <f>AX4+AY4+AZ4+BA4</f>
        <v>62125134</v>
      </c>
    </row>
    <row r="5" spans="1:54" ht="30">
      <c r="A5" s="19"/>
      <c r="B5" s="18" t="s">
        <v>50</v>
      </c>
      <c r="C5" s="6"/>
      <c r="D5" s="6"/>
      <c r="E5" s="7"/>
      <c r="F5" s="24">
        <f>F7+F9+F10+F11+F12+F13</f>
        <v>55503007</v>
      </c>
      <c r="G5" s="24">
        <f>G7+G9+G10+G11+G12+G13</f>
        <v>2220120.2800000003</v>
      </c>
      <c r="H5" s="24">
        <f>H7+H9+H10+H11+H12+H13</f>
        <v>4440240.5600000005</v>
      </c>
      <c r="I5" s="24">
        <f>I7+I9+I10+I11+I12+I13</f>
        <v>4440240.5600000005</v>
      </c>
      <c r="J5" s="24">
        <f>J7+J9+J10+J11+J12+J13</f>
        <v>4440240.5600000005</v>
      </c>
      <c r="K5" s="43">
        <f t="shared" ref="K5:K16" si="2">SUM(G5:J5)</f>
        <v>15540841.960000003</v>
      </c>
      <c r="L5" s="27">
        <f>L7+L8</f>
        <v>4440240.5600000005</v>
      </c>
      <c r="M5" s="27" t="e">
        <f>#REF!/8</f>
        <v>#REF!</v>
      </c>
      <c r="N5" s="27" t="e">
        <f>#REF!/8</f>
        <v>#REF!</v>
      </c>
      <c r="O5" s="43" t="e">
        <f>K5+L5+M5+N5</f>
        <v>#REF!</v>
      </c>
      <c r="P5" s="27" t="e">
        <f>#REF!/8</f>
        <v>#REF!</v>
      </c>
      <c r="Q5" s="27" t="e">
        <f>#REF!/8</f>
        <v>#REF!</v>
      </c>
      <c r="R5" s="27" t="e">
        <f>#REF!/8</f>
        <v>#REF!</v>
      </c>
      <c r="S5" s="43" t="e">
        <f>SUM(O5:R5)</f>
        <v>#REF!</v>
      </c>
      <c r="T5" s="27" t="e">
        <f>#REF!/8</f>
        <v>#REF!</v>
      </c>
      <c r="U5" s="40" t="e">
        <f t="shared" ref="U5:U71" si="3">SUM(S5:T5)</f>
        <v>#REF!</v>
      </c>
      <c r="V5" s="27" t="e">
        <f>#REF!/8</f>
        <v>#REF!</v>
      </c>
      <c r="W5" s="27" t="e">
        <f>#REF!/8</f>
        <v>#REF!</v>
      </c>
      <c r="X5" s="24" t="e">
        <f>X7+X9+X10+X11+X12+X13</f>
        <v>#REF!</v>
      </c>
      <c r="Y5" s="27"/>
      <c r="Z5" s="27"/>
      <c r="AA5" s="24">
        <f>AA7+AA9+AA10+AA11+AA12+AA13</f>
        <v>4440240.5600000005</v>
      </c>
      <c r="AB5" s="24">
        <f>AB7+AB9+AB10+AB11+AB12+AB13</f>
        <v>4440240.5600000005</v>
      </c>
      <c r="AC5" s="78">
        <f>AC7+AC9+AC10+AC11+AC12+AC13</f>
        <v>28861563.639999997</v>
      </c>
      <c r="AD5" s="78">
        <f>AD7+AD9+AD10+AD11+AD12+AD13</f>
        <v>4440240.5600000005</v>
      </c>
      <c r="AE5" s="78">
        <f t="shared" ref="AE5:AF5" si="4">AE7+AE9+AE10+AE11+AE12+AE13</f>
        <v>4440240.5600000005</v>
      </c>
      <c r="AF5" s="78">
        <f t="shared" si="4"/>
        <v>4440240.5600000005</v>
      </c>
      <c r="AG5" s="78"/>
      <c r="AH5" s="78"/>
      <c r="AI5" s="78"/>
      <c r="AJ5" s="24">
        <f>AJ7+AJ9+AJ10+AJ11+AJ12+AJ13</f>
        <v>54126147.981399998</v>
      </c>
      <c r="AK5" s="24">
        <f t="shared" ref="AK5:BA5" si="5">AK7+AK9+AK10+AK11+AK12+AK13</f>
        <v>42182285.32</v>
      </c>
      <c r="AL5" s="24">
        <f t="shared" si="5"/>
        <v>0</v>
      </c>
      <c r="AM5" s="24">
        <f t="shared" si="5"/>
        <v>0</v>
      </c>
      <c r="AN5" s="24">
        <f t="shared" si="5"/>
        <v>0</v>
      </c>
      <c r="AO5" s="24">
        <f t="shared" si="5"/>
        <v>0</v>
      </c>
      <c r="AP5" s="24">
        <f t="shared" si="5"/>
        <v>4440240.5600000005</v>
      </c>
      <c r="AQ5" s="24">
        <f t="shared" si="5"/>
        <v>0</v>
      </c>
      <c r="AR5" s="24">
        <f t="shared" si="5"/>
        <v>0</v>
      </c>
      <c r="AS5" s="24">
        <f t="shared" si="5"/>
        <v>0</v>
      </c>
      <c r="AT5" s="24">
        <f t="shared" si="5"/>
        <v>0</v>
      </c>
      <c r="AU5" s="24">
        <f t="shared" si="5"/>
        <v>27150240</v>
      </c>
      <c r="AV5" s="24">
        <f t="shared" si="5"/>
        <v>0</v>
      </c>
      <c r="AW5" s="24">
        <f t="shared" si="5"/>
        <v>27150240</v>
      </c>
      <c r="AX5" s="24">
        <f t="shared" si="5"/>
        <v>18402148</v>
      </c>
      <c r="AY5" s="24">
        <f t="shared" si="5"/>
        <v>35724000</v>
      </c>
      <c r="AZ5" s="24">
        <f t="shared" si="5"/>
        <v>0</v>
      </c>
      <c r="BA5" s="24">
        <f t="shared" si="5"/>
        <v>0</v>
      </c>
      <c r="BB5" s="62">
        <f t="shared" ref="BB5:BB51" si="6">AX5+AY5+AZ5+BA5</f>
        <v>54126148</v>
      </c>
    </row>
    <row r="6" spans="1:54" ht="30">
      <c r="A6" s="19">
        <v>1</v>
      </c>
      <c r="B6" s="5" t="s">
        <v>186</v>
      </c>
      <c r="C6" s="6"/>
      <c r="D6" s="6"/>
      <c r="E6" s="7"/>
      <c r="F6" s="15"/>
      <c r="G6" s="6"/>
      <c r="H6" s="27">
        <f>G6/12</f>
        <v>0</v>
      </c>
      <c r="I6" s="27">
        <f>G6/12</f>
        <v>0</v>
      </c>
      <c r="J6" s="27">
        <f>G6/12</f>
        <v>0</v>
      </c>
      <c r="K6" s="43">
        <f t="shared" si="2"/>
        <v>0</v>
      </c>
      <c r="L6" s="27">
        <f>G6/12</f>
        <v>0</v>
      </c>
      <c r="M6" s="27">
        <f>G6/12</f>
        <v>0</v>
      </c>
      <c r="N6" s="27">
        <f>G6/12</f>
        <v>0</v>
      </c>
      <c r="O6" s="43">
        <f>K6+L6+M6+N6</f>
        <v>0</v>
      </c>
      <c r="P6" s="27" t="e">
        <f>#REF!/8</f>
        <v>#REF!</v>
      </c>
      <c r="Q6" s="27" t="e">
        <f>#REF!/8</f>
        <v>#REF!</v>
      </c>
      <c r="R6" s="27" t="e">
        <f>#REF!/8</f>
        <v>#REF!</v>
      </c>
      <c r="S6" s="43" t="e">
        <f t="shared" ref="S6:S14" si="7">SUM(O6:R6)</f>
        <v>#REF!</v>
      </c>
      <c r="T6" s="27" t="e">
        <f>#REF!/8</f>
        <v>#REF!</v>
      </c>
      <c r="U6" s="40" t="e">
        <f t="shared" si="3"/>
        <v>#REF!</v>
      </c>
      <c r="V6" s="27" t="e">
        <f>P6/8</f>
        <v>#REF!</v>
      </c>
      <c r="W6" s="27" t="e">
        <f>P6/8</f>
        <v>#REF!</v>
      </c>
      <c r="X6" s="43" t="e">
        <f t="shared" ref="X6:X14" si="8">SUM(S6:W6)</f>
        <v>#REF!</v>
      </c>
      <c r="Y6" s="27"/>
      <c r="Z6" s="27"/>
      <c r="AA6" s="27">
        <f>Z6/12</f>
        <v>0</v>
      </c>
      <c r="AB6" s="27">
        <f>Z6/12</f>
        <v>0</v>
      </c>
      <c r="AC6" s="79">
        <f>Z6/12</f>
        <v>0</v>
      </c>
      <c r="AD6" s="79">
        <f>AB6/12</f>
        <v>0</v>
      </c>
      <c r="AE6" s="79">
        <f>AB6/12</f>
        <v>0</v>
      </c>
      <c r="AF6" s="79">
        <f>AB6/12</f>
        <v>0</v>
      </c>
      <c r="AG6" s="79"/>
      <c r="AH6" s="79"/>
      <c r="AI6" s="79"/>
      <c r="AJ6" s="79">
        <v>161036</v>
      </c>
      <c r="AK6" s="79">
        <f t="shared" ref="AK6:AK68" si="9">SUM(AC6:AF6)</f>
        <v>0</v>
      </c>
      <c r="AL6" s="79">
        <f>AB6/12</f>
        <v>0</v>
      </c>
      <c r="AM6" s="79">
        <f>AB6/12</f>
        <v>0</v>
      </c>
      <c r="AN6" s="79">
        <f>AB6/12</f>
        <v>0</v>
      </c>
      <c r="AO6" s="79">
        <f>AB6/12</f>
        <v>0</v>
      </c>
      <c r="AP6" s="79">
        <f>AN6/12</f>
        <v>0</v>
      </c>
      <c r="AQ6" s="79">
        <f>AN6/12</f>
        <v>0</v>
      </c>
      <c r="AR6" s="79">
        <f>AN6/12</f>
        <v>0</v>
      </c>
      <c r="AS6" s="6"/>
      <c r="AT6" s="6"/>
      <c r="AU6" s="6"/>
      <c r="AV6" s="6"/>
      <c r="AW6" s="1">
        <f t="shared" ref="AW6:AW68" si="10">AT6+AU6+AV6</f>
        <v>0</v>
      </c>
      <c r="AX6" s="6">
        <v>161036</v>
      </c>
      <c r="AY6" s="6"/>
      <c r="AZ6" s="6"/>
      <c r="BA6" s="6"/>
      <c r="BB6" s="62">
        <f t="shared" si="6"/>
        <v>161036</v>
      </c>
    </row>
    <row r="7" spans="1:54" ht="30">
      <c r="A7" s="1" t="s">
        <v>20</v>
      </c>
      <c r="B7" s="20" t="s">
        <v>1</v>
      </c>
      <c r="C7" s="6">
        <v>7.8</v>
      </c>
      <c r="D7" s="6" t="s">
        <v>2</v>
      </c>
      <c r="E7" s="7">
        <v>4580000</v>
      </c>
      <c r="F7" s="21">
        <f>C7*E7</f>
        <v>35724000</v>
      </c>
      <c r="G7" s="21">
        <f>F7*0.04</f>
        <v>1428960</v>
      </c>
      <c r="H7" s="21">
        <f>F7*H1</f>
        <v>2857920</v>
      </c>
      <c r="I7" s="21">
        <f>F7*I1</f>
        <v>2857920</v>
      </c>
      <c r="J7" s="21">
        <f>F7*J1</f>
        <v>2857920</v>
      </c>
      <c r="K7" s="21">
        <f t="shared" si="2"/>
        <v>10002720</v>
      </c>
      <c r="L7" s="21">
        <f>F7*L1</f>
        <v>2857920</v>
      </c>
      <c r="M7" s="21">
        <f t="shared" ref="M7:Z7" si="11">G7*M1</f>
        <v>0</v>
      </c>
      <c r="N7" s="21">
        <f t="shared" si="11"/>
        <v>0</v>
      </c>
      <c r="O7" s="21">
        <f t="shared" si="11"/>
        <v>0</v>
      </c>
      <c r="P7" s="21">
        <f t="shared" si="11"/>
        <v>0</v>
      </c>
      <c r="Q7" s="21">
        <f t="shared" si="11"/>
        <v>0</v>
      </c>
      <c r="R7" s="21">
        <f t="shared" si="11"/>
        <v>0</v>
      </c>
      <c r="S7" s="21">
        <f t="shared" si="11"/>
        <v>0</v>
      </c>
      <c r="T7" s="21">
        <f t="shared" si="11"/>
        <v>0</v>
      </c>
      <c r="U7" s="21">
        <f t="shared" si="11"/>
        <v>0</v>
      </c>
      <c r="V7" s="21">
        <f t="shared" si="11"/>
        <v>0</v>
      </c>
      <c r="W7" s="21">
        <f t="shared" si="11"/>
        <v>0</v>
      </c>
      <c r="X7" s="21">
        <f t="shared" si="11"/>
        <v>0</v>
      </c>
      <c r="Y7" s="21">
        <f t="shared" si="11"/>
        <v>0</v>
      </c>
      <c r="Z7" s="21">
        <f t="shared" si="11"/>
        <v>0</v>
      </c>
      <c r="AA7" s="21">
        <f>F7*AA1</f>
        <v>2857920</v>
      </c>
      <c r="AB7" s="21">
        <f>F7*AB1</f>
        <v>2857920</v>
      </c>
      <c r="AC7" s="21">
        <f>K7+L7+AA7+AB7</f>
        <v>18576480</v>
      </c>
      <c r="AD7" s="21">
        <f>F7*AD1</f>
        <v>2857920</v>
      </c>
      <c r="AE7" s="21">
        <f>F7*AE1</f>
        <v>2857920</v>
      </c>
      <c r="AF7" s="21">
        <f>$F7*$AF$1</f>
        <v>2857920</v>
      </c>
      <c r="AG7" s="105">
        <v>7.8</v>
      </c>
      <c r="AH7" s="21" t="s">
        <v>2</v>
      </c>
      <c r="AI7" s="21">
        <v>4580000</v>
      </c>
      <c r="AJ7" s="21">
        <f>AG7*AI7</f>
        <v>35724000</v>
      </c>
      <c r="AK7" s="21">
        <f t="shared" si="9"/>
        <v>27150240</v>
      </c>
      <c r="AL7" s="21"/>
      <c r="AM7" s="21"/>
      <c r="AN7" s="21"/>
      <c r="AO7" s="21"/>
      <c r="AP7" s="21">
        <f>$F7*$AF$1</f>
        <v>2857920</v>
      </c>
      <c r="AQ7" s="21">
        <f>N7*AQ1</f>
        <v>0</v>
      </c>
      <c r="AR7" s="80"/>
      <c r="AS7" s="6"/>
      <c r="AT7" s="6"/>
      <c r="AU7" s="6">
        <v>27150240</v>
      </c>
      <c r="AV7" s="6"/>
      <c r="AW7" s="1">
        <f t="shared" si="10"/>
        <v>27150240</v>
      </c>
      <c r="AX7" s="35"/>
      <c r="AY7" s="35">
        <v>35724000</v>
      </c>
      <c r="AZ7" s="6"/>
      <c r="BA7" s="6"/>
      <c r="BB7" s="62">
        <f t="shared" si="6"/>
        <v>35724000</v>
      </c>
    </row>
    <row r="8" spans="1:54" ht="45">
      <c r="A8" s="1" t="s">
        <v>21</v>
      </c>
      <c r="B8" s="23" t="s">
        <v>23</v>
      </c>
      <c r="C8" s="6"/>
      <c r="D8" s="6"/>
      <c r="E8" s="7"/>
      <c r="F8" s="21">
        <f>F9+F10+F11+F12</f>
        <v>19779007</v>
      </c>
      <c r="G8" s="21">
        <f>G9+G10+G11+G12</f>
        <v>791160.28</v>
      </c>
      <c r="H8" s="21">
        <f>H9+H10+H11+H12</f>
        <v>1582320.56</v>
      </c>
      <c r="I8" s="21">
        <f>I9+I10+I11+I12</f>
        <v>1582320.56</v>
      </c>
      <c r="J8" s="21">
        <f>J9+J10+J11+J12</f>
        <v>1582320.56</v>
      </c>
      <c r="K8" s="43">
        <f t="shared" si="2"/>
        <v>5538121.96</v>
      </c>
      <c r="L8" s="27">
        <f>SUM(L9:L12)</f>
        <v>1582320.56</v>
      </c>
      <c r="M8" s="50" t="e">
        <f t="shared" ref="M8:X8" si="12">M9+M10+M11+M12</f>
        <v>#REF!</v>
      </c>
      <c r="N8" s="50" t="e">
        <f t="shared" si="12"/>
        <v>#REF!</v>
      </c>
      <c r="O8" s="50" t="e">
        <f t="shared" si="12"/>
        <v>#REF!</v>
      </c>
      <c r="P8" s="50" t="e">
        <f t="shared" si="12"/>
        <v>#REF!</v>
      </c>
      <c r="Q8" s="50" t="e">
        <f t="shared" si="12"/>
        <v>#REF!</v>
      </c>
      <c r="R8" s="50" t="e">
        <f t="shared" si="12"/>
        <v>#REF!</v>
      </c>
      <c r="S8" s="50" t="e">
        <f t="shared" si="12"/>
        <v>#REF!</v>
      </c>
      <c r="T8" s="50" t="e">
        <f t="shared" si="12"/>
        <v>#REF!</v>
      </c>
      <c r="U8" s="40" t="e">
        <f t="shared" si="3"/>
        <v>#REF!</v>
      </c>
      <c r="V8" s="50" t="e">
        <f t="shared" si="12"/>
        <v>#REF!</v>
      </c>
      <c r="W8" s="50" t="e">
        <f t="shared" si="12"/>
        <v>#REF!</v>
      </c>
      <c r="X8" s="50" t="e">
        <f t="shared" si="12"/>
        <v>#REF!</v>
      </c>
      <c r="Y8" s="27"/>
      <c r="Z8" s="27"/>
      <c r="AA8" s="21">
        <f>AA9+AA10+AA11+AA12</f>
        <v>1582320.56</v>
      </c>
      <c r="AB8" s="21">
        <f>AB9+AB10+AB11+AB12</f>
        <v>1582320.56</v>
      </c>
      <c r="AC8" s="80">
        <f>AC9+AC10+AC11+AC12</f>
        <v>10285083.640000001</v>
      </c>
      <c r="AD8" s="80">
        <f>AD9+AD10+AD11+AD12</f>
        <v>1582320.56</v>
      </c>
      <c r="AE8" s="80">
        <f>SUM(AE9:AE12)</f>
        <v>1582320.56</v>
      </c>
      <c r="AF8" s="80">
        <f>SUM(AF9:AF12)</f>
        <v>1582320.56</v>
      </c>
      <c r="AG8" s="80"/>
      <c r="AH8" s="80"/>
      <c r="AI8" s="80"/>
      <c r="AJ8" s="80">
        <f>AJ9+AJ10+AJ11+AJ12</f>
        <v>20711860.981399998</v>
      </c>
      <c r="AK8" s="80">
        <f t="shared" ref="AK8:AX8" si="13">AK9+AK10+AK11+AK12</f>
        <v>15032045.32</v>
      </c>
      <c r="AL8" s="80">
        <f t="shared" si="13"/>
        <v>0</v>
      </c>
      <c r="AM8" s="80">
        <f t="shared" si="13"/>
        <v>0</v>
      </c>
      <c r="AN8" s="80">
        <f t="shared" si="13"/>
        <v>0</v>
      </c>
      <c r="AO8" s="80">
        <f t="shared" si="13"/>
        <v>0</v>
      </c>
      <c r="AP8" s="80">
        <f t="shared" si="13"/>
        <v>1582320.56</v>
      </c>
      <c r="AQ8" s="80">
        <f t="shared" si="13"/>
        <v>0</v>
      </c>
      <c r="AR8" s="80">
        <f t="shared" si="13"/>
        <v>0</v>
      </c>
      <c r="AS8" s="80">
        <f t="shared" si="13"/>
        <v>0</v>
      </c>
      <c r="AT8" s="80">
        <f t="shared" si="13"/>
        <v>0</v>
      </c>
      <c r="AU8" s="80">
        <f t="shared" si="13"/>
        <v>0</v>
      </c>
      <c r="AV8" s="80">
        <f t="shared" si="13"/>
        <v>0</v>
      </c>
      <c r="AW8" s="80">
        <f t="shared" si="13"/>
        <v>0</v>
      </c>
      <c r="AX8" s="21">
        <f t="shared" si="13"/>
        <v>20711861</v>
      </c>
      <c r="AY8" s="35"/>
      <c r="AZ8" s="6"/>
      <c r="BA8" s="6"/>
      <c r="BB8" s="62">
        <f t="shared" si="6"/>
        <v>20711861</v>
      </c>
    </row>
    <row r="9" spans="1:54" ht="45">
      <c r="A9" s="1" t="s">
        <v>24</v>
      </c>
      <c r="B9" s="9" t="s">
        <v>25</v>
      </c>
      <c r="C9" s="6">
        <v>274.89999999999998</v>
      </c>
      <c r="D9" s="6" t="s">
        <v>3</v>
      </c>
      <c r="E9" s="7">
        <v>22300</v>
      </c>
      <c r="F9" s="7">
        <f>C9*E9</f>
        <v>6130269.9999999991</v>
      </c>
      <c r="G9" s="27">
        <f>F9*0.04</f>
        <v>245210.79999999996</v>
      </c>
      <c r="H9" s="27">
        <f>F9*H1</f>
        <v>490421.59999999992</v>
      </c>
      <c r="I9" s="27">
        <f>F9*I1</f>
        <v>490421.59999999992</v>
      </c>
      <c r="J9" s="27">
        <f>F9*J1</f>
        <v>490421.59999999992</v>
      </c>
      <c r="K9" s="43">
        <f t="shared" si="2"/>
        <v>1716475.5999999996</v>
      </c>
      <c r="L9" s="27">
        <f>F9*L1</f>
        <v>490421.59999999992</v>
      </c>
      <c r="M9" s="27" t="e">
        <f>#REF!/8</f>
        <v>#REF!</v>
      </c>
      <c r="N9" s="27" t="e">
        <f>#REF!/8</f>
        <v>#REF!</v>
      </c>
      <c r="O9" s="43" t="e">
        <f t="shared" ref="O9:O14" si="14">K9+L9+M9+N9</f>
        <v>#REF!</v>
      </c>
      <c r="P9" s="27" t="e">
        <f>#REF!/8</f>
        <v>#REF!</v>
      </c>
      <c r="Q9" s="27" t="e">
        <f>#REF!/8</f>
        <v>#REF!</v>
      </c>
      <c r="R9" s="27" t="e">
        <f>#REF!/8</f>
        <v>#REF!</v>
      </c>
      <c r="S9" s="43" t="e">
        <f t="shared" si="7"/>
        <v>#REF!</v>
      </c>
      <c r="T9" s="27" t="e">
        <f>#REF!/8</f>
        <v>#REF!</v>
      </c>
      <c r="U9" s="40" t="e">
        <f t="shared" si="3"/>
        <v>#REF!</v>
      </c>
      <c r="V9" s="27" t="e">
        <f>#REF!/8</f>
        <v>#REF!</v>
      </c>
      <c r="W9" s="27" t="e">
        <f>#REF!-S9-T9-V9</f>
        <v>#REF!</v>
      </c>
      <c r="X9" s="43" t="e">
        <f t="shared" si="8"/>
        <v>#REF!</v>
      </c>
      <c r="Y9" s="27"/>
      <c r="Z9" s="27"/>
      <c r="AA9" s="27">
        <f>F9*AA1</f>
        <v>490421.59999999992</v>
      </c>
      <c r="AB9" s="27">
        <f>F9*AB1</f>
        <v>490421.59999999992</v>
      </c>
      <c r="AC9" s="79">
        <f>K9+L9+AA9+AB9</f>
        <v>3187740.4</v>
      </c>
      <c r="AD9" s="79">
        <f>F9*AD1</f>
        <v>490421.59999999992</v>
      </c>
      <c r="AE9" s="27">
        <f>F9*AE1</f>
        <v>490421.59999999992</v>
      </c>
      <c r="AF9" s="27">
        <f>$F9*$AF$1</f>
        <v>490421.59999999992</v>
      </c>
      <c r="AG9" s="107">
        <v>275.26461799999998</v>
      </c>
      <c r="AH9" s="27" t="s">
        <v>3</v>
      </c>
      <c r="AI9" s="27">
        <v>22300</v>
      </c>
      <c r="AJ9" s="27">
        <f>AG9*AI9</f>
        <v>6138400.9813999999</v>
      </c>
      <c r="AK9" s="27">
        <f t="shared" si="9"/>
        <v>4659005.2</v>
      </c>
      <c r="AL9" s="6"/>
      <c r="AM9" s="6"/>
      <c r="AN9" s="6"/>
      <c r="AO9" s="6"/>
      <c r="AP9" s="27">
        <f>$F9*$AF$1</f>
        <v>490421.59999999992</v>
      </c>
      <c r="AQ9" s="27"/>
      <c r="AR9" s="79"/>
      <c r="AS9" s="6"/>
      <c r="AT9" s="6"/>
      <c r="AU9" s="6"/>
      <c r="AV9" s="6"/>
      <c r="AW9" s="1">
        <f t="shared" si="10"/>
        <v>0</v>
      </c>
      <c r="AX9" s="35">
        <v>6138401</v>
      </c>
      <c r="AY9" s="35"/>
      <c r="AZ9" s="6"/>
      <c r="BA9" s="6"/>
      <c r="BB9" s="62">
        <f t="shared" si="6"/>
        <v>6138401</v>
      </c>
    </row>
    <row r="10" spans="1:54" ht="27.75" customHeight="1">
      <c r="A10" s="1" t="s">
        <v>22</v>
      </c>
      <c r="B10" s="5" t="s">
        <v>16</v>
      </c>
      <c r="C10" s="6"/>
      <c r="D10" s="6"/>
      <c r="E10" s="7"/>
      <c r="F10" s="10">
        <v>7589760</v>
      </c>
      <c r="G10" s="27">
        <f>F10*0.04</f>
        <v>303590.40000000002</v>
      </c>
      <c r="H10" s="27">
        <f>F10*H1</f>
        <v>607180.80000000005</v>
      </c>
      <c r="I10" s="27">
        <f>F10*I1</f>
        <v>607180.80000000005</v>
      </c>
      <c r="J10" s="27">
        <f>F10*J1</f>
        <v>607180.80000000005</v>
      </c>
      <c r="K10" s="43">
        <f t="shared" si="2"/>
        <v>2125132.7999999998</v>
      </c>
      <c r="L10" s="27">
        <f>F10*L1</f>
        <v>607180.80000000005</v>
      </c>
      <c r="M10" s="27" t="e">
        <f>#REF!/8</f>
        <v>#REF!</v>
      </c>
      <c r="N10" s="27" t="e">
        <f>#REF!/8</f>
        <v>#REF!</v>
      </c>
      <c r="O10" s="43" t="e">
        <f t="shared" si="14"/>
        <v>#REF!</v>
      </c>
      <c r="P10" s="27" t="e">
        <f>#REF!/8</f>
        <v>#REF!</v>
      </c>
      <c r="Q10" s="27" t="e">
        <f>#REF!/8</f>
        <v>#REF!</v>
      </c>
      <c r="R10" s="27" t="e">
        <f>#REF!/8</f>
        <v>#REF!</v>
      </c>
      <c r="S10" s="43" t="e">
        <f t="shared" si="7"/>
        <v>#REF!</v>
      </c>
      <c r="T10" s="27" t="e">
        <f>#REF!/8</f>
        <v>#REF!</v>
      </c>
      <c r="U10" s="40" t="e">
        <f t="shared" si="3"/>
        <v>#REF!</v>
      </c>
      <c r="V10" s="27" t="e">
        <f>#REF!/8</f>
        <v>#REF!</v>
      </c>
      <c r="W10" s="27" t="e">
        <f>#REF!-S10-T10-V10</f>
        <v>#REF!</v>
      </c>
      <c r="X10" s="43" t="e">
        <f t="shared" si="8"/>
        <v>#REF!</v>
      </c>
      <c r="Y10" s="27"/>
      <c r="Z10" s="27"/>
      <c r="AA10" s="27">
        <f>F10*AA1</f>
        <v>607180.80000000005</v>
      </c>
      <c r="AB10" s="27">
        <f>F10*AB1</f>
        <v>607180.80000000005</v>
      </c>
      <c r="AC10" s="79">
        <f>K10+L10+AA10+AB10</f>
        <v>3946675.1999999993</v>
      </c>
      <c r="AD10" s="79">
        <f>F10*AD1</f>
        <v>607180.80000000005</v>
      </c>
      <c r="AE10" s="6">
        <f>F10*AE1</f>
        <v>607180.80000000005</v>
      </c>
      <c r="AF10" s="27">
        <f>$F10*$AF$1</f>
        <v>607180.80000000005</v>
      </c>
      <c r="AG10" s="27">
        <v>26.8</v>
      </c>
      <c r="AH10" s="27" t="s">
        <v>181</v>
      </c>
      <c r="AI10" s="27">
        <v>320000</v>
      </c>
      <c r="AJ10" s="27">
        <f>AG10*AI10</f>
        <v>8576000</v>
      </c>
      <c r="AK10" s="27">
        <f t="shared" si="9"/>
        <v>5768217.5999999987</v>
      </c>
      <c r="AL10" s="6"/>
      <c r="AM10" s="6"/>
      <c r="AN10" s="6"/>
      <c r="AO10" s="6"/>
      <c r="AP10" s="27">
        <f>$F10*$AF$1</f>
        <v>607180.80000000005</v>
      </c>
      <c r="AQ10" s="6"/>
      <c r="AR10" s="79"/>
      <c r="AS10" s="6"/>
      <c r="AT10" s="6"/>
      <c r="AU10" s="6"/>
      <c r="AV10" s="6"/>
      <c r="AW10" s="1">
        <f t="shared" si="10"/>
        <v>0</v>
      </c>
      <c r="AX10" s="35">
        <v>8576000</v>
      </c>
      <c r="AY10" s="35"/>
      <c r="AZ10" s="6"/>
      <c r="BA10" s="6"/>
      <c r="BB10" s="62">
        <f t="shared" si="6"/>
        <v>8576000</v>
      </c>
    </row>
    <row r="11" spans="1:54" ht="45">
      <c r="A11" s="1" t="s">
        <v>26</v>
      </c>
      <c r="B11" s="5" t="s">
        <v>4</v>
      </c>
      <c r="C11" s="6"/>
      <c r="D11" s="6"/>
      <c r="E11" s="7"/>
      <c r="F11" s="7">
        <v>100000</v>
      </c>
      <c r="G11" s="6">
        <f>F11*0.04</f>
        <v>4000</v>
      </c>
      <c r="H11" s="27">
        <f>F11*H1</f>
        <v>8000</v>
      </c>
      <c r="I11" s="27">
        <f>F11*I1</f>
        <v>8000</v>
      </c>
      <c r="J11" s="27">
        <f>F11*J1</f>
        <v>8000</v>
      </c>
      <c r="K11" s="43">
        <f t="shared" si="2"/>
        <v>28000</v>
      </c>
      <c r="L11" s="27">
        <f>F11*L1</f>
        <v>8000</v>
      </c>
      <c r="M11" s="27" t="e">
        <f>#REF!/8</f>
        <v>#REF!</v>
      </c>
      <c r="N11" s="27" t="e">
        <f>#REF!/8</f>
        <v>#REF!</v>
      </c>
      <c r="O11" s="43" t="e">
        <f t="shared" si="14"/>
        <v>#REF!</v>
      </c>
      <c r="P11" s="27" t="e">
        <f>#REF!/8</f>
        <v>#REF!</v>
      </c>
      <c r="Q11" s="27" t="e">
        <f>#REF!/8</f>
        <v>#REF!</v>
      </c>
      <c r="R11" s="27" t="e">
        <f>#REF!/8</f>
        <v>#REF!</v>
      </c>
      <c r="S11" s="43" t="e">
        <f t="shared" si="7"/>
        <v>#REF!</v>
      </c>
      <c r="T11" s="27" t="e">
        <f>#REF!/8</f>
        <v>#REF!</v>
      </c>
      <c r="U11" s="40" t="e">
        <f t="shared" si="3"/>
        <v>#REF!</v>
      </c>
      <c r="V11" s="27" t="e">
        <f>#REF!/8</f>
        <v>#REF!</v>
      </c>
      <c r="W11" s="27" t="e">
        <f>#REF!-S11-T11-V11</f>
        <v>#REF!</v>
      </c>
      <c r="X11" s="43" t="e">
        <f t="shared" si="8"/>
        <v>#REF!</v>
      </c>
      <c r="Y11" s="27"/>
      <c r="Z11" s="27"/>
      <c r="AA11" s="27">
        <f>F11*AA1</f>
        <v>8000</v>
      </c>
      <c r="AB11" s="27">
        <f>F11*AB1</f>
        <v>8000</v>
      </c>
      <c r="AC11" s="79">
        <f>K11+L11+AA11+AB11</f>
        <v>52000</v>
      </c>
      <c r="AD11" s="79">
        <f>F11*AD1</f>
        <v>8000</v>
      </c>
      <c r="AE11" s="6">
        <f>F11*AE1</f>
        <v>8000</v>
      </c>
      <c r="AF11" s="27">
        <f>$F11*$AF$1</f>
        <v>8000</v>
      </c>
      <c r="AG11" s="27"/>
      <c r="AH11" s="27"/>
      <c r="AI11" s="27"/>
      <c r="AJ11" s="27">
        <v>100000</v>
      </c>
      <c r="AK11" s="27">
        <f t="shared" si="9"/>
        <v>76000</v>
      </c>
      <c r="AL11" s="6"/>
      <c r="AM11" s="6"/>
      <c r="AN11" s="6"/>
      <c r="AO11" s="6"/>
      <c r="AP11" s="27">
        <f>$F11*$AF$1</f>
        <v>8000</v>
      </c>
      <c r="AQ11" s="6"/>
      <c r="AR11" s="79"/>
      <c r="AS11" s="6"/>
      <c r="AT11" s="6"/>
      <c r="AU11" s="6"/>
      <c r="AV11" s="6"/>
      <c r="AW11" s="1">
        <f t="shared" si="10"/>
        <v>0</v>
      </c>
      <c r="AX11" s="35">
        <v>100000</v>
      </c>
      <c r="AY11" s="35"/>
      <c r="AZ11" s="6"/>
      <c r="BA11" s="6"/>
      <c r="BB11" s="62">
        <f t="shared" si="6"/>
        <v>100000</v>
      </c>
    </row>
    <row r="12" spans="1:54">
      <c r="A12" s="1" t="s">
        <v>27</v>
      </c>
      <c r="B12" s="5" t="s">
        <v>17</v>
      </c>
      <c r="C12" s="6"/>
      <c r="D12" s="6"/>
      <c r="E12" s="7"/>
      <c r="F12" s="7">
        <v>5958977</v>
      </c>
      <c r="G12" s="27">
        <f>F12*0.04</f>
        <v>238359.08000000002</v>
      </c>
      <c r="H12" s="27">
        <f>F12*H1</f>
        <v>476718.16000000003</v>
      </c>
      <c r="I12" s="27">
        <f>F12*I1</f>
        <v>476718.16000000003</v>
      </c>
      <c r="J12" s="27">
        <f>F12*J1</f>
        <v>476718.16000000003</v>
      </c>
      <c r="K12" s="43">
        <f t="shared" si="2"/>
        <v>1668513.56</v>
      </c>
      <c r="L12" s="27">
        <f>F12*L1</f>
        <v>476718.16000000003</v>
      </c>
      <c r="M12" s="27" t="e">
        <f>#REF!/8</f>
        <v>#REF!</v>
      </c>
      <c r="N12" s="27" t="e">
        <f>#REF!/8</f>
        <v>#REF!</v>
      </c>
      <c r="O12" s="43" t="e">
        <f t="shared" si="14"/>
        <v>#REF!</v>
      </c>
      <c r="P12" s="27" t="e">
        <f>#REF!/8</f>
        <v>#REF!</v>
      </c>
      <c r="Q12" s="27" t="e">
        <f>#REF!/8</f>
        <v>#REF!</v>
      </c>
      <c r="R12" s="27" t="e">
        <f>#REF!/8</f>
        <v>#REF!</v>
      </c>
      <c r="S12" s="43" t="e">
        <f t="shared" si="7"/>
        <v>#REF!</v>
      </c>
      <c r="T12" s="27" t="e">
        <f>#REF!/8</f>
        <v>#REF!</v>
      </c>
      <c r="U12" s="40" t="e">
        <f t="shared" si="3"/>
        <v>#REF!</v>
      </c>
      <c r="V12" s="27" t="e">
        <f>#REF!/8</f>
        <v>#REF!</v>
      </c>
      <c r="W12" s="27" t="e">
        <f>#REF!-S12-T12-V12</f>
        <v>#REF!</v>
      </c>
      <c r="X12" s="43" t="e">
        <f t="shared" si="8"/>
        <v>#REF!</v>
      </c>
      <c r="Y12" s="27"/>
      <c r="Z12" s="27"/>
      <c r="AA12" s="27">
        <f>F12*AA1</f>
        <v>476718.16000000003</v>
      </c>
      <c r="AB12" s="27">
        <f>F12*AB1</f>
        <v>476718.16000000003</v>
      </c>
      <c r="AC12" s="79">
        <f>K12+L12+AA12+AB12</f>
        <v>3098668.0400000005</v>
      </c>
      <c r="AD12" s="79">
        <f>F12*AD1</f>
        <v>476718.16000000003</v>
      </c>
      <c r="AE12" s="27">
        <f>F12*AE1</f>
        <v>476718.16000000003</v>
      </c>
      <c r="AF12" s="27">
        <f>$F12*$AF$1</f>
        <v>476718.16000000003</v>
      </c>
      <c r="AG12" s="27">
        <v>25.98</v>
      </c>
      <c r="AH12" s="27" t="s">
        <v>181</v>
      </c>
      <c r="AI12" s="27">
        <v>227000</v>
      </c>
      <c r="AJ12" s="27">
        <f>AG12*AI12</f>
        <v>5897460</v>
      </c>
      <c r="AK12" s="27">
        <f t="shared" si="9"/>
        <v>4528822.5200000005</v>
      </c>
      <c r="AL12" s="6"/>
      <c r="AM12" s="6"/>
      <c r="AN12" s="6"/>
      <c r="AO12" s="6"/>
      <c r="AP12" s="27">
        <f>$F12*$AF$1</f>
        <v>476718.16000000003</v>
      </c>
      <c r="AQ12" s="27"/>
      <c r="AR12" s="79"/>
      <c r="AS12" s="6"/>
      <c r="AT12" s="6"/>
      <c r="AU12" s="6"/>
      <c r="AV12" s="6"/>
      <c r="AW12" s="1">
        <f t="shared" si="10"/>
        <v>0</v>
      </c>
      <c r="AX12" s="35">
        <v>5897460</v>
      </c>
      <c r="AY12" s="35"/>
      <c r="AZ12" s="6"/>
      <c r="BA12" s="6"/>
      <c r="BB12" s="62">
        <f t="shared" si="6"/>
        <v>5897460</v>
      </c>
    </row>
    <row r="13" spans="1:54" ht="30">
      <c r="A13" s="1" t="s">
        <v>28</v>
      </c>
      <c r="B13" s="22" t="s">
        <v>5</v>
      </c>
      <c r="C13" s="6"/>
      <c r="D13" s="6"/>
      <c r="E13" s="7"/>
      <c r="F13" s="21"/>
      <c r="G13" s="21"/>
      <c r="H13" s="21">
        <f>G13/12</f>
        <v>0</v>
      </c>
      <c r="I13" s="21">
        <f>G13/12</f>
        <v>0</v>
      </c>
      <c r="J13" s="21">
        <f>G13/12</f>
        <v>0</v>
      </c>
      <c r="K13" s="21">
        <f t="shared" si="2"/>
        <v>0</v>
      </c>
      <c r="L13" s="21">
        <f>G13/12</f>
        <v>0</v>
      </c>
      <c r="M13" s="21" t="e">
        <f>#REF!/8</f>
        <v>#REF!</v>
      </c>
      <c r="N13" s="21" t="e">
        <f>#REF!/8</f>
        <v>#REF!</v>
      </c>
      <c r="O13" s="21" t="e">
        <f t="shared" si="14"/>
        <v>#REF!</v>
      </c>
      <c r="P13" s="21" t="e">
        <f>#REF!/8</f>
        <v>#REF!</v>
      </c>
      <c r="Q13" s="21" t="e">
        <f>#REF!/8</f>
        <v>#REF!</v>
      </c>
      <c r="R13" s="21" t="e">
        <f>#REF!/8</f>
        <v>#REF!</v>
      </c>
      <c r="S13" s="21" t="e">
        <f t="shared" si="7"/>
        <v>#REF!</v>
      </c>
      <c r="T13" s="21" t="e">
        <f>#REF!/8</f>
        <v>#REF!</v>
      </c>
      <c r="U13" s="21" t="e">
        <f t="shared" si="3"/>
        <v>#REF!</v>
      </c>
      <c r="V13" s="21" t="e">
        <f>#REF!/8</f>
        <v>#REF!</v>
      </c>
      <c r="W13" s="21" t="e">
        <f>#REF!-S13-T13-V13</f>
        <v>#REF!</v>
      </c>
      <c r="X13" s="21" t="e">
        <f t="shared" si="8"/>
        <v>#REF!</v>
      </c>
      <c r="Y13" s="21"/>
      <c r="Z13" s="21"/>
      <c r="AA13" s="21">
        <f>Z13/12</f>
        <v>0</v>
      </c>
      <c r="AB13" s="21">
        <f>Z13/12</f>
        <v>0</v>
      </c>
      <c r="AC13" s="21">
        <f>Z13/12</f>
        <v>0</v>
      </c>
      <c r="AD13" s="21">
        <f>AB13/12</f>
        <v>0</v>
      </c>
      <c r="AE13" s="21"/>
      <c r="AF13" s="21"/>
      <c r="AG13" s="21"/>
      <c r="AH13" s="21"/>
      <c r="AI13" s="21"/>
      <c r="AJ13" s="21">
        <v>-2309713</v>
      </c>
      <c r="AK13" s="21">
        <f t="shared" si="9"/>
        <v>0</v>
      </c>
      <c r="AL13" s="21"/>
      <c r="AM13" s="21"/>
      <c r="AN13" s="21"/>
      <c r="AO13" s="21"/>
      <c r="AP13" s="21">
        <f>AN13/12</f>
        <v>0</v>
      </c>
      <c r="AQ13" s="21"/>
      <c r="AR13" s="80"/>
      <c r="AS13" s="6"/>
      <c r="AT13" s="6"/>
      <c r="AU13" s="6"/>
      <c r="AV13" s="6"/>
      <c r="AW13" s="1">
        <f t="shared" si="10"/>
        <v>0</v>
      </c>
      <c r="AX13" s="35">
        <v>-2309713</v>
      </c>
      <c r="AY13" s="35"/>
      <c r="AZ13" s="6"/>
      <c r="BA13" s="6"/>
      <c r="BB13" s="62">
        <f t="shared" si="6"/>
        <v>-2309713</v>
      </c>
    </row>
    <row r="14" spans="1:54" ht="30">
      <c r="A14" s="1" t="s">
        <v>29</v>
      </c>
      <c r="B14" s="20" t="s">
        <v>6</v>
      </c>
      <c r="C14" s="6">
        <v>2899</v>
      </c>
      <c r="D14" s="6" t="s">
        <v>2</v>
      </c>
      <c r="E14" s="7">
        <v>2700</v>
      </c>
      <c r="F14" s="21">
        <f>C14*E14</f>
        <v>7827300</v>
      </c>
      <c r="G14" s="21">
        <f>F14*0.04</f>
        <v>313092</v>
      </c>
      <c r="H14" s="21">
        <f>F14*H1</f>
        <v>626184</v>
      </c>
      <c r="I14" s="21">
        <f>F14*I1</f>
        <v>626184</v>
      </c>
      <c r="J14" s="21">
        <f>F14*J1</f>
        <v>626184</v>
      </c>
      <c r="K14" s="21">
        <f t="shared" si="2"/>
        <v>2191644</v>
      </c>
      <c r="L14" s="21">
        <f>F14*0.08</f>
        <v>626184</v>
      </c>
      <c r="M14" s="21">
        <f>G14*0.08</f>
        <v>25047.360000000001</v>
      </c>
      <c r="N14" s="21">
        <f>G14*0.08</f>
        <v>25047.360000000001</v>
      </c>
      <c r="O14" s="21">
        <f t="shared" si="14"/>
        <v>2867922.7199999997</v>
      </c>
      <c r="P14" s="21">
        <f>G14*0.08</f>
        <v>25047.360000000001</v>
      </c>
      <c r="Q14" s="21">
        <f>G14*0.08</f>
        <v>25047.360000000001</v>
      </c>
      <c r="R14" s="21">
        <f>G14*0.08</f>
        <v>25047.360000000001</v>
      </c>
      <c r="S14" s="21">
        <f t="shared" si="7"/>
        <v>2943064.7999999993</v>
      </c>
      <c r="T14" s="21">
        <f>G14*0.08</f>
        <v>25047.360000000001</v>
      </c>
      <c r="U14" s="21">
        <f t="shared" si="3"/>
        <v>2968112.1599999992</v>
      </c>
      <c r="V14" s="21">
        <f>G14*0.08</f>
        <v>25047.360000000001</v>
      </c>
      <c r="W14" s="21" t="e">
        <f>#REF!-S14-T14-V14</f>
        <v>#REF!</v>
      </c>
      <c r="X14" s="21" t="e">
        <f t="shared" si="8"/>
        <v>#REF!</v>
      </c>
      <c r="Y14" s="21"/>
      <c r="Z14" s="21"/>
      <c r="AA14" s="21">
        <f>F14*AA1</f>
        <v>626184</v>
      </c>
      <c r="AB14" s="21">
        <f>F14*AB1</f>
        <v>626184</v>
      </c>
      <c r="AC14" s="21">
        <f>K14+L14+AA14+AB14</f>
        <v>4070196</v>
      </c>
      <c r="AD14" s="21">
        <f>F14*AD1</f>
        <v>626184</v>
      </c>
      <c r="AE14" s="21">
        <f>F14*AE1</f>
        <v>626184</v>
      </c>
      <c r="AF14" s="27">
        <f>$F14*$AF$1</f>
        <v>626184</v>
      </c>
      <c r="AG14" s="27">
        <v>2902</v>
      </c>
      <c r="AH14" s="27" t="s">
        <v>2</v>
      </c>
      <c r="AI14" s="27">
        <v>2700</v>
      </c>
      <c r="AJ14" s="21">
        <f>AG14*AI14</f>
        <v>7835400</v>
      </c>
      <c r="AK14" s="27">
        <f t="shared" si="9"/>
        <v>5948748</v>
      </c>
      <c r="AL14" s="21"/>
      <c r="AM14" s="21"/>
      <c r="AN14" s="21"/>
      <c r="AO14" s="21"/>
      <c r="AP14" s="27">
        <f>$F14*$AF$1</f>
        <v>626184</v>
      </c>
      <c r="AQ14" s="21">
        <f>N14*AQ1</f>
        <v>0</v>
      </c>
      <c r="AR14" s="79"/>
      <c r="AS14" s="6"/>
      <c r="AT14" s="6">
        <v>5948748</v>
      </c>
      <c r="AU14" s="6"/>
      <c r="AV14" s="6"/>
      <c r="AW14" s="1">
        <f t="shared" si="10"/>
        <v>5948748</v>
      </c>
      <c r="AX14" s="35">
        <v>7835400</v>
      </c>
      <c r="AY14" s="35"/>
      <c r="AZ14" s="6"/>
      <c r="BA14" s="6"/>
      <c r="BB14" s="62">
        <f t="shared" si="6"/>
        <v>7835400</v>
      </c>
    </row>
    <row r="15" spans="1:54" hidden="1">
      <c r="B15" s="5"/>
      <c r="C15" s="6"/>
      <c r="D15" s="6"/>
      <c r="E15" s="7"/>
      <c r="F15" s="15"/>
      <c r="G15" s="6"/>
      <c r="H15" s="6"/>
      <c r="I15" s="6"/>
      <c r="J15" s="6"/>
      <c r="K15" s="43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40">
        <f t="shared" si="3"/>
        <v>0</v>
      </c>
      <c r="V15" s="6"/>
      <c r="W15" s="6"/>
      <c r="X15" s="6"/>
      <c r="Y15" s="6"/>
      <c r="Z15" s="6"/>
      <c r="AA15" s="6"/>
      <c r="AB15" s="6"/>
      <c r="AC15" s="45"/>
      <c r="AD15" s="45"/>
      <c r="AE15" s="6"/>
      <c r="AF15" s="6"/>
      <c r="AG15" s="6"/>
      <c r="AH15" s="6"/>
      <c r="AI15" s="6"/>
      <c r="AJ15" s="6"/>
      <c r="AK15" s="6">
        <f t="shared" si="9"/>
        <v>0</v>
      </c>
      <c r="AL15" s="6"/>
      <c r="AM15" s="6"/>
      <c r="AN15" s="6"/>
      <c r="AO15" s="6"/>
      <c r="AP15" s="45"/>
      <c r="AQ15" s="6"/>
      <c r="AR15" s="45"/>
      <c r="AS15" s="6"/>
      <c r="AT15" s="6"/>
      <c r="AU15" s="6"/>
      <c r="AV15" s="6"/>
      <c r="AW15" s="1">
        <f t="shared" si="10"/>
        <v>0</v>
      </c>
      <c r="AX15" s="35"/>
      <c r="AY15" s="35"/>
      <c r="AZ15" s="6"/>
      <c r="BA15" s="6"/>
      <c r="BB15" s="62">
        <f t="shared" si="6"/>
        <v>0</v>
      </c>
    </row>
    <row r="16" spans="1:54" ht="30">
      <c r="A16" s="1" t="s">
        <v>46</v>
      </c>
      <c r="B16" s="17" t="s">
        <v>106</v>
      </c>
      <c r="C16" s="6"/>
      <c r="D16" s="6"/>
      <c r="E16" s="7"/>
      <c r="F16" s="14">
        <f>F18</f>
        <v>66320373.333333328</v>
      </c>
      <c r="G16" s="14">
        <f>G18</f>
        <v>1792288</v>
      </c>
      <c r="H16" s="14">
        <f>H18</f>
        <v>5376864</v>
      </c>
      <c r="I16" s="14">
        <f>I18</f>
        <v>5376864</v>
      </c>
      <c r="J16" s="14">
        <f>J18</f>
        <v>5376864</v>
      </c>
      <c r="K16" s="43">
        <f t="shared" si="2"/>
        <v>17922880</v>
      </c>
      <c r="L16" s="14">
        <f>L18</f>
        <v>5376864</v>
      </c>
      <c r="M16" s="26" t="e">
        <f>M18+#REF!</f>
        <v>#REF!</v>
      </c>
      <c r="N16" s="26" t="e">
        <f>N18+#REF!</f>
        <v>#REF!</v>
      </c>
      <c r="O16" s="52" t="e">
        <f>K16+L16+M16+N16</f>
        <v>#REF!</v>
      </c>
      <c r="P16" s="26" t="e">
        <f>P18+#REF!</f>
        <v>#REF!</v>
      </c>
      <c r="Q16" s="26" t="e">
        <f>Q18+#REF!</f>
        <v>#REF!</v>
      </c>
      <c r="R16" s="26" t="e">
        <f>R18+#REF!</f>
        <v>#REF!</v>
      </c>
      <c r="S16" s="43" t="e">
        <f>SUM(O16:R16)</f>
        <v>#REF!</v>
      </c>
      <c r="T16" s="26" t="e">
        <f>T18+#REF!</f>
        <v>#REF!</v>
      </c>
      <c r="U16" s="40" t="e">
        <f t="shared" si="3"/>
        <v>#REF!</v>
      </c>
      <c r="V16" s="26" t="e">
        <f>V18+#REF!</f>
        <v>#REF!</v>
      </c>
      <c r="W16" s="26" t="e">
        <f>W18+#REF!</f>
        <v>#REF!</v>
      </c>
      <c r="X16" s="26" t="e">
        <f>SUM(S16:W16)</f>
        <v>#REF!</v>
      </c>
      <c r="Y16" s="14">
        <f t="shared" ref="Y16:AD16" si="15">Y18</f>
        <v>0</v>
      </c>
      <c r="Z16" s="14">
        <f t="shared" si="15"/>
        <v>0</v>
      </c>
      <c r="AA16" s="14">
        <f t="shared" si="15"/>
        <v>5376864</v>
      </c>
      <c r="AB16" s="14">
        <f t="shared" si="15"/>
        <v>5376864</v>
      </c>
      <c r="AC16" s="81">
        <f t="shared" si="15"/>
        <v>34053472</v>
      </c>
      <c r="AD16" s="81">
        <f t="shared" si="15"/>
        <v>5376864</v>
      </c>
      <c r="AE16" s="81">
        <f>AE18</f>
        <v>5376864</v>
      </c>
      <c r="AF16" s="81">
        <f>AF18</f>
        <v>5129700</v>
      </c>
      <c r="AG16" s="81"/>
      <c r="AH16" s="81"/>
      <c r="AI16" s="81"/>
      <c r="AJ16" s="14">
        <f>AJ18</f>
        <v>66355233.333333336</v>
      </c>
      <c r="AK16" s="14">
        <f t="shared" ref="AK16:BA16" si="16">AK18</f>
        <v>49936900</v>
      </c>
      <c r="AL16" s="14">
        <f t="shared" si="16"/>
        <v>0</v>
      </c>
      <c r="AM16" s="14">
        <f t="shared" si="16"/>
        <v>0</v>
      </c>
      <c r="AN16" s="14">
        <f t="shared" si="16"/>
        <v>0</v>
      </c>
      <c r="AO16" s="14">
        <f t="shared" si="16"/>
        <v>0</v>
      </c>
      <c r="AP16" s="14">
        <f t="shared" si="16"/>
        <v>5240926.666666666</v>
      </c>
      <c r="AQ16" s="14">
        <f t="shared" si="16"/>
        <v>0</v>
      </c>
      <c r="AR16" s="14">
        <f t="shared" si="16"/>
        <v>0</v>
      </c>
      <c r="AS16" s="14">
        <f t="shared" si="16"/>
        <v>0</v>
      </c>
      <c r="AT16" s="14">
        <f t="shared" si="16"/>
        <v>0</v>
      </c>
      <c r="AU16" s="14">
        <f t="shared" si="16"/>
        <v>0</v>
      </c>
      <c r="AV16" s="14">
        <f t="shared" si="16"/>
        <v>0</v>
      </c>
      <c r="AW16" s="14">
        <f t="shared" si="16"/>
        <v>0</v>
      </c>
      <c r="AX16" s="14">
        <f t="shared" si="16"/>
        <v>0</v>
      </c>
      <c r="AY16" s="14">
        <f t="shared" si="16"/>
        <v>0</v>
      </c>
      <c r="AZ16" s="14">
        <f t="shared" si="16"/>
        <v>66355230</v>
      </c>
      <c r="BA16" s="14">
        <f t="shared" si="16"/>
        <v>0</v>
      </c>
      <c r="BB16" s="62">
        <f t="shared" si="6"/>
        <v>66355230</v>
      </c>
    </row>
    <row r="17" spans="1:54">
      <c r="B17" s="18"/>
      <c r="C17" s="6"/>
      <c r="D17" s="6"/>
      <c r="E17" s="7"/>
      <c r="F17" s="15"/>
      <c r="G17" s="6"/>
      <c r="H17" s="48">
        <v>0.12</v>
      </c>
      <c r="I17" s="48">
        <v>0.12</v>
      </c>
      <c r="J17" s="48">
        <v>0.12</v>
      </c>
      <c r="K17" s="42">
        <f t="shared" ref="K17:K39" si="17">SUM(H17:J17)</f>
        <v>0.36</v>
      </c>
      <c r="L17" s="48">
        <v>0.12</v>
      </c>
      <c r="M17" s="6">
        <v>12.5</v>
      </c>
      <c r="N17" s="6">
        <v>12.5</v>
      </c>
      <c r="O17" s="6">
        <f>SUM(K17:N17)</f>
        <v>25.48</v>
      </c>
      <c r="P17" s="6">
        <v>12.5</v>
      </c>
      <c r="Q17" s="6">
        <v>12.5</v>
      </c>
      <c r="R17" s="6">
        <v>25</v>
      </c>
      <c r="S17" s="6">
        <f>SUM(O17:R17)</f>
        <v>75.48</v>
      </c>
      <c r="T17" s="6">
        <v>12.5</v>
      </c>
      <c r="U17" s="40">
        <f t="shared" si="3"/>
        <v>87.98</v>
      </c>
      <c r="V17" s="6">
        <v>12.5</v>
      </c>
      <c r="W17" s="6">
        <v>25</v>
      </c>
      <c r="X17" s="6">
        <f>SUM(S17:W17)</f>
        <v>213.46</v>
      </c>
      <c r="Y17" s="48">
        <v>0.12</v>
      </c>
      <c r="Z17" s="48">
        <v>0.12</v>
      </c>
      <c r="AA17" s="48">
        <v>0.12</v>
      </c>
      <c r="AB17" s="48">
        <v>0.12</v>
      </c>
      <c r="AC17" s="82">
        <v>0.12</v>
      </c>
      <c r="AD17" s="82">
        <v>0.12</v>
      </c>
      <c r="AE17" s="48">
        <v>0.12</v>
      </c>
      <c r="AF17" s="48">
        <v>0.25</v>
      </c>
      <c r="AG17" s="48"/>
      <c r="AH17" s="48"/>
      <c r="AI17" s="48"/>
      <c r="AJ17" s="48"/>
      <c r="AK17" s="48">
        <f t="shared" si="9"/>
        <v>0.61</v>
      </c>
      <c r="AL17" s="6"/>
      <c r="AM17" s="6"/>
      <c r="AN17" s="6"/>
      <c r="AO17" s="6"/>
      <c r="AP17" s="82">
        <v>0.25</v>
      </c>
      <c r="AQ17" s="48">
        <v>0.25</v>
      </c>
      <c r="AR17" s="82">
        <v>0.25</v>
      </c>
      <c r="AS17" s="6"/>
      <c r="AT17" s="6"/>
      <c r="AU17" s="6"/>
      <c r="AV17" s="6"/>
      <c r="AW17" s="1">
        <f t="shared" si="10"/>
        <v>0</v>
      </c>
      <c r="AX17" s="35"/>
      <c r="AY17" s="35"/>
      <c r="AZ17" s="6"/>
      <c r="BA17" s="6"/>
      <c r="BB17" s="62">
        <f t="shared" si="6"/>
        <v>0</v>
      </c>
    </row>
    <row r="18" spans="1:54">
      <c r="A18" s="19"/>
      <c r="B18" s="20" t="s">
        <v>42</v>
      </c>
      <c r="C18" s="6"/>
      <c r="D18" s="6"/>
      <c r="E18" s="7"/>
      <c r="F18" s="21">
        <f>F19+F28</f>
        <v>66320373.333333328</v>
      </c>
      <c r="G18" s="21">
        <f>G19+G28</f>
        <v>1792288</v>
      </c>
      <c r="H18" s="21">
        <f>H19+H28</f>
        <v>5376864</v>
      </c>
      <c r="I18" s="21">
        <f>I19+I28</f>
        <v>5376864</v>
      </c>
      <c r="J18" s="21">
        <f>J19+J28</f>
        <v>5376864</v>
      </c>
      <c r="K18" s="46">
        <f>SUM(G18:J18)</f>
        <v>17922880</v>
      </c>
      <c r="L18" s="25">
        <f>L21+L25+L29</f>
        <v>5376864</v>
      </c>
      <c r="M18" s="25">
        <f>M21+M25+M29</f>
        <v>1520036</v>
      </c>
      <c r="N18" s="25">
        <f>N21+N25+N29</f>
        <v>2102436</v>
      </c>
      <c r="O18" s="25">
        <f>K18+L18+M18+N18</f>
        <v>26922216</v>
      </c>
      <c r="P18" s="25">
        <f>P21+P25+P29</f>
        <v>2102436</v>
      </c>
      <c r="Q18" s="25">
        <f>Q21+Q25+Q29</f>
        <v>2102436</v>
      </c>
      <c r="R18" s="25">
        <f>R19+R30</f>
        <v>5427433.333333333</v>
      </c>
      <c r="S18" s="43">
        <f>SUM(O18:R18)</f>
        <v>36554521.333333336</v>
      </c>
      <c r="T18" s="25" t="e">
        <f>T19+T30</f>
        <v>#REF!</v>
      </c>
      <c r="U18" s="40" t="e">
        <f t="shared" si="3"/>
        <v>#REF!</v>
      </c>
      <c r="V18" s="25" t="e">
        <f>V19+V30</f>
        <v>#REF!</v>
      </c>
      <c r="W18" s="25" t="e">
        <f>W19+W30</f>
        <v>#REF!</v>
      </c>
      <c r="X18" s="26" t="e">
        <f>SUM(S18:W18)</f>
        <v>#REF!</v>
      </c>
      <c r="Y18" s="25">
        <f>Y21+Y25+Y29</f>
        <v>0</v>
      </c>
      <c r="Z18" s="25"/>
      <c r="AA18" s="21">
        <f t="shared" ref="AA18:AF18" si="18">AA19+AA28</f>
        <v>5376864</v>
      </c>
      <c r="AB18" s="21">
        <f t="shared" si="18"/>
        <v>5376864</v>
      </c>
      <c r="AC18" s="80">
        <f t="shared" si="18"/>
        <v>34053472</v>
      </c>
      <c r="AD18" s="80">
        <f t="shared" si="18"/>
        <v>5376864</v>
      </c>
      <c r="AE18" s="80">
        <f t="shared" si="18"/>
        <v>5376864</v>
      </c>
      <c r="AF18" s="80">
        <f t="shared" si="18"/>
        <v>5129700</v>
      </c>
      <c r="AG18" s="80"/>
      <c r="AH18" s="80"/>
      <c r="AI18" s="80"/>
      <c r="AJ18" s="21">
        <f>AJ19+AJ28</f>
        <v>66355233.333333336</v>
      </c>
      <c r="AK18" s="21">
        <f t="shared" ref="AK18:BA18" si="19">AK19+AK28</f>
        <v>49936900</v>
      </c>
      <c r="AL18" s="21">
        <f t="shared" si="19"/>
        <v>0</v>
      </c>
      <c r="AM18" s="21">
        <f t="shared" si="19"/>
        <v>0</v>
      </c>
      <c r="AN18" s="21">
        <f t="shared" si="19"/>
        <v>0</v>
      </c>
      <c r="AO18" s="21">
        <f t="shared" si="19"/>
        <v>0</v>
      </c>
      <c r="AP18" s="21">
        <f t="shared" si="19"/>
        <v>5240926.666666666</v>
      </c>
      <c r="AQ18" s="21">
        <f t="shared" si="19"/>
        <v>0</v>
      </c>
      <c r="AR18" s="21">
        <f t="shared" si="19"/>
        <v>0</v>
      </c>
      <c r="AS18" s="21">
        <f t="shared" si="19"/>
        <v>0</v>
      </c>
      <c r="AT18" s="21">
        <f t="shared" si="19"/>
        <v>0</v>
      </c>
      <c r="AU18" s="21">
        <f t="shared" si="19"/>
        <v>0</v>
      </c>
      <c r="AV18" s="21">
        <f t="shared" si="19"/>
        <v>0</v>
      </c>
      <c r="AW18" s="21">
        <f t="shared" si="19"/>
        <v>0</v>
      </c>
      <c r="AX18" s="21">
        <f t="shared" si="19"/>
        <v>0</v>
      </c>
      <c r="AY18" s="21">
        <f t="shared" si="19"/>
        <v>0</v>
      </c>
      <c r="AZ18" s="21">
        <f t="shared" si="19"/>
        <v>66355230</v>
      </c>
      <c r="BA18" s="21">
        <f t="shared" si="19"/>
        <v>0</v>
      </c>
      <c r="BB18" s="62">
        <f t="shared" si="6"/>
        <v>66355230</v>
      </c>
    </row>
    <row r="19" spans="1:54" s="37" customFormat="1" ht="75">
      <c r="A19" s="37" t="s">
        <v>30</v>
      </c>
      <c r="B19" s="108" t="s">
        <v>41</v>
      </c>
      <c r="C19" s="109"/>
      <c r="D19" s="109"/>
      <c r="E19" s="110"/>
      <c r="F19" s="110">
        <f>F20+F25+F26</f>
        <v>59208373.333333328</v>
      </c>
      <c r="G19" s="110">
        <f>G20+G25+G26</f>
        <v>1598154.6666666665</v>
      </c>
      <c r="H19" s="110">
        <f>H20+H25+H26</f>
        <v>4794464</v>
      </c>
      <c r="I19" s="110">
        <f>I20+I25+I26</f>
        <v>4794464</v>
      </c>
      <c r="J19" s="110">
        <f>J20+J25+J26</f>
        <v>4794464</v>
      </c>
      <c r="K19" s="111">
        <f>SUM(G19:J19)</f>
        <v>15981546.666666666</v>
      </c>
      <c r="L19" s="109">
        <f>L21+L25</f>
        <v>4794464</v>
      </c>
      <c r="M19" s="109">
        <f>M21+M25</f>
        <v>1495769.3333333333</v>
      </c>
      <c r="N19" s="109">
        <f>N21+N25</f>
        <v>1495769.3333333333</v>
      </c>
      <c r="O19" s="110">
        <f>O20+O25+O26</f>
        <v>23767549.333333336</v>
      </c>
      <c r="P19" s="109">
        <f>P21+P25</f>
        <v>1495769.3333333333</v>
      </c>
      <c r="Q19" s="109">
        <f>Q21+Q25</f>
        <v>1495769.3333333333</v>
      </c>
      <c r="R19" s="109">
        <f>R22+R26</f>
        <v>4862766.666666666</v>
      </c>
      <c r="S19" s="109">
        <f>SUM(O19:R19)</f>
        <v>31621854.666666664</v>
      </c>
      <c r="T19" s="109" t="e">
        <f>T21+T22+T26</f>
        <v>#REF!</v>
      </c>
      <c r="U19" s="112" t="e">
        <f t="shared" si="3"/>
        <v>#REF!</v>
      </c>
      <c r="V19" s="109" t="e">
        <f>V21+V22+V26</f>
        <v>#REF!</v>
      </c>
      <c r="W19" s="109" t="e">
        <f>W21+W22+W26</f>
        <v>#REF!</v>
      </c>
      <c r="X19" s="109" t="e">
        <f>X20+X21+X22+X25+X26</f>
        <v>#REF!</v>
      </c>
      <c r="Y19" s="109">
        <f>Y21+Y25</f>
        <v>0</v>
      </c>
      <c r="Z19" s="109"/>
      <c r="AA19" s="110">
        <f t="shared" ref="AA19:AF19" si="20">AA20+AA25+AA26</f>
        <v>4794464</v>
      </c>
      <c r="AB19" s="110">
        <f t="shared" si="20"/>
        <v>4794464</v>
      </c>
      <c r="AC19" s="111">
        <f t="shared" si="20"/>
        <v>30364938.666666664</v>
      </c>
      <c r="AD19" s="111">
        <f t="shared" si="20"/>
        <v>4794464</v>
      </c>
      <c r="AE19" s="109">
        <f t="shared" si="20"/>
        <v>4794464</v>
      </c>
      <c r="AF19" s="109">
        <f t="shared" si="20"/>
        <v>4593033</v>
      </c>
      <c r="AG19" s="109"/>
      <c r="AH19" s="109"/>
      <c r="AI19" s="109"/>
      <c r="AJ19" s="110">
        <f>AJ20+AJ25+AJ26</f>
        <v>58211900</v>
      </c>
      <c r="AK19" s="35">
        <f t="shared" si="9"/>
        <v>44546899.666666664</v>
      </c>
      <c r="AL19" s="35"/>
      <c r="AM19" s="35"/>
      <c r="AN19" s="35"/>
      <c r="AO19" s="35"/>
      <c r="AP19" s="70">
        <f>AP20+AP25+AP26</f>
        <v>4704259.666666666</v>
      </c>
      <c r="AQ19" s="35">
        <f>AQ20+AQ25+AQ26</f>
        <v>0</v>
      </c>
      <c r="AR19" s="42">
        <f>AR20+AR25+AR26</f>
        <v>0</v>
      </c>
      <c r="AS19" s="35"/>
      <c r="AT19" s="35"/>
      <c r="AU19" s="35"/>
      <c r="AV19" s="35"/>
      <c r="AW19" s="37">
        <f t="shared" si="10"/>
        <v>0</v>
      </c>
      <c r="AX19" s="35"/>
      <c r="AY19" s="35"/>
      <c r="AZ19" s="35">
        <v>58211900</v>
      </c>
      <c r="BA19" s="35"/>
      <c r="BB19" s="62">
        <f t="shared" si="6"/>
        <v>58211900</v>
      </c>
    </row>
    <row r="20" spans="1:54">
      <c r="B20" s="5" t="s">
        <v>53</v>
      </c>
      <c r="C20" s="6"/>
      <c r="D20" s="6"/>
      <c r="E20" s="7">
        <v>4012000</v>
      </c>
      <c r="F20" s="7">
        <f>F21+F22+F23</f>
        <v>43008373.333333328</v>
      </c>
      <c r="G20" s="7">
        <f>G21+G22+G23</f>
        <v>1166154.6666666665</v>
      </c>
      <c r="H20" s="7">
        <f>H21+H22+H23</f>
        <v>3498463.9999999995</v>
      </c>
      <c r="I20" s="7">
        <f>I21+I22+I23</f>
        <v>3498463.9999999995</v>
      </c>
      <c r="J20" s="7">
        <f>J21+J22+J23</f>
        <v>3498463.9999999995</v>
      </c>
      <c r="K20" s="7">
        <f>K21+K22</f>
        <v>11661546.666666666</v>
      </c>
      <c r="L20" s="6">
        <f>SUM(L21:L23)</f>
        <v>3498463.9999999995</v>
      </c>
      <c r="M20" s="6"/>
      <c r="N20" s="6"/>
      <c r="O20" s="7">
        <f t="shared" ref="O20:T20" si="21">O21+O22</f>
        <v>15451549.333333334</v>
      </c>
      <c r="P20" s="7">
        <f t="shared" si="21"/>
        <v>145769.33333333331</v>
      </c>
      <c r="Q20" s="7">
        <f t="shared" si="21"/>
        <v>145769.33333333331</v>
      </c>
      <c r="R20" s="7">
        <f t="shared" si="21"/>
        <v>3376766.6666666665</v>
      </c>
      <c r="S20" s="7">
        <f t="shared" si="21"/>
        <v>19119854.666666668</v>
      </c>
      <c r="T20" s="7" t="e">
        <f t="shared" si="21"/>
        <v>#REF!</v>
      </c>
      <c r="U20" s="40" t="e">
        <f t="shared" si="3"/>
        <v>#REF!</v>
      </c>
      <c r="V20" s="7" t="e">
        <f>V21+V22</f>
        <v>#REF!</v>
      </c>
      <c r="W20" s="7" t="e">
        <f>W21+W22</f>
        <v>#REF!</v>
      </c>
      <c r="X20" s="64" t="e">
        <f>T21+V21+W21</f>
        <v>#REF!</v>
      </c>
      <c r="Y20" s="6">
        <f>SUM(Y21:Y23)</f>
        <v>0</v>
      </c>
      <c r="Z20" s="6"/>
      <c r="AA20" s="7">
        <f>AA21+AA22+AA23</f>
        <v>3498463.9999999995</v>
      </c>
      <c r="AB20" s="7">
        <f>AB21+AB22+AB23</f>
        <v>3498463.9999999995</v>
      </c>
      <c r="AC20" s="83">
        <f>AC21+AC22+AC23</f>
        <v>22156938.666666664</v>
      </c>
      <c r="AD20" s="83">
        <f>AD21+AD22+AD23</f>
        <v>3498463.9999999995</v>
      </c>
      <c r="AE20" s="6">
        <f>SUM(AE21:AE23)</f>
        <v>3498463.9999999995</v>
      </c>
      <c r="AF20" s="6">
        <f>SUM(AF21:AF23)</f>
        <v>3243033</v>
      </c>
      <c r="AG20" s="6"/>
      <c r="AH20" s="6"/>
      <c r="AI20" s="6">
        <v>4152000</v>
      </c>
      <c r="AJ20" s="7">
        <f>AJ21+AJ22+AJ23</f>
        <v>42011900</v>
      </c>
      <c r="AK20" s="27">
        <f t="shared" si="9"/>
        <v>32396899.666666664</v>
      </c>
      <c r="AL20" s="6"/>
      <c r="AM20" s="6"/>
      <c r="AN20" s="6"/>
      <c r="AO20" s="6"/>
      <c r="AP20" s="27">
        <f>SUM(AP21:AP23)</f>
        <v>3354259.6666666665</v>
      </c>
      <c r="AQ20" s="6"/>
      <c r="AR20" s="45">
        <f>SUM(AR21:AR23)</f>
        <v>0</v>
      </c>
      <c r="AS20" s="6"/>
      <c r="AT20" s="6"/>
      <c r="AU20" s="6"/>
      <c r="AV20" s="6"/>
      <c r="AW20" s="1">
        <f t="shared" si="10"/>
        <v>0</v>
      </c>
      <c r="AX20" s="35"/>
      <c r="AY20" s="35"/>
      <c r="AZ20" s="6"/>
      <c r="BA20" s="6"/>
      <c r="BB20" s="62">
        <f t="shared" si="6"/>
        <v>0</v>
      </c>
    </row>
    <row r="21" spans="1:54">
      <c r="B21" s="5" t="s">
        <v>51</v>
      </c>
      <c r="C21" s="6">
        <v>10.9</v>
      </c>
      <c r="D21" s="6" t="s">
        <v>2</v>
      </c>
      <c r="E21" s="7"/>
      <c r="F21" s="7">
        <f>E20/12*8*C21</f>
        <v>29153866.666666664</v>
      </c>
      <c r="G21" s="7">
        <f>F21*0.04</f>
        <v>1166154.6666666665</v>
      </c>
      <c r="H21" s="27">
        <f>F21*H17</f>
        <v>3498463.9999999995</v>
      </c>
      <c r="I21" s="27">
        <f>F21*I17</f>
        <v>3498463.9999999995</v>
      </c>
      <c r="J21" s="27">
        <f>F21*J17</f>
        <v>3498463.9999999995</v>
      </c>
      <c r="K21" s="46">
        <f>SUM(G21:J21)</f>
        <v>11661546.666666666</v>
      </c>
      <c r="L21" s="6">
        <f>F21*L17</f>
        <v>3498463.9999999995</v>
      </c>
      <c r="M21" s="6">
        <f>G21*0.125</f>
        <v>145769.33333333331</v>
      </c>
      <c r="N21" s="6">
        <f>G21*0.125</f>
        <v>145769.33333333331</v>
      </c>
      <c r="O21" s="44">
        <f>SUM(K21:N21)</f>
        <v>15451549.333333334</v>
      </c>
      <c r="P21" s="6">
        <f>G21*0.125</f>
        <v>145769.33333333331</v>
      </c>
      <c r="Q21" s="6">
        <f>G21*0.125</f>
        <v>145769.33333333331</v>
      </c>
      <c r="R21" s="6"/>
      <c r="S21" s="43">
        <f t="shared" ref="S21:S30" si="22">SUM(O21:R21)</f>
        <v>15743088.000000002</v>
      </c>
      <c r="T21" s="64" t="e">
        <f>#REF!/3</f>
        <v>#REF!</v>
      </c>
      <c r="U21" s="40" t="e">
        <f t="shared" si="3"/>
        <v>#REF!</v>
      </c>
      <c r="V21" s="64" t="e">
        <f>#REF!/3</f>
        <v>#REF!</v>
      </c>
      <c r="W21" s="64" t="e">
        <f>#REF!/3</f>
        <v>#REF!</v>
      </c>
      <c r="X21" s="6">
        <f>S21</f>
        <v>15743088.000000002</v>
      </c>
      <c r="Y21" s="6"/>
      <c r="Z21" s="6"/>
      <c r="AA21" s="27">
        <f>F21*AA17</f>
        <v>3498463.9999999995</v>
      </c>
      <c r="AB21" s="27">
        <f>F21*AB17</f>
        <v>3498463.9999999995</v>
      </c>
      <c r="AC21" s="79">
        <f>K21+L21+AA21+AB21</f>
        <v>22156938.666666664</v>
      </c>
      <c r="AD21" s="79">
        <f>F21*AD17</f>
        <v>3498463.9999999995</v>
      </c>
      <c r="AE21" s="6">
        <f>F21*AE17</f>
        <v>3498463.9999999995</v>
      </c>
      <c r="AF21" s="6"/>
      <c r="AG21" s="6">
        <v>10</v>
      </c>
      <c r="AH21" s="6" t="s">
        <v>2</v>
      </c>
      <c r="AI21" s="6"/>
      <c r="AJ21" s="7">
        <f>AI20/12*8*AG21</f>
        <v>27680000</v>
      </c>
      <c r="AK21" s="27">
        <f t="shared" si="9"/>
        <v>29153866.666666664</v>
      </c>
      <c r="AL21" s="6"/>
      <c r="AM21" s="6"/>
      <c r="AN21" s="6"/>
      <c r="AO21" s="6"/>
      <c r="AP21" s="79"/>
      <c r="AQ21" s="6"/>
      <c r="AR21" s="45"/>
      <c r="AS21" s="6"/>
      <c r="AT21" s="6"/>
      <c r="AU21" s="6"/>
      <c r="AV21" s="6"/>
      <c r="AW21" s="1">
        <f t="shared" si="10"/>
        <v>0</v>
      </c>
      <c r="AX21" s="35"/>
      <c r="AY21" s="35"/>
      <c r="AZ21" s="6"/>
      <c r="BA21" s="6"/>
      <c r="BB21" s="62">
        <f t="shared" si="6"/>
        <v>0</v>
      </c>
    </row>
    <row r="22" spans="1:54">
      <c r="B22" s="5" t="s">
        <v>52</v>
      </c>
      <c r="C22" s="6">
        <v>10.1</v>
      </c>
      <c r="D22" s="6" t="s">
        <v>2</v>
      </c>
      <c r="E22" s="24">
        <v>-534934</v>
      </c>
      <c r="F22" s="24">
        <f>E20/12*4*C22</f>
        <v>13507066.666666666</v>
      </c>
      <c r="G22" s="6"/>
      <c r="H22" s="6"/>
      <c r="I22" s="6"/>
      <c r="J22" s="6"/>
      <c r="K22" s="42">
        <f t="shared" si="17"/>
        <v>0</v>
      </c>
      <c r="L22" s="6"/>
      <c r="M22" s="6"/>
      <c r="N22" s="6"/>
      <c r="O22" s="6"/>
      <c r="P22" s="6"/>
      <c r="Q22" s="6"/>
      <c r="R22" s="6">
        <f>F22*0.25</f>
        <v>3376766.6666666665</v>
      </c>
      <c r="S22" s="43">
        <f t="shared" si="22"/>
        <v>3376766.6666666665</v>
      </c>
      <c r="T22" s="6">
        <f>F22*0.25</f>
        <v>3376766.6666666665</v>
      </c>
      <c r="U22" s="40">
        <f t="shared" si="3"/>
        <v>6753533.333333333</v>
      </c>
      <c r="V22" s="6">
        <f>F22*0.25</f>
        <v>3376766.6666666665</v>
      </c>
      <c r="W22" s="6">
        <f>F22*0.25</f>
        <v>3376766.6666666665</v>
      </c>
      <c r="X22" s="6">
        <f t="shared" ref="X22:X30" si="23">SUM(S22:W22)</f>
        <v>20260600</v>
      </c>
      <c r="Y22" s="6"/>
      <c r="Z22" s="6"/>
      <c r="AA22" s="6"/>
      <c r="AB22" s="6"/>
      <c r="AC22" s="45"/>
      <c r="AD22" s="45"/>
      <c r="AE22" s="6"/>
      <c r="AF22" s="6">
        <f>ROUND((F22+E22)*AF17,0)</f>
        <v>3243033</v>
      </c>
      <c r="AG22" s="6">
        <v>10.1</v>
      </c>
      <c r="AH22" s="6" t="s">
        <v>2</v>
      </c>
      <c r="AI22" s="6"/>
      <c r="AJ22" s="24">
        <f>AI20/12*4*AG22</f>
        <v>13978400</v>
      </c>
      <c r="AK22" s="6">
        <f t="shared" si="9"/>
        <v>3243033</v>
      </c>
      <c r="AL22" s="6"/>
      <c r="AM22" s="6"/>
      <c r="AN22" s="6"/>
      <c r="AO22" s="6"/>
      <c r="AP22" s="6">
        <f>ROUND((F22+E22)*AP17,0)</f>
        <v>3243033</v>
      </c>
      <c r="AQ22" s="6"/>
      <c r="AR22" s="45">
        <f>ROUND((N22+M22)*AR17,0)</f>
        <v>0</v>
      </c>
      <c r="AS22" s="6"/>
      <c r="AT22" s="6"/>
      <c r="AU22" s="6"/>
      <c r="AV22" s="6"/>
      <c r="AW22" s="1">
        <f t="shared" si="10"/>
        <v>0</v>
      </c>
      <c r="AX22" s="35"/>
      <c r="AY22" s="35"/>
      <c r="AZ22" s="6"/>
      <c r="BA22" s="6"/>
      <c r="BB22" s="62">
        <f t="shared" si="6"/>
        <v>0</v>
      </c>
    </row>
    <row r="23" spans="1:54">
      <c r="B23" s="5" t="s">
        <v>103</v>
      </c>
      <c r="C23" s="6">
        <v>10.1</v>
      </c>
      <c r="D23" s="6" t="s">
        <v>2</v>
      </c>
      <c r="E23" s="7">
        <v>34400</v>
      </c>
      <c r="F23" s="24">
        <f>C23*E23</f>
        <v>347440</v>
      </c>
      <c r="G23" s="6"/>
      <c r="H23" s="6"/>
      <c r="I23" s="6"/>
      <c r="J23" s="6"/>
      <c r="K23" s="42"/>
      <c r="L23" s="6"/>
      <c r="M23" s="6"/>
      <c r="N23" s="6"/>
      <c r="O23" s="6"/>
      <c r="P23" s="6"/>
      <c r="Q23" s="6"/>
      <c r="R23" s="6"/>
      <c r="S23" s="43"/>
      <c r="T23" s="6"/>
      <c r="U23" s="40"/>
      <c r="V23" s="6"/>
      <c r="W23" s="6"/>
      <c r="X23" s="6"/>
      <c r="Y23" s="6"/>
      <c r="Z23" s="6"/>
      <c r="AA23" s="6"/>
      <c r="AB23" s="6"/>
      <c r="AC23" s="45"/>
      <c r="AD23" s="45"/>
      <c r="AE23" s="6"/>
      <c r="AF23" s="6"/>
      <c r="AG23" s="6">
        <v>10.1</v>
      </c>
      <c r="AH23" s="6" t="s">
        <v>2</v>
      </c>
      <c r="AI23" s="6">
        <v>35000</v>
      </c>
      <c r="AJ23" s="24">
        <f>AG23*AI23</f>
        <v>353500</v>
      </c>
      <c r="AK23" s="6">
        <f t="shared" si="9"/>
        <v>0</v>
      </c>
      <c r="AL23" s="6"/>
      <c r="AM23" s="6"/>
      <c r="AN23" s="6"/>
      <c r="AO23" s="6"/>
      <c r="AP23" s="27">
        <f>(F23+F24)/3</f>
        <v>111226.66666666667</v>
      </c>
      <c r="AQ23" s="6"/>
      <c r="AR23" s="45"/>
      <c r="AS23" s="6"/>
      <c r="AT23" s="6"/>
      <c r="AU23" s="6"/>
      <c r="AV23" s="6"/>
      <c r="AW23" s="1">
        <f t="shared" si="10"/>
        <v>0</v>
      </c>
      <c r="AX23" s="35"/>
      <c r="AY23" s="35"/>
      <c r="AZ23" s="6"/>
      <c r="BA23" s="6"/>
      <c r="BB23" s="62">
        <f t="shared" si="6"/>
        <v>0</v>
      </c>
    </row>
    <row r="24" spans="1:54" ht="30">
      <c r="B24" s="5" t="s">
        <v>54</v>
      </c>
      <c r="C24" s="6"/>
      <c r="D24" s="6"/>
      <c r="E24" s="7"/>
      <c r="F24" s="24">
        <v>-13760</v>
      </c>
      <c r="G24" s="7"/>
      <c r="H24" s="6"/>
      <c r="I24" s="6"/>
      <c r="J24" s="6"/>
      <c r="K24" s="42">
        <f t="shared" si="17"/>
        <v>0</v>
      </c>
      <c r="L24" s="6"/>
      <c r="M24" s="6"/>
      <c r="N24" s="6"/>
      <c r="O24" s="6">
        <f t="shared" ref="O24:O31" si="24">SUM(K24:N24)</f>
        <v>0</v>
      </c>
      <c r="P24" s="6"/>
      <c r="Q24" s="6"/>
      <c r="R24" s="6"/>
      <c r="S24" s="43">
        <f t="shared" si="22"/>
        <v>0</v>
      </c>
      <c r="T24" s="6"/>
      <c r="U24" s="40">
        <f t="shared" si="3"/>
        <v>0</v>
      </c>
      <c r="V24" s="6"/>
      <c r="W24" s="6"/>
      <c r="X24" s="6">
        <f t="shared" si="23"/>
        <v>0</v>
      </c>
      <c r="Y24" s="6"/>
      <c r="Z24" s="6"/>
      <c r="AA24" s="6"/>
      <c r="AB24" s="6"/>
      <c r="AC24" s="45"/>
      <c r="AD24" s="45"/>
      <c r="AE24" s="6"/>
      <c r="AF24" s="6"/>
      <c r="AG24" s="6"/>
      <c r="AH24" s="6"/>
      <c r="AI24" s="6"/>
      <c r="AJ24" s="6"/>
      <c r="AK24" s="6">
        <f t="shared" si="9"/>
        <v>0</v>
      </c>
      <c r="AL24" s="6"/>
      <c r="AM24" s="6"/>
      <c r="AN24" s="6"/>
      <c r="AO24" s="6"/>
      <c r="AP24" s="45"/>
      <c r="AQ24" s="6"/>
      <c r="AR24" s="45"/>
      <c r="AS24" s="6"/>
      <c r="AT24" s="6"/>
      <c r="AU24" s="6"/>
      <c r="AV24" s="6"/>
      <c r="AW24" s="1">
        <f t="shared" si="10"/>
        <v>0</v>
      </c>
      <c r="AX24" s="35"/>
      <c r="AY24" s="35"/>
      <c r="AZ24" s="6"/>
      <c r="BA24" s="6"/>
      <c r="BB24" s="62">
        <f t="shared" si="6"/>
        <v>0</v>
      </c>
    </row>
    <row r="25" spans="1:54">
      <c r="B25" s="5" t="s">
        <v>51</v>
      </c>
      <c r="C25" s="6">
        <v>9</v>
      </c>
      <c r="D25" s="6" t="s">
        <v>2</v>
      </c>
      <c r="E25" s="7">
        <v>1800000</v>
      </c>
      <c r="F25" s="7">
        <f>E25/12*8*C25</f>
        <v>10800000</v>
      </c>
      <c r="G25" s="6">
        <f>F25*0.04</f>
        <v>432000</v>
      </c>
      <c r="H25" s="6">
        <f>F25*H17</f>
        <v>1296000</v>
      </c>
      <c r="I25" s="6">
        <f>F25*I17</f>
        <v>1296000</v>
      </c>
      <c r="J25" s="6">
        <f>F25*J17</f>
        <v>1296000</v>
      </c>
      <c r="K25" s="44">
        <f>SUM(G25:J25)</f>
        <v>4320000</v>
      </c>
      <c r="L25" s="6">
        <f>F25*L17</f>
        <v>1296000</v>
      </c>
      <c r="M25" s="6">
        <f>F25*0.125</f>
        <v>1350000</v>
      </c>
      <c r="N25" s="6">
        <f>F25*0.125</f>
        <v>1350000</v>
      </c>
      <c r="O25" s="44">
        <f t="shared" si="24"/>
        <v>8316000</v>
      </c>
      <c r="P25" s="6">
        <f>F25*0.125</f>
        <v>1350000</v>
      </c>
      <c r="Q25" s="6">
        <f>F25*0.125</f>
        <v>1350000</v>
      </c>
      <c r="R25" s="6"/>
      <c r="S25" s="43">
        <f t="shared" si="22"/>
        <v>11016000</v>
      </c>
      <c r="T25" s="6"/>
      <c r="U25" s="40">
        <f t="shared" si="3"/>
        <v>11016000</v>
      </c>
      <c r="V25" s="6"/>
      <c r="W25" s="6"/>
      <c r="X25" s="6">
        <f t="shared" si="23"/>
        <v>22032000</v>
      </c>
      <c r="Y25" s="6"/>
      <c r="Z25" s="6">
        <f>T25*Z17</f>
        <v>0</v>
      </c>
      <c r="AA25" s="6">
        <f>F25*AA17</f>
        <v>1296000</v>
      </c>
      <c r="AB25" s="6">
        <f>F25*AB17</f>
        <v>1296000</v>
      </c>
      <c r="AC25" s="45">
        <f>K25+L25+AA25+AB25</f>
        <v>8208000</v>
      </c>
      <c r="AD25" s="45">
        <f>F25*AD17</f>
        <v>1296000</v>
      </c>
      <c r="AE25" s="6">
        <f>F25*AE17</f>
        <v>1296000</v>
      </c>
      <c r="AF25" s="6"/>
      <c r="AG25" s="6">
        <v>9</v>
      </c>
      <c r="AH25" s="6" t="s">
        <v>2</v>
      </c>
      <c r="AI25" s="6">
        <v>1800000</v>
      </c>
      <c r="AJ25" s="7">
        <f>AI25/12*8*AG25</f>
        <v>10800000</v>
      </c>
      <c r="AK25" s="6">
        <f t="shared" si="9"/>
        <v>10800000</v>
      </c>
      <c r="AL25" s="6"/>
      <c r="AM25" s="6"/>
      <c r="AN25" s="6"/>
      <c r="AO25" s="6"/>
      <c r="AP25" s="45"/>
      <c r="AQ25" s="6"/>
      <c r="AR25" s="45"/>
      <c r="AS25" s="6"/>
      <c r="AT25" s="6"/>
      <c r="AU25" s="6"/>
      <c r="AV25" s="6"/>
      <c r="AW25" s="1">
        <f t="shared" si="10"/>
        <v>0</v>
      </c>
      <c r="AX25" s="35"/>
      <c r="AY25" s="35"/>
      <c r="AZ25" s="6"/>
      <c r="BA25" s="6"/>
      <c r="BB25" s="62">
        <f t="shared" si="6"/>
        <v>0</v>
      </c>
    </row>
    <row r="26" spans="1:54">
      <c r="B26" s="5" t="s">
        <v>52</v>
      </c>
      <c r="C26" s="6">
        <v>9</v>
      </c>
      <c r="D26" s="6" t="s">
        <v>2</v>
      </c>
      <c r="E26" s="7"/>
      <c r="F26" s="7">
        <f>E25/12*4*C26</f>
        <v>5400000</v>
      </c>
      <c r="G26" s="6"/>
      <c r="H26" s="6"/>
      <c r="I26" s="6"/>
      <c r="J26" s="6"/>
      <c r="K26" s="42">
        <f t="shared" si="17"/>
        <v>0</v>
      </c>
      <c r="L26" s="6"/>
      <c r="M26" s="6"/>
      <c r="N26" s="6"/>
      <c r="O26" s="6">
        <f t="shared" si="24"/>
        <v>0</v>
      </c>
      <c r="P26" s="6"/>
      <c r="Q26" s="6"/>
      <c r="R26" s="6">
        <f>F26*0.25+136000</f>
        <v>1486000</v>
      </c>
      <c r="S26" s="43">
        <f t="shared" si="22"/>
        <v>1486000</v>
      </c>
      <c r="T26" s="6">
        <f>F26*0.25+136000</f>
        <v>1486000</v>
      </c>
      <c r="U26" s="40">
        <f t="shared" si="3"/>
        <v>2972000</v>
      </c>
      <c r="V26" s="6">
        <f>G26*0.25+136000</f>
        <v>136000</v>
      </c>
      <c r="W26" s="6">
        <f>G26*0.25+136000</f>
        <v>136000</v>
      </c>
      <c r="X26" s="6">
        <f t="shared" si="23"/>
        <v>6216000</v>
      </c>
      <c r="Y26" s="6"/>
      <c r="Z26" s="6"/>
      <c r="AA26" s="6"/>
      <c r="AB26" s="6"/>
      <c r="AC26" s="45"/>
      <c r="AD26" s="45"/>
      <c r="AE26" s="6"/>
      <c r="AF26" s="6">
        <f>F26*AF17</f>
        <v>1350000</v>
      </c>
      <c r="AG26" s="6">
        <v>9</v>
      </c>
      <c r="AH26" s="6" t="s">
        <v>2</v>
      </c>
      <c r="AI26" s="6"/>
      <c r="AJ26" s="7">
        <f>AI25/12*4*AG26</f>
        <v>5400000</v>
      </c>
      <c r="AK26" s="6">
        <f t="shared" si="9"/>
        <v>1350000</v>
      </c>
      <c r="AL26" s="6"/>
      <c r="AM26" s="6"/>
      <c r="AN26" s="6"/>
      <c r="AO26" s="6"/>
      <c r="AP26" s="6">
        <f>F26*AP17</f>
        <v>1350000</v>
      </c>
      <c r="AQ26" s="6"/>
      <c r="AR26" s="45">
        <f>N26*AR17</f>
        <v>0</v>
      </c>
      <c r="AS26" s="6"/>
      <c r="AT26" s="6"/>
      <c r="AU26" s="6"/>
      <c r="AV26" s="6"/>
      <c r="AW26" s="1">
        <f t="shared" si="10"/>
        <v>0</v>
      </c>
      <c r="AX26" s="35"/>
      <c r="AY26" s="35"/>
      <c r="AZ26" s="6"/>
      <c r="BA26" s="6"/>
      <c r="BB26" s="62">
        <f t="shared" si="6"/>
        <v>0</v>
      </c>
    </row>
    <row r="27" spans="1:54">
      <c r="B27" s="5"/>
      <c r="C27" s="6"/>
      <c r="D27" s="6"/>
      <c r="E27" s="7"/>
      <c r="F27" s="7"/>
      <c r="G27" s="6"/>
      <c r="H27" s="6"/>
      <c r="I27" s="6"/>
      <c r="J27" s="6"/>
      <c r="K27" s="42">
        <f t="shared" si="17"/>
        <v>0</v>
      </c>
      <c r="L27" s="6"/>
      <c r="M27" s="6"/>
      <c r="N27" s="6"/>
      <c r="O27" s="6">
        <f t="shared" si="24"/>
        <v>0</v>
      </c>
      <c r="P27" s="6"/>
      <c r="Q27" s="6"/>
      <c r="R27" s="6"/>
      <c r="S27" s="43">
        <f t="shared" si="22"/>
        <v>0</v>
      </c>
      <c r="T27" s="6"/>
      <c r="U27" s="40">
        <f t="shared" si="3"/>
        <v>0</v>
      </c>
      <c r="V27" s="6"/>
      <c r="W27" s="6"/>
      <c r="X27" s="6">
        <f t="shared" si="23"/>
        <v>0</v>
      </c>
      <c r="Y27" s="6"/>
      <c r="Z27" s="6"/>
      <c r="AA27" s="6"/>
      <c r="AB27" s="6"/>
      <c r="AC27" s="45"/>
      <c r="AD27" s="45"/>
      <c r="AE27" s="6"/>
      <c r="AF27" s="6"/>
      <c r="AG27" s="6"/>
      <c r="AH27" s="6"/>
      <c r="AI27" s="6"/>
      <c r="AJ27" s="6"/>
      <c r="AK27" s="6">
        <f t="shared" si="9"/>
        <v>0</v>
      </c>
      <c r="AL27" s="6"/>
      <c r="AM27" s="6"/>
      <c r="AN27" s="6"/>
      <c r="AO27" s="6"/>
      <c r="AP27" s="45"/>
      <c r="AQ27" s="6"/>
      <c r="AR27" s="45"/>
      <c r="AS27" s="6"/>
      <c r="AT27" s="6"/>
      <c r="AU27" s="6"/>
      <c r="AV27" s="6"/>
      <c r="AW27" s="1">
        <f t="shared" si="10"/>
        <v>0</v>
      </c>
      <c r="AX27" s="35"/>
      <c r="AY27" s="35"/>
      <c r="AZ27" s="6"/>
      <c r="BA27" s="6"/>
      <c r="BB27" s="62">
        <f t="shared" si="6"/>
        <v>0</v>
      </c>
    </row>
    <row r="28" spans="1:54">
      <c r="A28" s="1" t="s">
        <v>47</v>
      </c>
      <c r="B28" s="57" t="s">
        <v>7</v>
      </c>
      <c r="C28" s="57"/>
      <c r="D28" s="57" t="s">
        <v>2</v>
      </c>
      <c r="E28" s="57">
        <v>56000</v>
      </c>
      <c r="F28" s="57">
        <f>F29+F30</f>
        <v>7112000</v>
      </c>
      <c r="G28" s="67">
        <f>G29+G30</f>
        <v>194133.33333333337</v>
      </c>
      <c r="H28" s="67">
        <f>H29+H30</f>
        <v>582400</v>
      </c>
      <c r="I28" s="67">
        <f>I29+I30</f>
        <v>582400</v>
      </c>
      <c r="J28" s="67">
        <f>J29+J30</f>
        <v>582400</v>
      </c>
      <c r="K28" s="67">
        <f>SUM(G28:J28)</f>
        <v>1941333.3333333335</v>
      </c>
      <c r="L28" s="67">
        <f>L29+L30</f>
        <v>582400</v>
      </c>
      <c r="M28" s="57"/>
      <c r="N28" s="57"/>
      <c r="O28" s="57">
        <f t="shared" si="24"/>
        <v>2523733.3333333335</v>
      </c>
      <c r="P28" s="57"/>
      <c r="Q28" s="57"/>
      <c r="R28" s="57"/>
      <c r="S28" s="57">
        <f t="shared" si="22"/>
        <v>2523733.3333333335</v>
      </c>
      <c r="T28" s="57"/>
      <c r="U28" s="57">
        <f t="shared" si="3"/>
        <v>2523733.3333333335</v>
      </c>
      <c r="V28" s="57"/>
      <c r="W28" s="57"/>
      <c r="X28" s="57">
        <f t="shared" si="23"/>
        <v>5047466.666666667</v>
      </c>
      <c r="Y28" s="67">
        <f t="shared" ref="Y28:AD28" si="25">Y29+Y30</f>
        <v>0</v>
      </c>
      <c r="Z28" s="67">
        <f t="shared" si="25"/>
        <v>0</v>
      </c>
      <c r="AA28" s="67">
        <f t="shared" si="25"/>
        <v>582400</v>
      </c>
      <c r="AB28" s="67">
        <f t="shared" si="25"/>
        <v>582400</v>
      </c>
      <c r="AC28" s="84">
        <f t="shared" si="25"/>
        <v>3688533.3333333335</v>
      </c>
      <c r="AD28" s="84">
        <f t="shared" si="25"/>
        <v>582400</v>
      </c>
      <c r="AE28" s="84">
        <f>AE29+AE30</f>
        <v>582400</v>
      </c>
      <c r="AF28" s="84">
        <f>AF29+AF30</f>
        <v>536667</v>
      </c>
      <c r="AG28" s="84"/>
      <c r="AH28" s="84" t="s">
        <v>2</v>
      </c>
      <c r="AI28" s="84">
        <v>70000</v>
      </c>
      <c r="AJ28" s="67">
        <f>AJ29+AJ30</f>
        <v>8143333.333333334</v>
      </c>
      <c r="AK28" s="84">
        <f t="shared" si="9"/>
        <v>5390000.333333334</v>
      </c>
      <c r="AL28" s="84"/>
      <c r="AM28" s="84"/>
      <c r="AN28" s="84"/>
      <c r="AO28" s="84"/>
      <c r="AP28" s="84">
        <f>AP29+AP30</f>
        <v>536667</v>
      </c>
      <c r="AQ28" s="84">
        <f>AQ29+AQ30</f>
        <v>0</v>
      </c>
      <c r="AR28" s="84">
        <f>AR29+AR30</f>
        <v>0</v>
      </c>
      <c r="AS28" s="6"/>
      <c r="AT28" s="6"/>
      <c r="AU28" s="6"/>
      <c r="AV28" s="6"/>
      <c r="AW28" s="1">
        <f t="shared" si="10"/>
        <v>0</v>
      </c>
      <c r="AX28" s="35"/>
      <c r="AY28" s="35"/>
      <c r="AZ28" s="6">
        <v>8143330</v>
      </c>
      <c r="BA28" s="6"/>
      <c r="BB28" s="62">
        <f t="shared" si="6"/>
        <v>8143330</v>
      </c>
    </row>
    <row r="29" spans="1:54">
      <c r="B29" s="5" t="s">
        <v>51</v>
      </c>
      <c r="C29" s="6">
        <v>130</v>
      </c>
      <c r="D29" s="6"/>
      <c r="E29" s="7"/>
      <c r="F29" s="7">
        <f>E28/12*8*C29</f>
        <v>4853333.333333334</v>
      </c>
      <c r="G29" s="7">
        <f>F29*0.04</f>
        <v>194133.33333333337</v>
      </c>
      <c r="H29" s="27">
        <f>F29*H17</f>
        <v>582400</v>
      </c>
      <c r="I29" s="27">
        <f>F29*I17</f>
        <v>582400</v>
      </c>
      <c r="J29" s="27">
        <f>F29*J17</f>
        <v>582400</v>
      </c>
      <c r="K29" s="46">
        <f>SUM(G29:J29)</f>
        <v>1941333.3333333335</v>
      </c>
      <c r="L29" s="6">
        <f>F29*L17</f>
        <v>582400</v>
      </c>
      <c r="M29" s="6">
        <f>G29*0.125</f>
        <v>24266.666666666672</v>
      </c>
      <c r="N29" s="6">
        <f>F29*0.125</f>
        <v>606666.66666666674</v>
      </c>
      <c r="O29" s="44">
        <f t="shared" si="24"/>
        <v>3154666.666666667</v>
      </c>
      <c r="P29" s="6">
        <f>F29*0.125</f>
        <v>606666.66666666674</v>
      </c>
      <c r="Q29" s="6">
        <f>F29*0.125</f>
        <v>606666.66666666674</v>
      </c>
      <c r="R29" s="6"/>
      <c r="S29" s="43">
        <f t="shared" si="22"/>
        <v>4368000.0000000009</v>
      </c>
      <c r="T29" s="6"/>
      <c r="U29" s="40">
        <f t="shared" si="3"/>
        <v>4368000.0000000009</v>
      </c>
      <c r="V29" s="6"/>
      <c r="W29" s="6"/>
      <c r="X29" s="6">
        <f t="shared" si="23"/>
        <v>8736000.0000000019</v>
      </c>
      <c r="Y29" s="6"/>
      <c r="Z29" s="6">
        <f>T29*Z17</f>
        <v>0</v>
      </c>
      <c r="AA29" s="27">
        <f>F29*AA17</f>
        <v>582400</v>
      </c>
      <c r="AB29" s="27">
        <f>F29*AB17</f>
        <v>582400</v>
      </c>
      <c r="AC29" s="79">
        <f>K29+L29+AA29+AB29</f>
        <v>3688533.3333333335</v>
      </c>
      <c r="AD29" s="79">
        <f>F29*AD17</f>
        <v>582400</v>
      </c>
      <c r="AE29" s="6">
        <f>F29*AE17</f>
        <v>582400</v>
      </c>
      <c r="AF29" s="6"/>
      <c r="AG29" s="6">
        <v>117</v>
      </c>
      <c r="AH29" s="6"/>
      <c r="AI29" s="6"/>
      <c r="AJ29" s="7">
        <f>AI28/12*8*AG29</f>
        <v>5460000</v>
      </c>
      <c r="AK29" s="6">
        <f t="shared" si="9"/>
        <v>4853333.333333334</v>
      </c>
      <c r="AL29" s="6"/>
      <c r="AM29" s="6"/>
      <c r="AN29" s="6"/>
      <c r="AO29" s="6"/>
      <c r="AP29" s="79"/>
      <c r="AQ29" s="6"/>
      <c r="AR29" s="45"/>
      <c r="AS29" s="6"/>
      <c r="AT29" s="6"/>
      <c r="AU29" s="6"/>
      <c r="AV29" s="6"/>
      <c r="AW29" s="1">
        <f t="shared" si="10"/>
        <v>0</v>
      </c>
      <c r="AX29" s="35"/>
      <c r="AY29" s="35"/>
      <c r="AZ29" s="6"/>
      <c r="BA29" s="6"/>
      <c r="BB29" s="62">
        <f t="shared" si="6"/>
        <v>0</v>
      </c>
    </row>
    <row r="30" spans="1:54">
      <c r="B30" s="5" t="s">
        <v>52</v>
      </c>
      <c r="C30" s="6">
        <v>121</v>
      </c>
      <c r="D30" s="6"/>
      <c r="E30" s="7"/>
      <c r="F30" s="7">
        <f>C30*E28/12*4</f>
        <v>2258666.6666666665</v>
      </c>
      <c r="G30" s="6"/>
      <c r="H30" s="6"/>
      <c r="I30" s="6"/>
      <c r="J30" s="6"/>
      <c r="K30" s="42">
        <f t="shared" si="17"/>
        <v>0</v>
      </c>
      <c r="L30" s="6"/>
      <c r="M30" s="6"/>
      <c r="N30" s="6"/>
      <c r="O30" s="6">
        <f t="shared" si="24"/>
        <v>0</v>
      </c>
      <c r="P30" s="6"/>
      <c r="Q30" s="6"/>
      <c r="R30" s="6">
        <f>F30*0.25</f>
        <v>564666.66666666663</v>
      </c>
      <c r="S30" s="43">
        <f t="shared" si="22"/>
        <v>564666.66666666663</v>
      </c>
      <c r="T30" s="6">
        <f>F30*0.25</f>
        <v>564666.66666666663</v>
      </c>
      <c r="U30" s="40">
        <f t="shared" si="3"/>
        <v>1129333.3333333333</v>
      </c>
      <c r="V30" s="6">
        <f>F30*0.25</f>
        <v>564666.66666666663</v>
      </c>
      <c r="W30" s="6">
        <f>F30*0.25</f>
        <v>564666.66666666663</v>
      </c>
      <c r="X30" s="6">
        <f t="shared" si="23"/>
        <v>3387999.9999999995</v>
      </c>
      <c r="Y30" s="6"/>
      <c r="Z30" s="6"/>
      <c r="AA30" s="6"/>
      <c r="AB30" s="6"/>
      <c r="AC30" s="45"/>
      <c r="AD30" s="45"/>
      <c r="AE30" s="6"/>
      <c r="AF30" s="6">
        <f>ROUND((F30+F31)*AF17,0)</f>
        <v>536667</v>
      </c>
      <c r="AG30" s="6">
        <v>115</v>
      </c>
      <c r="AH30" s="6"/>
      <c r="AI30" s="6"/>
      <c r="AJ30" s="7">
        <f>AG30*AI28/12*4</f>
        <v>2683333.3333333335</v>
      </c>
      <c r="AK30" s="6">
        <f t="shared" si="9"/>
        <v>536667</v>
      </c>
      <c r="AL30" s="6"/>
      <c r="AM30" s="6"/>
      <c r="AN30" s="6"/>
      <c r="AO30" s="6"/>
      <c r="AP30" s="6">
        <f>ROUND((F30+F31)*AP17,0)</f>
        <v>536667</v>
      </c>
      <c r="AQ30" s="6"/>
      <c r="AR30" s="45">
        <f>ROUND((N30+N31)*AR17,0)</f>
        <v>0</v>
      </c>
      <c r="AS30" s="6"/>
      <c r="AT30" s="6"/>
      <c r="AU30" s="6"/>
      <c r="AV30" s="6"/>
      <c r="AW30" s="1">
        <f t="shared" si="10"/>
        <v>0</v>
      </c>
      <c r="AX30" s="35"/>
      <c r="AY30" s="35"/>
      <c r="AZ30" s="6"/>
      <c r="BA30" s="6"/>
      <c r="BB30" s="62">
        <f t="shared" si="6"/>
        <v>0</v>
      </c>
    </row>
    <row r="31" spans="1:54" ht="14.25" customHeight="1">
      <c r="B31" s="98" t="s">
        <v>175</v>
      </c>
      <c r="C31" s="6"/>
      <c r="D31" s="6"/>
      <c r="E31" s="7"/>
      <c r="F31" s="24">
        <v>-112000</v>
      </c>
      <c r="G31" s="6"/>
      <c r="H31" s="48">
        <v>0.08</v>
      </c>
      <c r="I31" s="48">
        <v>0.08</v>
      </c>
      <c r="J31" s="48">
        <v>0.08</v>
      </c>
      <c r="K31" s="49"/>
      <c r="L31" s="48">
        <v>0.08</v>
      </c>
      <c r="M31" s="48">
        <v>0.08</v>
      </c>
      <c r="N31" s="48">
        <v>0.08</v>
      </c>
      <c r="O31" s="6">
        <f t="shared" si="24"/>
        <v>0.24</v>
      </c>
      <c r="P31" s="48">
        <v>0.08</v>
      </c>
      <c r="Q31" s="48">
        <v>0.08</v>
      </c>
      <c r="R31" s="48">
        <v>0.08</v>
      </c>
      <c r="S31" s="43"/>
      <c r="T31" s="48">
        <v>0.08</v>
      </c>
      <c r="U31" s="40">
        <f t="shared" si="3"/>
        <v>0.08</v>
      </c>
      <c r="V31" s="48">
        <v>0.08</v>
      </c>
      <c r="W31" s="48">
        <v>0.08</v>
      </c>
      <c r="X31" s="6"/>
      <c r="Y31" s="48">
        <v>0.08</v>
      </c>
      <c r="Z31" s="48">
        <v>0.08</v>
      </c>
      <c r="AA31" s="48">
        <v>0.08</v>
      </c>
      <c r="AB31" s="48">
        <v>0.08</v>
      </c>
      <c r="AC31" s="82">
        <v>0.08</v>
      </c>
      <c r="AD31" s="82">
        <v>0.08</v>
      </c>
      <c r="AE31" s="48">
        <v>0.08</v>
      </c>
      <c r="AF31" s="6"/>
      <c r="AG31" s="6"/>
      <c r="AH31" s="6"/>
      <c r="AI31" s="6"/>
      <c r="AJ31" s="6"/>
      <c r="AK31" s="6">
        <f t="shared" si="9"/>
        <v>0.24</v>
      </c>
      <c r="AL31" s="6"/>
      <c r="AM31" s="6"/>
      <c r="AN31" s="6"/>
      <c r="AO31" s="6"/>
      <c r="AP31" s="82">
        <v>0.08</v>
      </c>
      <c r="AQ31" s="48">
        <v>0.08</v>
      </c>
      <c r="AR31" s="45"/>
      <c r="AS31" s="6"/>
      <c r="AT31" s="6"/>
      <c r="AU31" s="6"/>
      <c r="AV31" s="6"/>
      <c r="AW31" s="1">
        <f t="shared" si="10"/>
        <v>0</v>
      </c>
      <c r="AX31" s="35"/>
      <c r="AY31" s="35"/>
      <c r="AZ31" s="6"/>
      <c r="BA31" s="6"/>
      <c r="BB31" s="62">
        <f t="shared" si="6"/>
        <v>0</v>
      </c>
    </row>
    <row r="32" spans="1:54" ht="30">
      <c r="A32" s="1" t="s">
        <v>32</v>
      </c>
      <c r="B32" s="17" t="s">
        <v>33</v>
      </c>
      <c r="C32" s="6"/>
      <c r="D32" s="6"/>
      <c r="E32" s="7"/>
      <c r="F32" s="14">
        <f>F42+F40+F41</f>
        <v>59283681</v>
      </c>
      <c r="G32" s="14">
        <f>G42+G40</f>
        <v>1341104.4000000001</v>
      </c>
      <c r="H32" s="14">
        <f>H42+H40</f>
        <v>2682208.8000000003</v>
      </c>
      <c r="I32" s="14">
        <f>I42+I40</f>
        <v>7833423.0000000009</v>
      </c>
      <c r="J32" s="14">
        <f>J42+J40</f>
        <v>4742694.4800000004</v>
      </c>
      <c r="K32" s="70">
        <f>SUM(G32:J32)</f>
        <v>16599430.680000002</v>
      </c>
      <c r="L32" s="14">
        <f>L42+L40</f>
        <v>4742694.4800000004</v>
      </c>
      <c r="M32" s="6"/>
      <c r="N32" s="6"/>
      <c r="O32" s="6"/>
      <c r="P32" s="6"/>
      <c r="Q32" s="6"/>
      <c r="R32" s="6"/>
      <c r="S32" s="43"/>
      <c r="T32" s="6"/>
      <c r="U32" s="40">
        <f t="shared" si="3"/>
        <v>0</v>
      </c>
      <c r="V32" s="6"/>
      <c r="W32" s="6"/>
      <c r="X32" s="6"/>
      <c r="Y32" s="14">
        <f t="shared" ref="Y32:AD32" si="26">Y42+Y40</f>
        <v>0</v>
      </c>
      <c r="Z32" s="14">
        <f t="shared" si="26"/>
        <v>0</v>
      </c>
      <c r="AA32" s="14">
        <f t="shared" si="26"/>
        <v>4742694.4800000004</v>
      </c>
      <c r="AB32" s="14">
        <f t="shared" si="26"/>
        <v>4742694.4800000004</v>
      </c>
      <c r="AC32" s="81">
        <f t="shared" si="26"/>
        <v>30827514.120000001</v>
      </c>
      <c r="AD32" s="81">
        <f t="shared" si="26"/>
        <v>4742694.4800000004</v>
      </c>
      <c r="AE32" s="81">
        <f>AE40+AE42</f>
        <v>4742694.4800000004</v>
      </c>
      <c r="AF32" s="81">
        <f>AF40+AF42</f>
        <v>4742694.4800000004</v>
      </c>
      <c r="AG32" s="81"/>
      <c r="AH32" s="81"/>
      <c r="AI32" s="81"/>
      <c r="AJ32" s="14">
        <f>AJ42+AJ40+AJ41</f>
        <v>62397726</v>
      </c>
      <c r="AK32" s="14">
        <f t="shared" ref="AK32:BA32" si="27">AK42+AK40+AK41</f>
        <v>45055597.560000002</v>
      </c>
      <c r="AL32" s="14">
        <f t="shared" si="27"/>
        <v>0</v>
      </c>
      <c r="AM32" s="14">
        <f t="shared" si="27"/>
        <v>0</v>
      </c>
      <c r="AN32" s="14">
        <f t="shared" si="27"/>
        <v>0</v>
      </c>
      <c r="AO32" s="14">
        <f t="shared" si="27"/>
        <v>0</v>
      </c>
      <c r="AP32" s="14">
        <f t="shared" si="27"/>
        <v>4742694.4800000004</v>
      </c>
      <c r="AQ32" s="14">
        <f t="shared" si="27"/>
        <v>0</v>
      </c>
      <c r="AR32" s="14">
        <f t="shared" si="27"/>
        <v>0</v>
      </c>
      <c r="AS32" s="14">
        <f t="shared" si="27"/>
        <v>0</v>
      </c>
      <c r="AT32" s="14">
        <f t="shared" si="27"/>
        <v>38024115</v>
      </c>
      <c r="AU32" s="14">
        <f t="shared" si="27"/>
        <v>7031000</v>
      </c>
      <c r="AV32" s="14">
        <f t="shared" si="27"/>
        <v>0</v>
      </c>
      <c r="AW32" s="14">
        <f t="shared" si="27"/>
        <v>45055115</v>
      </c>
      <c r="AX32" s="14">
        <f t="shared" si="27"/>
        <v>59526726</v>
      </c>
      <c r="AY32" s="14">
        <f t="shared" si="27"/>
        <v>2871000</v>
      </c>
      <c r="AZ32" s="14">
        <f t="shared" si="27"/>
        <v>0</v>
      </c>
      <c r="BA32" s="14">
        <f t="shared" si="27"/>
        <v>0</v>
      </c>
      <c r="BB32" s="62">
        <f t="shared" si="6"/>
        <v>62397726</v>
      </c>
    </row>
    <row r="33" spans="1:54" ht="30" hidden="1">
      <c r="A33" s="1">
        <v>1</v>
      </c>
      <c r="B33" s="20" t="s">
        <v>34</v>
      </c>
      <c r="C33" s="6"/>
      <c r="D33" s="6"/>
      <c r="E33" s="7"/>
      <c r="F33" s="21">
        <f>SUM(F34:F38)</f>
        <v>0</v>
      </c>
      <c r="G33" s="6"/>
      <c r="H33" s="6"/>
      <c r="I33" s="6"/>
      <c r="J33" s="6"/>
      <c r="K33" s="42">
        <f t="shared" si="17"/>
        <v>0</v>
      </c>
      <c r="L33" s="6"/>
      <c r="M33" s="6"/>
      <c r="N33" s="6"/>
      <c r="O33" s="6"/>
      <c r="P33" s="6"/>
      <c r="Q33" s="6"/>
      <c r="R33" s="6"/>
      <c r="S33" s="43"/>
      <c r="T33" s="6"/>
      <c r="U33" s="40">
        <f t="shared" si="3"/>
        <v>0</v>
      </c>
      <c r="V33" s="6"/>
      <c r="W33" s="6"/>
      <c r="X33" s="6"/>
      <c r="Y33" s="6"/>
      <c r="Z33" s="6"/>
      <c r="AA33" s="6"/>
      <c r="AB33" s="6"/>
      <c r="AC33" s="45"/>
      <c r="AD33" s="45"/>
      <c r="AE33" s="6"/>
      <c r="AF33" s="6"/>
      <c r="AG33" s="6"/>
      <c r="AH33" s="6"/>
      <c r="AI33" s="6"/>
      <c r="AJ33" s="6"/>
      <c r="AK33" s="6">
        <f t="shared" si="9"/>
        <v>0</v>
      </c>
      <c r="AL33" s="6"/>
      <c r="AM33" s="6"/>
      <c r="AN33" s="6"/>
      <c r="AO33" s="6"/>
      <c r="AP33" s="45"/>
      <c r="AQ33" s="6"/>
      <c r="AR33" s="45"/>
      <c r="AS33" s="6"/>
      <c r="AT33" s="6"/>
      <c r="AU33" s="6"/>
      <c r="AV33" s="6"/>
      <c r="AW33" s="1">
        <f t="shared" si="10"/>
        <v>0</v>
      </c>
      <c r="AX33" s="35"/>
      <c r="AY33" s="35"/>
      <c r="AZ33" s="6"/>
      <c r="BA33" s="6"/>
      <c r="BB33" s="62">
        <f t="shared" si="6"/>
        <v>0</v>
      </c>
    </row>
    <row r="34" spans="1:54" hidden="1">
      <c r="B34" s="5" t="s">
        <v>36</v>
      </c>
      <c r="C34" s="6"/>
      <c r="D34" s="6"/>
      <c r="E34" s="7"/>
      <c r="F34" s="15"/>
      <c r="G34" s="6"/>
      <c r="H34" s="6"/>
      <c r="I34" s="6"/>
      <c r="J34" s="6"/>
      <c r="K34" s="42">
        <f t="shared" si="17"/>
        <v>0</v>
      </c>
      <c r="L34" s="6"/>
      <c r="M34" s="6"/>
      <c r="N34" s="6"/>
      <c r="O34" s="6"/>
      <c r="P34" s="6"/>
      <c r="Q34" s="6"/>
      <c r="R34" s="6"/>
      <c r="S34" s="43"/>
      <c r="T34" s="6"/>
      <c r="U34" s="40">
        <f t="shared" si="3"/>
        <v>0</v>
      </c>
      <c r="V34" s="6"/>
      <c r="W34" s="6"/>
      <c r="X34" s="6"/>
      <c r="Y34" s="6"/>
      <c r="Z34" s="6"/>
      <c r="AA34" s="6"/>
      <c r="AB34" s="6"/>
      <c r="AC34" s="45"/>
      <c r="AD34" s="45"/>
      <c r="AE34" s="6"/>
      <c r="AF34" s="6"/>
      <c r="AG34" s="6"/>
      <c r="AH34" s="6"/>
      <c r="AI34" s="6"/>
      <c r="AJ34" s="6"/>
      <c r="AK34" s="6">
        <f t="shared" si="9"/>
        <v>0</v>
      </c>
      <c r="AL34" s="6"/>
      <c r="AM34" s="6"/>
      <c r="AN34" s="6"/>
      <c r="AO34" s="6"/>
      <c r="AP34" s="45"/>
      <c r="AQ34" s="6"/>
      <c r="AR34" s="45"/>
      <c r="AS34" s="6"/>
      <c r="AT34" s="6"/>
      <c r="AU34" s="6"/>
      <c r="AV34" s="6"/>
      <c r="AW34" s="1">
        <f t="shared" si="10"/>
        <v>0</v>
      </c>
      <c r="AX34" s="35"/>
      <c r="AY34" s="35"/>
      <c r="AZ34" s="6"/>
      <c r="BA34" s="6"/>
      <c r="BB34" s="62">
        <f t="shared" si="6"/>
        <v>0</v>
      </c>
    </row>
    <row r="35" spans="1:54" hidden="1">
      <c r="B35" s="5" t="s">
        <v>37</v>
      </c>
      <c r="C35" s="6"/>
      <c r="D35" s="6"/>
      <c r="E35" s="7"/>
      <c r="F35" s="15"/>
      <c r="G35" s="6"/>
      <c r="H35" s="6"/>
      <c r="I35" s="6"/>
      <c r="J35" s="6"/>
      <c r="K35" s="42">
        <f t="shared" si="17"/>
        <v>0</v>
      </c>
      <c r="L35" s="6"/>
      <c r="M35" s="6"/>
      <c r="N35" s="6"/>
      <c r="O35" s="6"/>
      <c r="P35" s="6"/>
      <c r="Q35" s="6"/>
      <c r="R35" s="6"/>
      <c r="S35" s="43"/>
      <c r="T35" s="6"/>
      <c r="U35" s="40">
        <f t="shared" si="3"/>
        <v>0</v>
      </c>
      <c r="V35" s="6"/>
      <c r="W35" s="6"/>
      <c r="X35" s="6"/>
      <c r="Y35" s="6"/>
      <c r="Z35" s="6"/>
      <c r="AA35" s="6"/>
      <c r="AB35" s="6"/>
      <c r="AC35" s="45"/>
      <c r="AD35" s="45"/>
      <c r="AE35" s="6"/>
      <c r="AF35" s="6"/>
      <c r="AG35" s="6"/>
      <c r="AH35" s="6"/>
      <c r="AI35" s="6"/>
      <c r="AJ35" s="6"/>
      <c r="AK35" s="6">
        <f t="shared" si="9"/>
        <v>0</v>
      </c>
      <c r="AL35" s="6"/>
      <c r="AM35" s="6"/>
      <c r="AN35" s="6"/>
      <c r="AO35" s="6"/>
      <c r="AP35" s="45"/>
      <c r="AQ35" s="6"/>
      <c r="AR35" s="45"/>
      <c r="AS35" s="6"/>
      <c r="AT35" s="6"/>
      <c r="AU35" s="6"/>
      <c r="AV35" s="6"/>
      <c r="AW35" s="1">
        <f t="shared" si="10"/>
        <v>0</v>
      </c>
      <c r="AX35" s="35"/>
      <c r="AY35" s="35"/>
      <c r="AZ35" s="6"/>
      <c r="BA35" s="6"/>
      <c r="BB35" s="62">
        <f t="shared" si="6"/>
        <v>0</v>
      </c>
    </row>
    <row r="36" spans="1:54" ht="30" hidden="1">
      <c r="B36" s="5" t="s">
        <v>38</v>
      </c>
      <c r="C36" s="6"/>
      <c r="D36" s="6"/>
      <c r="E36" s="7"/>
      <c r="F36" s="15"/>
      <c r="G36" s="6"/>
      <c r="H36" s="6"/>
      <c r="I36" s="6"/>
      <c r="J36" s="6"/>
      <c r="K36" s="42">
        <f t="shared" si="17"/>
        <v>0</v>
      </c>
      <c r="L36" s="6"/>
      <c r="M36" s="6"/>
      <c r="N36" s="6"/>
      <c r="O36" s="6"/>
      <c r="P36" s="6"/>
      <c r="Q36" s="6"/>
      <c r="R36" s="6"/>
      <c r="S36" s="43"/>
      <c r="T36" s="6"/>
      <c r="U36" s="40">
        <f t="shared" si="3"/>
        <v>0</v>
      </c>
      <c r="V36" s="6"/>
      <c r="W36" s="6"/>
      <c r="X36" s="6"/>
      <c r="Y36" s="6"/>
      <c r="Z36" s="6"/>
      <c r="AA36" s="6"/>
      <c r="AB36" s="6"/>
      <c r="AC36" s="45"/>
      <c r="AD36" s="45"/>
      <c r="AE36" s="6"/>
      <c r="AF36" s="6"/>
      <c r="AG36" s="6"/>
      <c r="AH36" s="6"/>
      <c r="AI36" s="6"/>
      <c r="AJ36" s="6"/>
      <c r="AK36" s="6">
        <f t="shared" si="9"/>
        <v>0</v>
      </c>
      <c r="AL36" s="6"/>
      <c r="AM36" s="6"/>
      <c r="AN36" s="6"/>
      <c r="AO36" s="6"/>
      <c r="AP36" s="45"/>
      <c r="AQ36" s="6"/>
      <c r="AR36" s="45"/>
      <c r="AS36" s="6"/>
      <c r="AT36" s="6"/>
      <c r="AU36" s="6"/>
      <c r="AV36" s="6"/>
      <c r="AW36" s="1">
        <f t="shared" si="10"/>
        <v>0</v>
      </c>
      <c r="AX36" s="35"/>
      <c r="AY36" s="35"/>
      <c r="AZ36" s="6"/>
      <c r="BA36" s="6"/>
      <c r="BB36" s="62">
        <f t="shared" si="6"/>
        <v>0</v>
      </c>
    </row>
    <row r="37" spans="1:54" hidden="1">
      <c r="B37" s="5" t="s">
        <v>39</v>
      </c>
      <c r="C37" s="6"/>
      <c r="D37" s="6"/>
      <c r="E37" s="7"/>
      <c r="F37" s="15"/>
      <c r="G37" s="6"/>
      <c r="H37" s="6"/>
      <c r="I37" s="6"/>
      <c r="J37" s="6"/>
      <c r="K37" s="42">
        <f t="shared" si="17"/>
        <v>0</v>
      </c>
      <c r="L37" s="6"/>
      <c r="M37" s="6"/>
      <c r="N37" s="6"/>
      <c r="O37" s="6"/>
      <c r="P37" s="6"/>
      <c r="Q37" s="6"/>
      <c r="R37" s="6"/>
      <c r="S37" s="43"/>
      <c r="T37" s="6"/>
      <c r="U37" s="40">
        <f t="shared" si="3"/>
        <v>0</v>
      </c>
      <c r="V37" s="6"/>
      <c r="W37" s="6"/>
      <c r="X37" s="6"/>
      <c r="Y37" s="6"/>
      <c r="Z37" s="6"/>
      <c r="AA37" s="6"/>
      <c r="AB37" s="6"/>
      <c r="AC37" s="45"/>
      <c r="AD37" s="45"/>
      <c r="AE37" s="6"/>
      <c r="AF37" s="6"/>
      <c r="AG37" s="6"/>
      <c r="AH37" s="6"/>
      <c r="AI37" s="6"/>
      <c r="AJ37" s="6"/>
      <c r="AK37" s="6">
        <f t="shared" si="9"/>
        <v>0</v>
      </c>
      <c r="AL37" s="6"/>
      <c r="AM37" s="6"/>
      <c r="AN37" s="6"/>
      <c r="AO37" s="6"/>
      <c r="AP37" s="45"/>
      <c r="AQ37" s="6"/>
      <c r="AR37" s="45"/>
      <c r="AS37" s="6"/>
      <c r="AT37" s="6"/>
      <c r="AU37" s="6"/>
      <c r="AV37" s="6"/>
      <c r="AW37" s="1">
        <f t="shared" si="10"/>
        <v>0</v>
      </c>
      <c r="AX37" s="35"/>
      <c r="AY37" s="35"/>
      <c r="AZ37" s="6"/>
      <c r="BA37" s="6"/>
      <c r="BB37" s="62">
        <f t="shared" si="6"/>
        <v>0</v>
      </c>
    </row>
    <row r="38" spans="1:54" hidden="1">
      <c r="B38" s="5" t="s">
        <v>40</v>
      </c>
      <c r="C38" s="6"/>
      <c r="D38" s="6"/>
      <c r="E38" s="7"/>
      <c r="F38" s="15"/>
      <c r="G38" s="6"/>
      <c r="H38" s="6"/>
      <c r="I38" s="6"/>
      <c r="J38" s="6"/>
      <c r="K38" s="42">
        <f t="shared" si="17"/>
        <v>0</v>
      </c>
      <c r="L38" s="6"/>
      <c r="M38" s="6"/>
      <c r="N38" s="6"/>
      <c r="O38" s="6"/>
      <c r="P38" s="6"/>
      <c r="Q38" s="6"/>
      <c r="R38" s="6"/>
      <c r="S38" s="43"/>
      <c r="T38" s="6"/>
      <c r="U38" s="40">
        <f t="shared" si="3"/>
        <v>0</v>
      </c>
      <c r="V38" s="6"/>
      <c r="W38" s="6"/>
      <c r="X38" s="6"/>
      <c r="Y38" s="6"/>
      <c r="Z38" s="6"/>
      <c r="AA38" s="6"/>
      <c r="AB38" s="6"/>
      <c r="AC38" s="45"/>
      <c r="AD38" s="45"/>
      <c r="AE38" s="6"/>
      <c r="AF38" s="6"/>
      <c r="AG38" s="6"/>
      <c r="AH38" s="6"/>
      <c r="AI38" s="6"/>
      <c r="AJ38" s="6"/>
      <c r="AK38" s="6">
        <f t="shared" si="9"/>
        <v>0</v>
      </c>
      <c r="AL38" s="6"/>
      <c r="AM38" s="6"/>
      <c r="AN38" s="6"/>
      <c r="AO38" s="6"/>
      <c r="AP38" s="45"/>
      <c r="AQ38" s="6"/>
      <c r="AR38" s="45"/>
      <c r="AS38" s="6"/>
      <c r="AT38" s="6"/>
      <c r="AU38" s="6"/>
      <c r="AV38" s="6"/>
      <c r="AW38" s="1">
        <f t="shared" si="10"/>
        <v>0</v>
      </c>
      <c r="AX38" s="35"/>
      <c r="AY38" s="35"/>
      <c r="AZ38" s="6"/>
      <c r="BA38" s="6"/>
      <c r="BB38" s="62">
        <f t="shared" si="6"/>
        <v>0</v>
      </c>
    </row>
    <row r="39" spans="1:54">
      <c r="B39" s="5"/>
      <c r="C39" s="6"/>
      <c r="D39" s="6"/>
      <c r="E39" s="7"/>
      <c r="F39" s="15"/>
      <c r="G39" s="6"/>
      <c r="H39" s="6"/>
      <c r="I39" s="6"/>
      <c r="J39" s="6"/>
      <c r="K39" s="42">
        <f t="shared" si="17"/>
        <v>0</v>
      </c>
      <c r="L39" s="6"/>
      <c r="M39" s="6"/>
      <c r="N39" s="6"/>
      <c r="O39" s="6"/>
      <c r="P39" s="6"/>
      <c r="Q39" s="6"/>
      <c r="R39" s="6"/>
      <c r="S39" s="43"/>
      <c r="T39" s="6"/>
      <c r="U39" s="40">
        <f t="shared" si="3"/>
        <v>0</v>
      </c>
      <c r="V39" s="6"/>
      <c r="W39" s="6"/>
      <c r="X39" s="6"/>
      <c r="Y39" s="6"/>
      <c r="Z39" s="6"/>
      <c r="AA39" s="6"/>
      <c r="AB39" s="6"/>
      <c r="AC39" s="45"/>
      <c r="AD39" s="45"/>
      <c r="AE39" s="6"/>
      <c r="AF39" s="6"/>
      <c r="AG39" s="6"/>
      <c r="AH39" s="6"/>
      <c r="AI39" s="6"/>
      <c r="AJ39" s="6"/>
      <c r="AK39" s="6">
        <f t="shared" si="9"/>
        <v>0</v>
      </c>
      <c r="AL39" s="6"/>
      <c r="AM39" s="6"/>
      <c r="AN39" s="6"/>
      <c r="AO39" s="6"/>
      <c r="AP39" s="45"/>
      <c r="AQ39" s="6"/>
      <c r="AR39" s="45"/>
      <c r="AS39" s="6"/>
      <c r="AT39" s="6"/>
      <c r="AU39" s="6"/>
      <c r="AV39" s="6"/>
      <c r="AW39" s="1">
        <f t="shared" si="10"/>
        <v>0</v>
      </c>
      <c r="AX39" s="35"/>
      <c r="AY39" s="35"/>
      <c r="AZ39" s="6"/>
      <c r="BA39" s="6"/>
      <c r="BB39" s="62">
        <f t="shared" si="6"/>
        <v>0</v>
      </c>
    </row>
    <row r="40" spans="1:54" ht="45">
      <c r="A40" s="1">
        <v>1</v>
      </c>
      <c r="B40" s="20" t="s">
        <v>182</v>
      </c>
      <c r="C40" s="6"/>
      <c r="D40" s="6"/>
      <c r="E40" s="7"/>
      <c r="F40" s="21">
        <v>23833530</v>
      </c>
      <c r="G40" s="21">
        <f>F40*0.04</f>
        <v>953341.20000000007</v>
      </c>
      <c r="H40" s="21">
        <f>F40*H31</f>
        <v>1906682.4000000001</v>
      </c>
      <c r="I40" s="21">
        <f>F40*I31</f>
        <v>1906682.4000000001</v>
      </c>
      <c r="J40" s="21">
        <f>F40*J31</f>
        <v>1906682.4000000001</v>
      </c>
      <c r="K40" s="21">
        <f>SUM(G40:J40)</f>
        <v>6673388.4000000004</v>
      </c>
      <c r="L40" s="21">
        <f>F40*L31</f>
        <v>1906682.4000000001</v>
      </c>
      <c r="M40" s="21">
        <f>G40*0.08</f>
        <v>76267.296000000002</v>
      </c>
      <c r="N40" s="21">
        <f>F40*0.08</f>
        <v>1906682.4000000001</v>
      </c>
      <c r="O40" s="21">
        <f>K40+L40+M40+N40</f>
        <v>10563020.496000001</v>
      </c>
      <c r="P40" s="21">
        <f>G40*0.08</f>
        <v>76267.296000000002</v>
      </c>
      <c r="Q40" s="21">
        <f>G40*0.08</f>
        <v>76267.296000000002</v>
      </c>
      <c r="R40" s="21">
        <f>F40*0.08</f>
        <v>1906682.4000000001</v>
      </c>
      <c r="S40" s="21">
        <f>SUM(O40:R40)</f>
        <v>12622237.488000002</v>
      </c>
      <c r="T40" s="21">
        <f>F40*0.08</f>
        <v>1906682.4000000001</v>
      </c>
      <c r="U40" s="21">
        <f t="shared" si="3"/>
        <v>14528919.888000002</v>
      </c>
      <c r="V40" s="21">
        <f>F40*0.08</f>
        <v>1906682.4000000001</v>
      </c>
      <c r="W40" s="21">
        <f>F40-S40-T40-V40</f>
        <v>7397927.7119999975</v>
      </c>
      <c r="X40" s="21">
        <f>SUM(S40:W40)</f>
        <v>38362449.887999997</v>
      </c>
      <c r="Y40" s="21"/>
      <c r="Z40" s="21"/>
      <c r="AA40" s="21">
        <f>F40*AA31</f>
        <v>1906682.4000000001</v>
      </c>
      <c r="AB40" s="21">
        <f>F40*AB31</f>
        <v>1906682.4000000001</v>
      </c>
      <c r="AC40" s="21">
        <f>K40+L40+AA40+AB40</f>
        <v>12393435.600000001</v>
      </c>
      <c r="AD40" s="21">
        <f>F40*AD31</f>
        <v>1906682.4000000001</v>
      </c>
      <c r="AE40" s="21">
        <f>F40*AE31</f>
        <v>1906682.4000000001</v>
      </c>
      <c r="AF40" s="21">
        <f>$F40*$AF$1</f>
        <v>1906682.4000000001</v>
      </c>
      <c r="AG40" s="21"/>
      <c r="AH40" s="21"/>
      <c r="AI40" s="21"/>
      <c r="AJ40" s="21"/>
      <c r="AK40" s="21">
        <f t="shared" si="9"/>
        <v>18113482.800000001</v>
      </c>
      <c r="AL40" s="21"/>
      <c r="AM40" s="21"/>
      <c r="AN40" s="21"/>
      <c r="AO40" s="21"/>
      <c r="AP40" s="21">
        <f>$F40*$AF$1</f>
        <v>1906682.4000000001</v>
      </c>
      <c r="AQ40" s="21"/>
      <c r="AR40" s="80"/>
      <c r="AS40" s="6"/>
      <c r="AT40" s="35">
        <v>11082000</v>
      </c>
      <c r="AU40" s="35">
        <v>7031000</v>
      </c>
      <c r="AV40" s="35"/>
      <c r="AW40" s="103">
        <f t="shared" si="10"/>
        <v>18113000</v>
      </c>
      <c r="AX40" s="35"/>
      <c r="AY40" s="35"/>
      <c r="AZ40" s="6"/>
      <c r="BA40" s="6"/>
      <c r="BB40" s="62">
        <f t="shared" si="6"/>
        <v>0</v>
      </c>
    </row>
    <row r="41" spans="1:54" ht="37.5" customHeight="1">
      <c r="A41" s="1">
        <v>2</v>
      </c>
      <c r="B41" s="20" t="s">
        <v>183</v>
      </c>
      <c r="C41" s="6"/>
      <c r="D41" s="6"/>
      <c r="E41" s="7"/>
      <c r="F41" s="21">
        <v>0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>
        <v>28561380</v>
      </c>
      <c r="AK41" s="21">
        <f t="shared" si="9"/>
        <v>0</v>
      </c>
      <c r="AL41" s="21"/>
      <c r="AM41" s="21"/>
      <c r="AN41" s="21"/>
      <c r="AO41" s="21"/>
      <c r="AP41" s="21"/>
      <c r="AQ41" s="21"/>
      <c r="AR41" s="80"/>
      <c r="AS41" s="6"/>
      <c r="AT41" s="6"/>
      <c r="AU41" s="6"/>
      <c r="AV41" s="6"/>
      <c r="AW41" s="1">
        <f t="shared" si="10"/>
        <v>0</v>
      </c>
      <c r="AX41" s="35">
        <v>25690380</v>
      </c>
      <c r="AY41" s="35">
        <v>2871000</v>
      </c>
      <c r="AZ41" s="6"/>
      <c r="BA41" s="6"/>
      <c r="BB41" s="62">
        <f t="shared" si="6"/>
        <v>28561380</v>
      </c>
    </row>
    <row r="42" spans="1:54" ht="30">
      <c r="B42" s="20" t="s">
        <v>49</v>
      </c>
      <c r="C42" s="6"/>
      <c r="D42" s="6"/>
      <c r="E42" s="7"/>
      <c r="F42" s="21">
        <f>SUM(F43:F44)</f>
        <v>35450151</v>
      </c>
      <c r="G42" s="21">
        <f>SUM(G43:G44)</f>
        <v>387763.20000000001</v>
      </c>
      <c r="H42" s="21">
        <f>SUM(H43:H44)</f>
        <v>775526.40000000002</v>
      </c>
      <c r="I42" s="21">
        <f>SUM(I43:I44)</f>
        <v>5926740.6000000006</v>
      </c>
      <c r="J42" s="21">
        <f>SUM(J43:J44)</f>
        <v>2836012.08</v>
      </c>
      <c r="K42" s="21">
        <f t="shared" ref="K42:K48" si="28">SUM(G42:J42)</f>
        <v>9926042.2800000012</v>
      </c>
      <c r="L42" s="21">
        <f>SUM(L43:L44)</f>
        <v>2836012.08</v>
      </c>
      <c r="M42" s="21">
        <f>M45+M46</f>
        <v>0</v>
      </c>
      <c r="N42" s="21">
        <f>N45+N46</f>
        <v>0</v>
      </c>
      <c r="O42" s="21">
        <f>K42+L42+N42</f>
        <v>12762054.360000001</v>
      </c>
      <c r="P42" s="21">
        <f>P45+P46</f>
        <v>0</v>
      </c>
      <c r="Q42" s="21">
        <f>Q45+Q46</f>
        <v>0</v>
      </c>
      <c r="R42" s="21">
        <f>R45+R46</f>
        <v>0</v>
      </c>
      <c r="S42" s="21">
        <f>O42+P42+Q42+R42</f>
        <v>12762054.360000001</v>
      </c>
      <c r="T42" s="21">
        <f>T45+T46</f>
        <v>0</v>
      </c>
      <c r="U42" s="21">
        <f>SUM(S42:T42)</f>
        <v>12762054.360000001</v>
      </c>
      <c r="V42" s="21">
        <f>V45+V46</f>
        <v>0</v>
      </c>
      <c r="W42" s="21">
        <f>W45+W46</f>
        <v>0</v>
      </c>
      <c r="X42" s="21">
        <f>S42+T42+V42+W42</f>
        <v>12762054.360000001</v>
      </c>
      <c r="Y42" s="21">
        <f t="shared" ref="Y42:AD42" si="29">SUM(Y43:Y44)</f>
        <v>0</v>
      </c>
      <c r="Z42" s="21">
        <f t="shared" si="29"/>
        <v>0</v>
      </c>
      <c r="AA42" s="21">
        <f t="shared" si="29"/>
        <v>2836012.08</v>
      </c>
      <c r="AB42" s="21">
        <f t="shared" si="29"/>
        <v>2836012.08</v>
      </c>
      <c r="AC42" s="21">
        <f t="shared" si="29"/>
        <v>18434078.52</v>
      </c>
      <c r="AD42" s="21">
        <f t="shared" si="29"/>
        <v>2836012.08</v>
      </c>
      <c r="AE42" s="21">
        <f>AE43+AE44</f>
        <v>2836012.08</v>
      </c>
      <c r="AF42" s="21">
        <f>AF43+AF44</f>
        <v>2836012.08</v>
      </c>
      <c r="AG42" s="21"/>
      <c r="AH42" s="21"/>
      <c r="AI42" s="21"/>
      <c r="AJ42" s="21">
        <f>SUM(AJ43:AJ44)</f>
        <v>33836346</v>
      </c>
      <c r="AK42" s="21">
        <f t="shared" si="9"/>
        <v>26942114.759999998</v>
      </c>
      <c r="AL42" s="21"/>
      <c r="AM42" s="21"/>
      <c r="AN42" s="21"/>
      <c r="AO42" s="21"/>
      <c r="AP42" s="21">
        <f>SUM(AP43:AP44)</f>
        <v>2836012.08</v>
      </c>
      <c r="AQ42" s="21">
        <f>AQ43+AQ44</f>
        <v>0</v>
      </c>
      <c r="AR42" s="80">
        <f>AR43+AR44</f>
        <v>0</v>
      </c>
      <c r="AS42" s="6"/>
      <c r="AT42" s="6">
        <v>26942115</v>
      </c>
      <c r="AU42" s="6"/>
      <c r="AV42" s="6"/>
      <c r="AW42" s="103">
        <f t="shared" si="10"/>
        <v>26942115</v>
      </c>
      <c r="AX42" s="35">
        <v>33836346</v>
      </c>
      <c r="AY42" s="35"/>
      <c r="AZ42" s="6"/>
      <c r="BA42" s="6"/>
      <c r="BB42" s="62">
        <f t="shared" si="6"/>
        <v>33836346</v>
      </c>
    </row>
    <row r="43" spans="1:54">
      <c r="B43" s="20" t="s">
        <v>104</v>
      </c>
      <c r="C43" s="6">
        <v>5.94</v>
      </c>
      <c r="D43" s="6" t="s">
        <v>2</v>
      </c>
      <c r="E43" s="7"/>
      <c r="F43" s="21">
        <v>9694080</v>
      </c>
      <c r="G43" s="27">
        <f>F43*0.04</f>
        <v>387763.20000000001</v>
      </c>
      <c r="H43" s="25">
        <f>F43*H31</f>
        <v>775526.40000000002</v>
      </c>
      <c r="I43" s="65">
        <f>F43*I31</f>
        <v>775526.40000000002</v>
      </c>
      <c r="J43" s="65">
        <f>F43*J31</f>
        <v>775526.40000000002</v>
      </c>
      <c r="K43" s="43">
        <f t="shared" si="28"/>
        <v>2714342.4</v>
      </c>
      <c r="L43" s="65">
        <f>F43*L31</f>
        <v>775526.40000000002</v>
      </c>
      <c r="M43" s="25"/>
      <c r="N43" s="25"/>
      <c r="O43" s="25"/>
      <c r="P43" s="25"/>
      <c r="Q43" s="25"/>
      <c r="R43" s="25"/>
      <c r="S43" s="43"/>
      <c r="T43" s="65"/>
      <c r="U43" s="40"/>
      <c r="V43" s="65"/>
      <c r="W43" s="65"/>
      <c r="X43" s="65"/>
      <c r="Y43" s="65">
        <f>S43*Y31</f>
        <v>0</v>
      </c>
      <c r="Z43" s="65">
        <f>T43*Z31</f>
        <v>0</v>
      </c>
      <c r="AA43" s="65">
        <f>F43*AA31</f>
        <v>775526.40000000002</v>
      </c>
      <c r="AB43" s="65">
        <f>F43*AB31</f>
        <v>775526.40000000002</v>
      </c>
      <c r="AC43" s="85">
        <f>K43+L43+AA43+AB43</f>
        <v>5040921.6000000006</v>
      </c>
      <c r="AD43" s="85">
        <f>F43*AD31</f>
        <v>775526.40000000002</v>
      </c>
      <c r="AE43" s="27">
        <f>F43*AE31</f>
        <v>775526.40000000002</v>
      </c>
      <c r="AF43" s="27">
        <f>$F43*$AF$1</f>
        <v>775526.40000000002</v>
      </c>
      <c r="AG43" s="106">
        <v>9</v>
      </c>
      <c r="AH43" s="27" t="s">
        <v>2</v>
      </c>
      <c r="AI43" s="27">
        <v>1632000</v>
      </c>
      <c r="AJ43" s="27">
        <f>AG43*AI43</f>
        <v>14688000</v>
      </c>
      <c r="AK43" s="27">
        <f t="shared" si="9"/>
        <v>7367500.8000000017</v>
      </c>
      <c r="AL43" s="6"/>
      <c r="AM43" s="6"/>
      <c r="AN43" s="6"/>
      <c r="AO43" s="6"/>
      <c r="AP43" s="27">
        <f>$F43*$AF$1</f>
        <v>775526.40000000002</v>
      </c>
      <c r="AQ43" s="27">
        <f>N43*AQ31</f>
        <v>0</v>
      </c>
      <c r="AR43" s="79"/>
      <c r="AS43" s="6"/>
      <c r="AT43" s="6"/>
      <c r="AU43" s="6"/>
      <c r="AV43" s="6"/>
      <c r="AW43" s="1">
        <f t="shared" si="10"/>
        <v>0</v>
      </c>
      <c r="AX43" s="35"/>
      <c r="AY43" s="35"/>
      <c r="AZ43" s="6"/>
      <c r="BA43" s="6"/>
      <c r="BB43" s="62">
        <f t="shared" si="6"/>
        <v>0</v>
      </c>
    </row>
    <row r="44" spans="1:54">
      <c r="B44" s="20" t="s">
        <v>105</v>
      </c>
      <c r="C44" s="6"/>
      <c r="D44" s="6"/>
      <c r="E44" s="7"/>
      <c r="F44" s="21">
        <v>25756071</v>
      </c>
      <c r="G44" s="6"/>
      <c r="H44" s="65"/>
      <c r="I44" s="65">
        <f>F44*0.2</f>
        <v>5151214.2</v>
      </c>
      <c r="J44" s="65">
        <f>F44*J31</f>
        <v>2060485.68</v>
      </c>
      <c r="K44" s="43">
        <f t="shared" si="28"/>
        <v>7211699.8799999999</v>
      </c>
      <c r="L44" s="65">
        <f>F44*L31</f>
        <v>2060485.68</v>
      </c>
      <c r="M44" s="25"/>
      <c r="N44" s="25"/>
      <c r="O44" s="25"/>
      <c r="P44" s="25"/>
      <c r="Q44" s="25"/>
      <c r="R44" s="25"/>
      <c r="S44" s="43"/>
      <c r="T44" s="65"/>
      <c r="U44" s="40"/>
      <c r="V44" s="65"/>
      <c r="W44" s="65"/>
      <c r="X44" s="65"/>
      <c r="Y44" s="65">
        <f>S44*Y31</f>
        <v>0</v>
      </c>
      <c r="Z44" s="65">
        <f>T44*Z31</f>
        <v>0</v>
      </c>
      <c r="AA44" s="65">
        <f>F44*AA31</f>
        <v>2060485.68</v>
      </c>
      <c r="AB44" s="65">
        <f>F44*AB31</f>
        <v>2060485.68</v>
      </c>
      <c r="AC44" s="85">
        <f>K44+L44+AA44+AB44</f>
        <v>13393156.92</v>
      </c>
      <c r="AD44" s="85">
        <f>F44*AD31</f>
        <v>2060485.68</v>
      </c>
      <c r="AE44" s="27">
        <f>F44*AE31</f>
        <v>2060485.68</v>
      </c>
      <c r="AF44" s="27">
        <f>$F44*$AF$1</f>
        <v>2060485.68</v>
      </c>
      <c r="AG44" s="27"/>
      <c r="AH44" s="27"/>
      <c r="AI44" s="27"/>
      <c r="AJ44" s="27">
        <v>19148346</v>
      </c>
      <c r="AK44" s="27">
        <f t="shared" si="9"/>
        <v>19574613.960000001</v>
      </c>
      <c r="AL44" s="6"/>
      <c r="AM44" s="6"/>
      <c r="AN44" s="6"/>
      <c r="AO44" s="6"/>
      <c r="AP44" s="27">
        <f>$F44*$AF$1</f>
        <v>2060485.68</v>
      </c>
      <c r="AQ44" s="27">
        <f>N44*AQ31</f>
        <v>0</v>
      </c>
      <c r="AR44" s="79"/>
      <c r="AS44" s="6"/>
      <c r="AT44" s="6"/>
      <c r="AU44" s="6"/>
      <c r="AV44" s="6"/>
      <c r="AW44" s="1">
        <f t="shared" si="10"/>
        <v>0</v>
      </c>
      <c r="AX44" s="35"/>
      <c r="AY44" s="35"/>
      <c r="AZ44" s="6"/>
      <c r="BA44" s="6"/>
      <c r="BB44" s="62">
        <f t="shared" si="6"/>
        <v>0</v>
      </c>
    </row>
    <row r="45" spans="1:54">
      <c r="A45" s="1" t="s">
        <v>48</v>
      </c>
      <c r="B45" s="5" t="s">
        <v>8</v>
      </c>
      <c r="C45" s="6"/>
      <c r="D45" s="6" t="s">
        <v>2</v>
      </c>
      <c r="E45" s="7"/>
      <c r="F45" s="10">
        <f>C45*E45</f>
        <v>0</v>
      </c>
      <c r="G45" s="7">
        <f>F45</f>
        <v>0</v>
      </c>
      <c r="H45" s="6">
        <f>F45*5%</f>
        <v>0</v>
      </c>
      <c r="I45" s="6">
        <f>G45*0.08</f>
        <v>0</v>
      </c>
      <c r="J45" s="6">
        <f>G45*0.13</f>
        <v>0</v>
      </c>
      <c r="K45" s="43">
        <f t="shared" si="28"/>
        <v>0</v>
      </c>
      <c r="L45" s="6">
        <f>F45*0.08</f>
        <v>0</v>
      </c>
      <c r="M45" s="6">
        <f>G45*0.08</f>
        <v>0</v>
      </c>
      <c r="N45" s="6">
        <f>F45*0.08</f>
        <v>0</v>
      </c>
      <c r="O45" s="25">
        <f>K45+L45+N45</f>
        <v>0</v>
      </c>
      <c r="P45" s="6">
        <f>G45*0.08</f>
        <v>0</v>
      </c>
      <c r="Q45" s="6">
        <f>G45*0.08</f>
        <v>0</v>
      </c>
      <c r="R45" s="6">
        <f>G45*0.08</f>
        <v>0</v>
      </c>
      <c r="S45" s="43">
        <f>SUM(O45:R45)</f>
        <v>0</v>
      </c>
      <c r="T45" s="27">
        <f>G45*0.08</f>
        <v>0</v>
      </c>
      <c r="U45" s="40">
        <f>SUM(S45:T45)</f>
        <v>0</v>
      </c>
      <c r="V45" s="27">
        <f>G45*0.08</f>
        <v>0</v>
      </c>
      <c r="W45" s="27">
        <f>G45*0.08</f>
        <v>0</v>
      </c>
      <c r="X45" s="27">
        <f>SUM(S45:W45)</f>
        <v>0</v>
      </c>
      <c r="Y45" s="6">
        <f>S45*0.08</f>
        <v>0</v>
      </c>
      <c r="Z45" s="6">
        <f>T45*0.08</f>
        <v>0</v>
      </c>
      <c r="AA45" s="6">
        <f>Y45*5%</f>
        <v>0</v>
      </c>
      <c r="AB45" s="6">
        <f>Z45*0.08</f>
        <v>0</v>
      </c>
      <c r="AC45" s="45">
        <f>Z45*0.13</f>
        <v>0</v>
      </c>
      <c r="AD45" s="45">
        <f>AB45*0.08</f>
        <v>0</v>
      </c>
      <c r="AE45" s="6"/>
      <c r="AF45" s="6"/>
      <c r="AG45" s="6"/>
      <c r="AH45" s="6"/>
      <c r="AI45" s="6"/>
      <c r="AJ45" s="6"/>
      <c r="AK45" s="6">
        <f t="shared" si="9"/>
        <v>0</v>
      </c>
      <c r="AL45" s="6"/>
      <c r="AM45" s="6"/>
      <c r="AN45" s="6"/>
      <c r="AO45" s="6"/>
      <c r="AP45" s="45">
        <f>AN45*0.08</f>
        <v>0</v>
      </c>
      <c r="AQ45" s="6"/>
      <c r="AR45" s="45"/>
      <c r="AS45" s="6"/>
      <c r="AT45" s="6"/>
      <c r="AU45" s="6"/>
      <c r="AV45" s="6"/>
      <c r="AW45" s="1">
        <f t="shared" si="10"/>
        <v>0</v>
      </c>
      <c r="AX45" s="35"/>
      <c r="AY45" s="35"/>
      <c r="AZ45" s="6"/>
      <c r="BA45" s="6"/>
      <c r="BB45" s="62">
        <f t="shared" si="6"/>
        <v>0</v>
      </c>
    </row>
    <row r="46" spans="1:54">
      <c r="A46" s="1" t="s">
        <v>48</v>
      </c>
      <c r="B46" s="5" t="s">
        <v>31</v>
      </c>
      <c r="C46" s="6"/>
      <c r="D46" s="6" t="s">
        <v>2</v>
      </c>
      <c r="E46" s="7"/>
      <c r="F46" s="10">
        <f>C46*E46</f>
        <v>0</v>
      </c>
      <c r="G46" s="7">
        <f>F46</f>
        <v>0</v>
      </c>
      <c r="H46" s="6">
        <f>F46*5%</f>
        <v>0</v>
      </c>
      <c r="I46" s="6">
        <f>G46*0.08</f>
        <v>0</v>
      </c>
      <c r="J46" s="6">
        <f>G46*0.13</f>
        <v>0</v>
      </c>
      <c r="K46" s="43">
        <f t="shared" si="28"/>
        <v>0</v>
      </c>
      <c r="L46" s="6">
        <f>F46*0.08</f>
        <v>0</v>
      </c>
      <c r="M46" s="6">
        <f>G46*0.08</f>
        <v>0</v>
      </c>
      <c r="N46" s="6">
        <f>G46*0.08</f>
        <v>0</v>
      </c>
      <c r="O46" s="25">
        <f>K46+L46+N46+M46</f>
        <v>0</v>
      </c>
      <c r="P46" s="6">
        <f>G46*0.08</f>
        <v>0</v>
      </c>
      <c r="Q46" s="6">
        <f>G46*0.08</f>
        <v>0</v>
      </c>
      <c r="R46" s="6">
        <f>G46*0.08</f>
        <v>0</v>
      </c>
      <c r="S46" s="43">
        <f>SUM(O46:R46)</f>
        <v>0</v>
      </c>
      <c r="T46" s="6">
        <f>G46*0.08</f>
        <v>0</v>
      </c>
      <c r="U46" s="40">
        <f>SUM(S46:T46)</f>
        <v>0</v>
      </c>
      <c r="V46" s="6">
        <f>G46*0.08</f>
        <v>0</v>
      </c>
      <c r="W46" s="6">
        <f>G46*0.08</f>
        <v>0</v>
      </c>
      <c r="X46" s="6">
        <f>SUM(S46:W46)</f>
        <v>0</v>
      </c>
      <c r="Y46" s="6">
        <f>S46*0.08</f>
        <v>0</v>
      </c>
      <c r="Z46" s="6">
        <f>T46*0.08</f>
        <v>0</v>
      </c>
      <c r="AA46" s="6">
        <f>Y46*5%</f>
        <v>0</v>
      </c>
      <c r="AB46" s="6">
        <f>Z46*0.08</f>
        <v>0</v>
      </c>
      <c r="AC46" s="45">
        <f>Z46*0.13</f>
        <v>0</v>
      </c>
      <c r="AD46" s="45">
        <f>AB46*0.08</f>
        <v>0</v>
      </c>
      <c r="AE46" s="6"/>
      <c r="AF46" s="6"/>
      <c r="AG46" s="6"/>
      <c r="AH46" s="6"/>
      <c r="AI46" s="6"/>
      <c r="AJ46" s="6"/>
      <c r="AK46" s="6">
        <f t="shared" si="9"/>
        <v>0</v>
      </c>
      <c r="AL46" s="6"/>
      <c r="AM46" s="6"/>
      <c r="AN46" s="6"/>
      <c r="AO46" s="6"/>
      <c r="AP46" s="45">
        <f>AN46*0.08</f>
        <v>0</v>
      </c>
      <c r="AQ46" s="6"/>
      <c r="AR46" s="45"/>
      <c r="AS46" s="6"/>
      <c r="AT46" s="6"/>
      <c r="AU46" s="6"/>
      <c r="AV46" s="6"/>
      <c r="AW46" s="1">
        <f t="shared" si="10"/>
        <v>0</v>
      </c>
      <c r="AX46" s="35"/>
      <c r="AY46" s="35"/>
      <c r="AZ46" s="6"/>
      <c r="BA46" s="6"/>
      <c r="BB46" s="62">
        <f t="shared" si="6"/>
        <v>0</v>
      </c>
    </row>
    <row r="47" spans="1:54">
      <c r="B47" s="69" t="s">
        <v>109</v>
      </c>
      <c r="C47" s="69"/>
      <c r="D47" s="69"/>
      <c r="E47" s="69"/>
      <c r="F47" s="71">
        <f>F32+F16+F4</f>
        <v>188934361.33333331</v>
      </c>
      <c r="G47" s="71">
        <f>G32+G16+G4</f>
        <v>5666604.6800000006</v>
      </c>
      <c r="H47" s="71">
        <f>H32+H16+H4</f>
        <v>13125497.360000001</v>
      </c>
      <c r="I47" s="71">
        <f>I32+I16+I4</f>
        <v>18276711.560000002</v>
      </c>
      <c r="J47" s="71">
        <f>J32+J16+J4</f>
        <v>15185983.040000001</v>
      </c>
      <c r="K47" s="71">
        <f t="shared" si="28"/>
        <v>52254796.640000008</v>
      </c>
      <c r="L47" s="71">
        <f>L32+L16+L4</f>
        <v>15185983.040000001</v>
      </c>
      <c r="M47" s="27"/>
      <c r="N47" s="27"/>
      <c r="O47" s="43"/>
      <c r="P47" s="27"/>
      <c r="Q47" s="27"/>
      <c r="R47" s="27"/>
      <c r="S47" s="43"/>
      <c r="T47" s="27"/>
      <c r="U47" s="40"/>
      <c r="V47" s="27"/>
      <c r="W47" s="27"/>
      <c r="X47" s="27"/>
      <c r="Y47" s="71"/>
      <c r="Z47" s="71"/>
      <c r="AA47" s="71">
        <f t="shared" ref="AA47:AF47" si="30">AA32+AA16+AA4</f>
        <v>15185983.040000001</v>
      </c>
      <c r="AB47" s="71">
        <f t="shared" si="30"/>
        <v>15185983.040000001</v>
      </c>
      <c r="AC47" s="86">
        <f t="shared" si="30"/>
        <v>97812745.760000005</v>
      </c>
      <c r="AD47" s="86">
        <f t="shared" si="30"/>
        <v>15185983.040000001</v>
      </c>
      <c r="AE47" s="86">
        <f t="shared" si="30"/>
        <v>15185983.040000001</v>
      </c>
      <c r="AF47" s="86">
        <f t="shared" si="30"/>
        <v>14938819.040000001</v>
      </c>
      <c r="AG47" s="86"/>
      <c r="AH47" s="86"/>
      <c r="AI47" s="86"/>
      <c r="AJ47" s="86">
        <f>AJ32+AJ16+AJ4</f>
        <v>190878093.31473333</v>
      </c>
      <c r="AK47" s="86">
        <f t="shared" ref="AK47:BA47" si="31">AK32+AK16+AK4</f>
        <v>143123530.88</v>
      </c>
      <c r="AL47" s="86">
        <f t="shared" si="31"/>
        <v>0</v>
      </c>
      <c r="AM47" s="86">
        <f t="shared" si="31"/>
        <v>0</v>
      </c>
      <c r="AN47" s="86">
        <f t="shared" si="31"/>
        <v>0</v>
      </c>
      <c r="AO47" s="86">
        <f t="shared" si="31"/>
        <v>0</v>
      </c>
      <c r="AP47" s="86">
        <f t="shared" si="31"/>
        <v>15050045.706666667</v>
      </c>
      <c r="AQ47" s="86">
        <f t="shared" si="31"/>
        <v>0</v>
      </c>
      <c r="AR47" s="86">
        <f t="shared" si="31"/>
        <v>0</v>
      </c>
      <c r="AS47" s="86">
        <f t="shared" si="31"/>
        <v>0</v>
      </c>
      <c r="AT47" s="86">
        <f t="shared" si="31"/>
        <v>43972863</v>
      </c>
      <c r="AU47" s="86">
        <f t="shared" si="31"/>
        <v>34181240</v>
      </c>
      <c r="AV47" s="86">
        <f t="shared" si="31"/>
        <v>0</v>
      </c>
      <c r="AW47" s="86">
        <f t="shared" si="31"/>
        <v>78154103</v>
      </c>
      <c r="AX47" s="86">
        <f t="shared" si="31"/>
        <v>85927860</v>
      </c>
      <c r="AY47" s="86">
        <f t="shared" si="31"/>
        <v>38595000</v>
      </c>
      <c r="AZ47" s="86">
        <f t="shared" si="31"/>
        <v>66355230</v>
      </c>
      <c r="BA47" s="86">
        <f t="shared" si="31"/>
        <v>0</v>
      </c>
      <c r="BB47" s="62">
        <f t="shared" si="6"/>
        <v>190878090</v>
      </c>
    </row>
    <row r="48" spans="1:54" ht="45">
      <c r="A48" s="1" t="s">
        <v>35</v>
      </c>
      <c r="B48" s="17" t="s">
        <v>10</v>
      </c>
      <c r="C48" s="6">
        <v>2899</v>
      </c>
      <c r="D48" s="6" t="s">
        <v>2</v>
      </c>
      <c r="E48" s="7">
        <v>1140</v>
      </c>
      <c r="F48" s="14">
        <f>C48*E48</f>
        <v>3304860</v>
      </c>
      <c r="G48" s="7">
        <f>F48*0.04</f>
        <v>132194.4</v>
      </c>
      <c r="H48" s="40">
        <f>F48*8%</f>
        <v>264388.8</v>
      </c>
      <c r="I48" s="27">
        <f>F48*I31</f>
        <v>264388.8</v>
      </c>
      <c r="J48" s="27">
        <f>F48*J1</f>
        <v>264388.8</v>
      </c>
      <c r="K48" s="43">
        <f t="shared" si="28"/>
        <v>925360.8</v>
      </c>
      <c r="L48" s="27">
        <f>F48*L31</f>
        <v>264388.8</v>
      </c>
      <c r="M48" s="27"/>
      <c r="N48" s="27"/>
      <c r="O48" s="43">
        <f>K48+L48+M48+N48</f>
        <v>1189749.6000000001</v>
      </c>
      <c r="P48" s="27"/>
      <c r="Q48" s="27"/>
      <c r="R48" s="27"/>
      <c r="S48" s="43">
        <f>SUM(O48:R48)</f>
        <v>1189749.6000000001</v>
      </c>
      <c r="T48" s="27"/>
      <c r="U48" s="40">
        <f t="shared" si="3"/>
        <v>1189749.6000000001</v>
      </c>
      <c r="V48" s="27">
        <f>G48*0.08</f>
        <v>10575.552</v>
      </c>
      <c r="W48" s="27">
        <f>F48-S48-T48-V48</f>
        <v>2104534.8479999998</v>
      </c>
      <c r="X48" s="27">
        <f>SUM(S48:W48)</f>
        <v>4494609.5999999996</v>
      </c>
      <c r="Y48" s="27"/>
      <c r="Z48" s="27">
        <f>T48*Z31</f>
        <v>0</v>
      </c>
      <c r="AA48" s="40">
        <f>F48*8%</f>
        <v>264388.8</v>
      </c>
      <c r="AB48" s="27">
        <f>F48*AB31</f>
        <v>264388.8</v>
      </c>
      <c r="AC48" s="14">
        <f>K48+L48+AA48+AB48</f>
        <v>1718527.2000000002</v>
      </c>
      <c r="AD48" s="14">
        <f>F48*AD31</f>
        <v>264388.8</v>
      </c>
      <c r="AE48" s="14">
        <f>F48*AE31</f>
        <v>264388.8</v>
      </c>
      <c r="AF48" s="14">
        <f>$F48*$AF$1</f>
        <v>264388.8</v>
      </c>
      <c r="AG48" s="14">
        <v>2902</v>
      </c>
      <c r="AH48" s="14" t="s">
        <v>2</v>
      </c>
      <c r="AI48" s="14">
        <v>1140</v>
      </c>
      <c r="AJ48" s="14">
        <f>AG48*AI48</f>
        <v>3308280</v>
      </c>
      <c r="AK48" s="14">
        <f t="shared" si="9"/>
        <v>2511693.6</v>
      </c>
      <c r="AL48" s="14"/>
      <c r="AM48" s="14"/>
      <c r="AN48" s="14"/>
      <c r="AO48" s="14"/>
      <c r="AP48" s="14">
        <f>$F48*$AF$1</f>
        <v>264388.8</v>
      </c>
      <c r="AQ48" s="14">
        <f>N48*AQ31</f>
        <v>0</v>
      </c>
      <c r="AR48" s="81"/>
      <c r="AS48" s="6"/>
      <c r="AT48" s="6"/>
      <c r="AU48" s="6"/>
      <c r="AV48" s="102">
        <v>2511694</v>
      </c>
      <c r="AW48" s="103">
        <f t="shared" si="10"/>
        <v>2511694</v>
      </c>
      <c r="AX48" s="35"/>
      <c r="AY48" s="35"/>
      <c r="AZ48" s="6"/>
      <c r="BA48" s="6">
        <v>3308280</v>
      </c>
      <c r="BB48" s="62">
        <f t="shared" si="6"/>
        <v>3308280</v>
      </c>
    </row>
    <row r="49" spans="2:54">
      <c r="B49" s="5" t="s">
        <v>184</v>
      </c>
      <c r="C49" s="6"/>
      <c r="D49" s="6"/>
      <c r="E49" s="7"/>
      <c r="F49" s="10"/>
      <c r="G49" s="6"/>
      <c r="H49" s="6"/>
      <c r="I49" s="6"/>
      <c r="J49" s="6"/>
      <c r="K49" s="43">
        <f t="shared" ref="K49:K54" si="32">SUM(G49:J49)</f>
        <v>0</v>
      </c>
      <c r="L49" s="6"/>
      <c r="M49" s="6"/>
      <c r="N49" s="6"/>
      <c r="O49" s="44"/>
      <c r="P49" s="6"/>
      <c r="Q49" s="6"/>
      <c r="R49" s="6"/>
      <c r="S49" s="43">
        <f>SUM(O49:R49)</f>
        <v>0</v>
      </c>
      <c r="T49" s="6"/>
      <c r="U49" s="40">
        <f t="shared" si="3"/>
        <v>0</v>
      </c>
      <c r="V49" s="6"/>
      <c r="W49" s="6"/>
      <c r="X49" s="27">
        <f>SUM(S49:W49)</f>
        <v>0</v>
      </c>
      <c r="Y49" s="6"/>
      <c r="Z49" s="6"/>
      <c r="AA49" s="6"/>
      <c r="AB49" s="6"/>
      <c r="AC49" s="45"/>
      <c r="AD49" s="45"/>
      <c r="AE49" s="6"/>
      <c r="AF49" s="6"/>
      <c r="AG49" s="6"/>
      <c r="AH49" s="6"/>
      <c r="AI49" s="6"/>
      <c r="AJ49" s="6">
        <v>2550</v>
      </c>
      <c r="AK49" s="6">
        <f t="shared" si="9"/>
        <v>0</v>
      </c>
      <c r="AL49" s="6"/>
      <c r="AM49" s="6"/>
      <c r="AN49" s="6"/>
      <c r="AO49" s="6"/>
      <c r="AP49" s="45"/>
      <c r="AQ49" s="6"/>
      <c r="AR49" s="45"/>
      <c r="AS49" s="6"/>
      <c r="AT49" s="6"/>
      <c r="AU49" s="6"/>
      <c r="AV49" s="6"/>
      <c r="AW49" s="1">
        <f t="shared" si="10"/>
        <v>0</v>
      </c>
      <c r="AX49" s="35">
        <v>2550</v>
      </c>
      <c r="AY49" s="35"/>
      <c r="AZ49" s="6"/>
      <c r="BA49" s="6"/>
      <c r="BB49" s="62">
        <f t="shared" si="6"/>
        <v>2550</v>
      </c>
    </row>
    <row r="50" spans="2:54">
      <c r="B50" s="11" t="s">
        <v>14</v>
      </c>
      <c r="C50" s="12"/>
      <c r="D50" s="12"/>
      <c r="E50" s="12"/>
      <c r="F50" s="13">
        <f>F4+F16+F32+F48</f>
        <v>192239221.33333331</v>
      </c>
      <c r="G50" s="13">
        <f>G4+G16+G32+G48</f>
        <v>5798799.080000001</v>
      </c>
      <c r="H50" s="13">
        <f>H4+H16+H32+H48</f>
        <v>13389886.160000002</v>
      </c>
      <c r="I50" s="13">
        <f>I4+I16+I32+I48</f>
        <v>18541100.360000003</v>
      </c>
      <c r="J50" s="13">
        <f>J4+J16+J32+J48</f>
        <v>15450371.840000002</v>
      </c>
      <c r="K50" s="43">
        <f t="shared" si="32"/>
        <v>53180157.440000013</v>
      </c>
      <c r="L50" s="13">
        <f>L4+L16+L32+L48</f>
        <v>15450371.840000002</v>
      </c>
      <c r="M50" s="27"/>
      <c r="N50" s="27"/>
      <c r="O50" s="43"/>
      <c r="P50" s="27"/>
      <c r="Q50" s="27"/>
      <c r="R50" s="27"/>
      <c r="S50" s="43"/>
      <c r="T50" s="27"/>
      <c r="U50" s="40"/>
      <c r="V50" s="27"/>
      <c r="W50" s="27"/>
      <c r="X50" s="27"/>
      <c r="Y50" s="13"/>
      <c r="Z50" s="13"/>
      <c r="AA50" s="13">
        <f t="shared" ref="AA50:AF50" si="33">AA4+AA16+AA32+AA48</f>
        <v>15450371.840000002</v>
      </c>
      <c r="AB50" s="13">
        <f t="shared" si="33"/>
        <v>15450371.840000002</v>
      </c>
      <c r="AC50" s="87">
        <f t="shared" si="33"/>
        <v>99531272.960000008</v>
      </c>
      <c r="AD50" s="87">
        <f t="shared" si="33"/>
        <v>15450371.840000002</v>
      </c>
      <c r="AE50" s="87">
        <f t="shared" si="33"/>
        <v>15450371.840000002</v>
      </c>
      <c r="AF50" s="87">
        <f t="shared" si="33"/>
        <v>15203207.840000002</v>
      </c>
      <c r="AG50" s="87"/>
      <c r="AH50" s="87"/>
      <c r="AI50" s="87"/>
      <c r="AJ50" s="13">
        <f>AJ4+AJ16+AJ32+AJ48</f>
        <v>194186373.31473333</v>
      </c>
      <c r="AK50" s="13">
        <f t="shared" ref="AK50:BA50" si="34">AK4+AK16+AK32+AK48+AK49</f>
        <v>145635224.47999999</v>
      </c>
      <c r="AL50" s="13">
        <f t="shared" si="34"/>
        <v>0</v>
      </c>
      <c r="AM50" s="13">
        <f t="shared" si="34"/>
        <v>0</v>
      </c>
      <c r="AN50" s="13">
        <f t="shared" si="34"/>
        <v>0</v>
      </c>
      <c r="AO50" s="13">
        <f t="shared" si="34"/>
        <v>0</v>
      </c>
      <c r="AP50" s="13">
        <f t="shared" si="34"/>
        <v>15314434.506666668</v>
      </c>
      <c r="AQ50" s="13">
        <f t="shared" si="34"/>
        <v>0</v>
      </c>
      <c r="AR50" s="13">
        <f t="shared" si="34"/>
        <v>0</v>
      </c>
      <c r="AS50" s="13">
        <f t="shared" si="34"/>
        <v>0</v>
      </c>
      <c r="AT50" s="13">
        <f t="shared" si="34"/>
        <v>43972863</v>
      </c>
      <c r="AU50" s="13">
        <f t="shared" si="34"/>
        <v>34181240</v>
      </c>
      <c r="AV50" s="13">
        <f t="shared" si="34"/>
        <v>2511694</v>
      </c>
      <c r="AW50" s="13">
        <f t="shared" si="34"/>
        <v>80665797</v>
      </c>
      <c r="AX50" s="13">
        <f>AX4+AX16+AX32+AX48</f>
        <v>85927860</v>
      </c>
      <c r="AY50" s="13">
        <f t="shared" si="34"/>
        <v>38595000</v>
      </c>
      <c r="AZ50" s="13">
        <f t="shared" si="34"/>
        <v>66355230</v>
      </c>
      <c r="BA50" s="13">
        <f t="shared" si="34"/>
        <v>3308280</v>
      </c>
      <c r="BB50" s="62">
        <f t="shared" si="6"/>
        <v>194186370</v>
      </c>
    </row>
    <row r="51" spans="2:54">
      <c r="B51" s="5"/>
      <c r="C51" s="6"/>
      <c r="D51" s="6"/>
      <c r="E51" s="6"/>
      <c r="F51" s="66"/>
      <c r="G51" s="13">
        <f>G50-G33</f>
        <v>5798799.080000001</v>
      </c>
      <c r="H51" s="13">
        <f>H50-H33</f>
        <v>13389886.160000002</v>
      </c>
      <c r="I51" s="13">
        <f>I50-I33</f>
        <v>18541100.360000003</v>
      </c>
      <c r="J51" s="13">
        <f>J50-J33</f>
        <v>15450371.840000002</v>
      </c>
      <c r="K51" s="43">
        <f t="shared" si="32"/>
        <v>53180157.440000013</v>
      </c>
      <c r="L51" s="13">
        <f>L50-L33</f>
        <v>15450371.840000002</v>
      </c>
      <c r="M51" s="13"/>
      <c r="N51" s="13"/>
      <c r="O51" s="53"/>
      <c r="P51" s="13"/>
      <c r="Q51" s="13"/>
      <c r="R51" s="13"/>
      <c r="S51" s="43"/>
      <c r="T51" s="13"/>
      <c r="U51" s="40"/>
      <c r="V51" s="13"/>
      <c r="W51" s="13"/>
      <c r="X51" s="63"/>
      <c r="Y51" s="13">
        <f>Y50-Y33</f>
        <v>0</v>
      </c>
      <c r="Z51" s="13"/>
      <c r="AA51" s="13">
        <f t="shared" ref="AA51:AF51" si="35">AA50-AA33</f>
        <v>15450371.840000002</v>
      </c>
      <c r="AB51" s="13">
        <f t="shared" si="35"/>
        <v>15450371.840000002</v>
      </c>
      <c r="AC51" s="66">
        <f t="shared" si="35"/>
        <v>99531272.960000008</v>
      </c>
      <c r="AD51" s="66">
        <f t="shared" si="35"/>
        <v>15450371.840000002</v>
      </c>
      <c r="AE51" s="66">
        <f t="shared" si="35"/>
        <v>15450371.840000002</v>
      </c>
      <c r="AF51" s="66">
        <f t="shared" si="35"/>
        <v>15203207.840000002</v>
      </c>
      <c r="AG51" s="66"/>
      <c r="AH51" s="66"/>
      <c r="AI51" s="66"/>
      <c r="AJ51" s="66">
        <v>17469000</v>
      </c>
      <c r="AK51" s="66">
        <f t="shared" si="9"/>
        <v>145635224.48000002</v>
      </c>
      <c r="AL51" s="66"/>
      <c r="AM51" s="66"/>
      <c r="AN51" s="66"/>
      <c r="AO51" s="66"/>
      <c r="AP51" s="66">
        <f>AP50-AP33</f>
        <v>15314434.506666668</v>
      </c>
      <c r="AQ51" s="66">
        <f>AQ50-AQ33</f>
        <v>0</v>
      </c>
      <c r="AR51" s="99">
        <f>AR50-AR33</f>
        <v>0</v>
      </c>
      <c r="AS51" s="6"/>
      <c r="AT51" s="6"/>
      <c r="AU51" s="6"/>
      <c r="AV51" s="6"/>
      <c r="AW51" s="1">
        <f t="shared" si="10"/>
        <v>0</v>
      </c>
      <c r="AX51" s="6">
        <v>85928</v>
      </c>
      <c r="AY51" s="6">
        <v>38595</v>
      </c>
      <c r="AZ51" s="6">
        <v>66355</v>
      </c>
      <c r="BA51" s="6">
        <v>3308</v>
      </c>
      <c r="BB51" s="62">
        <f t="shared" si="6"/>
        <v>194186</v>
      </c>
    </row>
    <row r="52" spans="2:54" hidden="1">
      <c r="B52" s="5" t="s">
        <v>168</v>
      </c>
      <c r="C52" s="6"/>
      <c r="D52" s="6"/>
      <c r="E52" s="6"/>
      <c r="F52" s="13">
        <f>F33</f>
        <v>0</v>
      </c>
      <c r="G52" s="13">
        <f>G33</f>
        <v>0</v>
      </c>
      <c r="H52" s="13">
        <v>647</v>
      </c>
      <c r="I52" s="6"/>
      <c r="J52" s="6"/>
      <c r="K52" s="43">
        <f t="shared" si="32"/>
        <v>647</v>
      </c>
      <c r="L52" s="6">
        <v>643</v>
      </c>
      <c r="M52" s="6"/>
      <c r="N52" s="6"/>
      <c r="O52" s="44"/>
      <c r="P52" s="6"/>
      <c r="Q52" s="6"/>
      <c r="R52" s="6"/>
      <c r="S52" s="43">
        <f>SUM(O52:R52)</f>
        <v>0</v>
      </c>
      <c r="T52" s="6"/>
      <c r="U52" s="40">
        <f t="shared" si="3"/>
        <v>0</v>
      </c>
      <c r="V52" s="6"/>
      <c r="W52" s="6"/>
      <c r="X52" s="63">
        <f>SUM(S52:W52)</f>
        <v>0</v>
      </c>
      <c r="Y52" s="6"/>
      <c r="Z52" s="6"/>
      <c r="AA52" s="13"/>
      <c r="AB52" s="6"/>
      <c r="AC52" s="79">
        <f>K52+L52+AA52+AB52</f>
        <v>1290</v>
      </c>
      <c r="AD52" s="45">
        <v>643</v>
      </c>
      <c r="AE52" s="6"/>
      <c r="AF52" s="6"/>
      <c r="AG52" s="6"/>
      <c r="AH52" s="6"/>
      <c r="AI52" s="6"/>
      <c r="AJ52" s="6"/>
      <c r="AK52" s="6">
        <f t="shared" si="9"/>
        <v>1933</v>
      </c>
      <c r="AL52" s="6"/>
      <c r="AM52" s="6"/>
      <c r="AN52" s="6"/>
      <c r="AO52" s="6"/>
      <c r="AP52" s="45">
        <v>641</v>
      </c>
      <c r="AQ52" s="6"/>
      <c r="AR52" s="45"/>
      <c r="AS52" s="6"/>
      <c r="AT52" s="6">
        <v>1933</v>
      </c>
      <c r="AU52" s="6"/>
      <c r="AV52" s="6"/>
      <c r="AW52" s="1">
        <f t="shared" si="10"/>
        <v>1933</v>
      </c>
    </row>
    <row r="53" spans="2:54" ht="30" hidden="1">
      <c r="B53" s="5" t="s">
        <v>169</v>
      </c>
      <c r="C53" s="6"/>
      <c r="D53" s="6"/>
      <c r="E53" s="6"/>
      <c r="F53" s="6"/>
      <c r="G53" s="6"/>
      <c r="H53" s="6">
        <v>205994</v>
      </c>
      <c r="I53" s="6">
        <v>198755</v>
      </c>
      <c r="J53" s="6">
        <v>204343</v>
      </c>
      <c r="K53" s="43">
        <f t="shared" si="32"/>
        <v>609092</v>
      </c>
      <c r="L53" s="6">
        <v>187960</v>
      </c>
      <c r="M53" s="6"/>
      <c r="N53" s="6"/>
      <c r="O53" s="44">
        <f>K53+M53+N53+L53</f>
        <v>797052</v>
      </c>
      <c r="P53" s="6"/>
      <c r="Q53" s="6"/>
      <c r="R53" s="6"/>
      <c r="S53" s="43">
        <f>SUM(O53:R53)</f>
        <v>797052</v>
      </c>
      <c r="T53" s="6"/>
      <c r="U53" s="40">
        <f t="shared" si="3"/>
        <v>797052</v>
      </c>
      <c r="V53" s="6"/>
      <c r="W53" s="6"/>
      <c r="X53" s="63">
        <f>S53+T53+V53+W53</f>
        <v>797052</v>
      </c>
      <c r="Y53" s="6"/>
      <c r="Z53" s="6"/>
      <c r="AA53" s="6">
        <v>186182</v>
      </c>
      <c r="AB53" s="6">
        <v>187071</v>
      </c>
      <c r="AC53" s="79">
        <f>K53+L53+AA53+AB53</f>
        <v>1170305</v>
      </c>
      <c r="AD53" s="45">
        <v>183261</v>
      </c>
      <c r="AE53" s="6">
        <v>182753</v>
      </c>
      <c r="AF53" s="6">
        <v>183642</v>
      </c>
      <c r="AG53" s="6"/>
      <c r="AH53" s="6"/>
      <c r="AI53" s="6"/>
      <c r="AJ53" s="6"/>
      <c r="AK53" s="6">
        <f t="shared" si="9"/>
        <v>1719961</v>
      </c>
      <c r="AL53" s="6"/>
      <c r="AM53" s="6"/>
      <c r="AN53" s="6"/>
      <c r="AO53" s="6"/>
      <c r="AP53" s="45">
        <v>175641</v>
      </c>
      <c r="AQ53" s="6"/>
      <c r="AR53" s="45"/>
      <c r="AS53" s="6"/>
      <c r="AT53" s="6">
        <v>622000</v>
      </c>
      <c r="AU53" s="6">
        <v>625000</v>
      </c>
      <c r="AV53" s="6">
        <v>473000</v>
      </c>
      <c r="AW53" s="1">
        <f t="shared" si="10"/>
        <v>1720000</v>
      </c>
      <c r="AX53" s="1">
        <v>1720000</v>
      </c>
    </row>
    <row r="54" spans="2:54" hidden="1">
      <c r="B54" s="30" t="s">
        <v>62</v>
      </c>
      <c r="C54" s="31"/>
      <c r="D54" s="31"/>
      <c r="E54" s="31"/>
      <c r="F54" s="28"/>
      <c r="G54" s="29">
        <f>G51+G52+G53</f>
        <v>5798799.080000001</v>
      </c>
      <c r="H54" s="29">
        <f>H51+H52+H53</f>
        <v>13596527.160000002</v>
      </c>
      <c r="I54" s="29">
        <f>I51+I53</f>
        <v>18739855.360000003</v>
      </c>
      <c r="J54" s="29">
        <f>J51+J53</f>
        <v>15654714.840000002</v>
      </c>
      <c r="K54" s="53">
        <f t="shared" si="32"/>
        <v>53789896.440000013</v>
      </c>
      <c r="L54" s="29">
        <f>L51+L53+L52</f>
        <v>15638974.840000002</v>
      </c>
      <c r="M54" s="13">
        <f t="shared" ref="M54:R54" si="36">M51+M53</f>
        <v>0</v>
      </c>
      <c r="N54" s="13">
        <f t="shared" si="36"/>
        <v>0</v>
      </c>
      <c r="O54" s="53">
        <f t="shared" si="36"/>
        <v>797052</v>
      </c>
      <c r="P54" s="13">
        <f t="shared" si="36"/>
        <v>0</v>
      </c>
      <c r="Q54" s="13">
        <f t="shared" si="36"/>
        <v>0</v>
      </c>
      <c r="R54" s="13">
        <f t="shared" si="36"/>
        <v>0</v>
      </c>
      <c r="S54" s="43">
        <f>SUM(O54:R54)</f>
        <v>797052</v>
      </c>
      <c r="T54" s="13">
        <f>T51+T53</f>
        <v>0</v>
      </c>
      <c r="U54" s="40">
        <f t="shared" si="3"/>
        <v>797052</v>
      </c>
      <c r="V54" s="13">
        <f>V51+V53</f>
        <v>0</v>
      </c>
      <c r="W54" s="13">
        <f>W51+W53</f>
        <v>0</v>
      </c>
      <c r="X54" s="63">
        <f>S54+T54+V54+W54</f>
        <v>797052</v>
      </c>
      <c r="Y54" s="29">
        <f>Y51+Y53+Y52</f>
        <v>0</v>
      </c>
      <c r="Z54" s="29"/>
      <c r="AA54" s="29">
        <f>AA51+AA52+AA53</f>
        <v>15636553.840000002</v>
      </c>
      <c r="AB54" s="29">
        <f>AB51+AB53</f>
        <v>15637442.840000002</v>
      </c>
      <c r="AC54" s="88">
        <f>AC51+AC53</f>
        <v>100701577.96000001</v>
      </c>
      <c r="AD54" s="88">
        <f>AD51+AD53+AD52</f>
        <v>15634275.840000002</v>
      </c>
      <c r="AE54" s="88">
        <f>AE51+AE53+AE52</f>
        <v>15633124.840000002</v>
      </c>
      <c r="AF54" s="88">
        <f>AF51+AF53+AF52</f>
        <v>15386849.840000002</v>
      </c>
      <c r="AG54" s="88"/>
      <c r="AH54" s="88"/>
      <c r="AI54" s="88"/>
      <c r="AJ54" s="88"/>
      <c r="AK54" s="88">
        <f t="shared" si="9"/>
        <v>147355828.48000002</v>
      </c>
      <c r="AL54" s="88"/>
      <c r="AM54" s="88"/>
      <c r="AN54" s="88"/>
      <c r="AO54" s="88"/>
      <c r="AP54" s="88">
        <f>AP51+AP53+AP52</f>
        <v>15490716.506666668</v>
      </c>
      <c r="AQ54" s="88">
        <f>AQ51+AQ53+AQ52</f>
        <v>0</v>
      </c>
      <c r="AR54" s="88">
        <f>AR51+AR53+AR52</f>
        <v>0</v>
      </c>
      <c r="AS54" s="6"/>
      <c r="AT54" s="6"/>
      <c r="AU54" s="6"/>
      <c r="AV54" s="6"/>
      <c r="AW54" s="1">
        <f t="shared" si="10"/>
        <v>0</v>
      </c>
    </row>
    <row r="55" spans="2:54" ht="30" hidden="1">
      <c r="B55" s="5" t="s">
        <v>79</v>
      </c>
      <c r="C55" s="6"/>
      <c r="D55" s="6"/>
      <c r="E55" s="6"/>
      <c r="F55" s="6"/>
      <c r="G55" s="6"/>
      <c r="H55" s="6"/>
      <c r="I55" s="6">
        <v>-103615</v>
      </c>
      <c r="J55" s="6"/>
      <c r="K55" s="45"/>
      <c r="L55" s="6"/>
      <c r="M55" s="6"/>
      <c r="N55" s="6"/>
      <c r="O55" s="6">
        <v>-183669</v>
      </c>
      <c r="P55" s="6"/>
      <c r="Q55" s="6"/>
      <c r="R55" s="6"/>
      <c r="S55" s="43"/>
      <c r="T55" s="6"/>
      <c r="U55" s="40">
        <f t="shared" si="3"/>
        <v>0</v>
      </c>
      <c r="V55" s="6"/>
      <c r="W55" s="6"/>
      <c r="X55" s="6"/>
      <c r="Y55" s="6"/>
      <c r="Z55" s="6"/>
      <c r="AA55" s="6"/>
      <c r="AB55" s="6"/>
      <c r="AC55" s="45">
        <v>-103615</v>
      </c>
      <c r="AD55" s="95">
        <v>25000</v>
      </c>
      <c r="AE55" s="6"/>
      <c r="AF55" s="6"/>
      <c r="AG55" s="6"/>
      <c r="AH55" s="6"/>
      <c r="AI55" s="6"/>
      <c r="AJ55" s="6"/>
      <c r="AK55" s="6">
        <f t="shared" si="9"/>
        <v>-78615</v>
      </c>
      <c r="AL55" s="6"/>
      <c r="AM55" s="6"/>
      <c r="AN55" s="6"/>
      <c r="AO55" s="6"/>
      <c r="AP55" s="42"/>
      <c r="AQ55" s="6"/>
      <c r="AR55" s="45"/>
      <c r="AS55" s="6"/>
      <c r="AT55" s="6"/>
      <c r="AU55" s="6"/>
      <c r="AV55" s="6"/>
      <c r="AW55" s="1">
        <f t="shared" si="10"/>
        <v>0</v>
      </c>
    </row>
    <row r="56" spans="2:54" hidden="1">
      <c r="F56" s="1" t="s">
        <v>67</v>
      </c>
      <c r="G56" s="1" t="s">
        <v>70</v>
      </c>
      <c r="H56" s="1" t="s">
        <v>72</v>
      </c>
      <c r="I56" s="1" t="s">
        <v>73</v>
      </c>
      <c r="J56" s="1" t="s">
        <v>71</v>
      </c>
      <c r="K56" s="37" t="s">
        <v>154</v>
      </c>
      <c r="L56" s="47">
        <v>41386</v>
      </c>
      <c r="M56" s="47">
        <v>41416</v>
      </c>
      <c r="N56" s="6" t="s">
        <v>94</v>
      </c>
      <c r="O56" s="6"/>
      <c r="P56" s="47">
        <v>41477</v>
      </c>
      <c r="Q56" s="47">
        <v>41508</v>
      </c>
      <c r="R56" s="6"/>
      <c r="S56" s="43"/>
      <c r="T56" s="47"/>
      <c r="U56" s="40">
        <f t="shared" si="3"/>
        <v>0</v>
      </c>
      <c r="V56" s="47"/>
      <c r="W56" s="6"/>
      <c r="X56" s="6"/>
      <c r="Y56" s="47">
        <v>41386</v>
      </c>
      <c r="Z56" s="47">
        <v>41386</v>
      </c>
      <c r="AA56" s="1" t="s">
        <v>155</v>
      </c>
      <c r="AB56" s="1" t="s">
        <v>156</v>
      </c>
      <c r="AC56" s="1" t="s">
        <v>157</v>
      </c>
      <c r="AD56" s="1" t="s">
        <v>162</v>
      </c>
      <c r="AE56" s="6"/>
      <c r="AF56" s="6"/>
      <c r="AG56" s="6"/>
      <c r="AH56" s="6"/>
      <c r="AI56" s="6"/>
      <c r="AJ56" s="6"/>
      <c r="AK56" s="6">
        <f t="shared" si="9"/>
        <v>0</v>
      </c>
      <c r="AL56" s="6"/>
      <c r="AM56" s="6"/>
      <c r="AN56" s="6"/>
      <c r="AO56" s="6"/>
      <c r="AQ56" s="6"/>
      <c r="AR56" s="45"/>
      <c r="AS56" s="6"/>
      <c r="AT56" s="6"/>
      <c r="AU56" s="6"/>
      <c r="AV56" s="6"/>
      <c r="AW56" s="1">
        <f t="shared" si="10"/>
        <v>0</v>
      </c>
    </row>
    <row r="57" spans="2:54" ht="30" hidden="1">
      <c r="B57" s="20" t="s">
        <v>66</v>
      </c>
      <c r="C57" s="6"/>
      <c r="D57" s="6"/>
      <c r="E57" s="7"/>
      <c r="F57" s="21">
        <f t="shared" ref="F57:L57" si="37">SUM(F58:F60)</f>
        <v>58255</v>
      </c>
      <c r="G57" s="21">
        <f t="shared" si="37"/>
        <v>3792133</v>
      </c>
      <c r="H57" s="21">
        <f t="shared" si="37"/>
        <v>4852051</v>
      </c>
      <c r="I57" s="21">
        <f t="shared" si="37"/>
        <v>4251988</v>
      </c>
      <c r="J57" s="21">
        <f t="shared" si="37"/>
        <v>4243282</v>
      </c>
      <c r="K57" s="46">
        <f t="shared" si="37"/>
        <v>17139454</v>
      </c>
      <c r="L57" s="21">
        <f t="shared" si="37"/>
        <v>4651423</v>
      </c>
      <c r="M57" s="21">
        <f>SUM(M58:M61)</f>
        <v>0</v>
      </c>
      <c r="N57" s="21">
        <f>SUM(N58:N60)</f>
        <v>0</v>
      </c>
      <c r="O57" s="59">
        <f>K57+M57+N57+L57</f>
        <v>21790877</v>
      </c>
      <c r="P57" s="21">
        <f>SUM(P58:P61)</f>
        <v>0</v>
      </c>
      <c r="Q57" s="21">
        <f>SUM(Q58:Q61)</f>
        <v>0</v>
      </c>
      <c r="R57" s="21">
        <f>SUM(R58:R61)</f>
        <v>0</v>
      </c>
      <c r="S57" s="43">
        <f t="shared" ref="S57:S70" si="38">SUM(O57:R57)</f>
        <v>21790877</v>
      </c>
      <c r="T57" s="21">
        <f>SUM(T58:T61)</f>
        <v>0</v>
      </c>
      <c r="U57" s="40">
        <f t="shared" si="3"/>
        <v>21790877</v>
      </c>
      <c r="V57" s="21">
        <f>SUM(V58:V61)</f>
        <v>0</v>
      </c>
      <c r="W57" s="21">
        <f>SUM(W58:W61)</f>
        <v>0</v>
      </c>
      <c r="X57" s="21">
        <f>S57+T57+V57+W57</f>
        <v>21790877</v>
      </c>
      <c r="Y57" s="21">
        <f>SUM(Y58:Y60)</f>
        <v>0</v>
      </c>
      <c r="Z57" s="21">
        <f>SUM(Z58:Z60)</f>
        <v>0</v>
      </c>
      <c r="AA57" s="21">
        <f>SUM(AA58:AA61)</f>
        <v>5732292</v>
      </c>
      <c r="AB57" s="21">
        <f>SUM(AB58:AB60)</f>
        <v>5676576</v>
      </c>
      <c r="AC57" s="80">
        <f>SUM(AC58:AC61)</f>
        <v>33199745</v>
      </c>
      <c r="AD57" s="80">
        <f>SUM(AD58:AD60)</f>
        <v>3569785</v>
      </c>
      <c r="AE57" s="80">
        <f>SUM(AE58:AE60)</f>
        <v>2750828</v>
      </c>
      <c r="AF57" s="80">
        <f>SUM(AF58:AF60)</f>
        <v>3020071</v>
      </c>
      <c r="AG57" s="80"/>
      <c r="AH57" s="80"/>
      <c r="AI57" s="80"/>
      <c r="AJ57" s="80"/>
      <c r="AK57" s="100">
        <f t="shared" si="9"/>
        <v>42540429</v>
      </c>
      <c r="AL57" s="80"/>
      <c r="AM57" s="80"/>
      <c r="AN57" s="80"/>
      <c r="AO57" s="80"/>
      <c r="AP57" s="80">
        <f>SUM(AP58:AP60)</f>
        <v>2619214</v>
      </c>
      <c r="AQ57" s="80">
        <f>SUM(AQ58:AQ60)</f>
        <v>0</v>
      </c>
      <c r="AR57" s="80"/>
      <c r="AS57" s="6"/>
      <c r="AT57" s="102"/>
      <c r="AU57" s="102">
        <v>42540429</v>
      </c>
      <c r="AV57" s="102"/>
      <c r="AW57" s="103">
        <f t="shared" si="10"/>
        <v>42540429</v>
      </c>
    </row>
    <row r="58" spans="2:54" hidden="1">
      <c r="B58" s="5" t="s">
        <v>36</v>
      </c>
      <c r="C58" s="6"/>
      <c r="D58" s="6"/>
      <c r="E58" s="7"/>
      <c r="F58" s="15">
        <v>9540</v>
      </c>
      <c r="G58" s="6">
        <v>828459</v>
      </c>
      <c r="H58" s="6">
        <v>751645</v>
      </c>
      <c r="I58" s="6">
        <v>882392</v>
      </c>
      <c r="J58" s="6">
        <v>882392</v>
      </c>
      <c r="K58" s="44">
        <f>SUM(G58:J58)</f>
        <v>3344888</v>
      </c>
      <c r="L58" s="6">
        <v>905477</v>
      </c>
      <c r="M58" s="6"/>
      <c r="N58" s="6"/>
      <c r="O58" s="59">
        <f>K58+M58+N58+L58</f>
        <v>4250365</v>
      </c>
      <c r="P58" s="6"/>
      <c r="Q58" s="6"/>
      <c r="R58" s="6"/>
      <c r="S58" s="43">
        <f t="shared" si="38"/>
        <v>4250365</v>
      </c>
      <c r="T58" s="6"/>
      <c r="U58" s="40">
        <f t="shared" si="3"/>
        <v>4250365</v>
      </c>
      <c r="V58" s="6"/>
      <c r="W58" s="6"/>
      <c r="X58" s="63">
        <f t="shared" ref="X58:X70" si="39">S58+T58+V58+W58</f>
        <v>4250365</v>
      </c>
      <c r="Y58" s="6"/>
      <c r="Z58" s="6"/>
      <c r="AA58" s="6">
        <v>856228</v>
      </c>
      <c r="AB58" s="6">
        <v>709128</v>
      </c>
      <c r="AC58" s="45">
        <f>K58+L58+AA58+AB58</f>
        <v>5815721</v>
      </c>
      <c r="AD58" s="45">
        <v>712269</v>
      </c>
      <c r="AE58" s="6">
        <v>735354</v>
      </c>
      <c r="AF58" s="6">
        <v>758439</v>
      </c>
      <c r="AG58" s="6"/>
      <c r="AH58" s="6"/>
      <c r="AI58" s="6"/>
      <c r="AJ58" s="6"/>
      <c r="AK58" s="6">
        <f t="shared" si="9"/>
        <v>8021783</v>
      </c>
      <c r="AL58" s="6"/>
      <c r="AM58" s="6"/>
      <c r="AN58" s="6"/>
      <c r="AO58" s="6"/>
      <c r="AP58" s="45">
        <v>735354</v>
      </c>
      <c r="AQ58" s="6"/>
      <c r="AR58" s="45"/>
      <c r="AS58" s="6"/>
      <c r="AT58" s="6"/>
      <c r="AU58" s="6"/>
      <c r="AV58" s="6"/>
      <c r="AW58" s="1">
        <f t="shared" si="10"/>
        <v>0</v>
      </c>
    </row>
    <row r="59" spans="2:54" hidden="1">
      <c r="B59" s="5" t="s">
        <v>37</v>
      </c>
      <c r="C59" s="6"/>
      <c r="D59" s="6"/>
      <c r="E59" s="7"/>
      <c r="F59" s="15">
        <v>14985</v>
      </c>
      <c r="G59" s="6">
        <v>970650</v>
      </c>
      <c r="H59" s="6">
        <v>1411830</v>
      </c>
      <c r="I59" s="6">
        <v>1195740</v>
      </c>
      <c r="J59" s="6">
        <v>1284570</v>
      </c>
      <c r="K59" s="44">
        <f t="shared" ref="K59:K69" si="40">SUM(G59:J59)</f>
        <v>4862790</v>
      </c>
      <c r="L59" s="6">
        <v>1188090</v>
      </c>
      <c r="M59" s="6"/>
      <c r="N59" s="6"/>
      <c r="O59" s="59">
        <f>K59+M59+N59+L59</f>
        <v>6050880</v>
      </c>
      <c r="P59" s="6"/>
      <c r="Q59" s="6"/>
      <c r="R59" s="6"/>
      <c r="S59" s="43">
        <f t="shared" si="38"/>
        <v>6050880</v>
      </c>
      <c r="T59" s="6"/>
      <c r="U59" s="40">
        <f t="shared" si="3"/>
        <v>6050880</v>
      </c>
      <c r="V59" s="6"/>
      <c r="W59" s="6"/>
      <c r="X59" s="63">
        <f t="shared" si="39"/>
        <v>6050880</v>
      </c>
      <c r="Y59" s="6"/>
      <c r="Z59" s="6"/>
      <c r="AA59" s="6">
        <v>1210320</v>
      </c>
      <c r="AB59" s="6">
        <v>1299960</v>
      </c>
      <c r="AC59" s="45">
        <f>K59+L59+AA59+AB59</f>
        <v>8561160</v>
      </c>
      <c r="AD59" s="45">
        <v>1248750</v>
      </c>
      <c r="AE59" s="6">
        <v>1259730</v>
      </c>
      <c r="AF59" s="6">
        <v>1249920</v>
      </c>
      <c r="AG59" s="6"/>
      <c r="AH59" s="6"/>
      <c r="AI59" s="6"/>
      <c r="AJ59" s="6"/>
      <c r="AK59" s="6">
        <f t="shared" si="9"/>
        <v>12319560</v>
      </c>
      <c r="AL59" s="6"/>
      <c r="AM59" s="6"/>
      <c r="AN59" s="6"/>
      <c r="AO59" s="6"/>
      <c r="AP59" s="45">
        <v>960660</v>
      </c>
      <c r="AQ59" s="6"/>
      <c r="AR59" s="45"/>
      <c r="AS59" s="6"/>
      <c r="AT59" s="6"/>
      <c r="AU59" s="6"/>
      <c r="AV59" s="6"/>
      <c r="AW59" s="1">
        <f t="shared" si="10"/>
        <v>0</v>
      </c>
    </row>
    <row r="60" spans="2:54" ht="30" hidden="1">
      <c r="B60" s="5" t="s">
        <v>38</v>
      </c>
      <c r="C60" s="6"/>
      <c r="D60" s="6"/>
      <c r="E60" s="7"/>
      <c r="F60" s="15">
        <v>33730</v>
      </c>
      <c r="G60" s="6">
        <v>1993024</v>
      </c>
      <c r="H60" s="6">
        <v>2688576</v>
      </c>
      <c r="I60" s="6">
        <v>2173856</v>
      </c>
      <c r="J60" s="6">
        <v>2076320</v>
      </c>
      <c r="K60" s="44">
        <f t="shared" si="40"/>
        <v>8931776</v>
      </c>
      <c r="L60" s="6">
        <v>2557856</v>
      </c>
      <c r="M60" s="6"/>
      <c r="N60" s="6"/>
      <c r="O60" s="59">
        <f>K60+M60+N60+L60</f>
        <v>11489632</v>
      </c>
      <c r="P60" s="6"/>
      <c r="Q60" s="6"/>
      <c r="R60" s="6"/>
      <c r="S60" s="43">
        <f t="shared" si="38"/>
        <v>11489632</v>
      </c>
      <c r="T60" s="6"/>
      <c r="U60" s="40">
        <f t="shared" si="3"/>
        <v>11489632</v>
      </c>
      <c r="V60" s="6"/>
      <c r="W60" s="6"/>
      <c r="X60" s="63">
        <f t="shared" si="39"/>
        <v>11489632</v>
      </c>
      <c r="Y60" s="6"/>
      <c r="Z60" s="6"/>
      <c r="AA60" s="6">
        <v>3035744</v>
      </c>
      <c r="AB60" s="6">
        <v>3667488</v>
      </c>
      <c r="AC60" s="45">
        <f>K60+L60+AA60+AB60</f>
        <v>18192864</v>
      </c>
      <c r="AD60" s="45">
        <v>1608766</v>
      </c>
      <c r="AE60" s="6">
        <v>755744</v>
      </c>
      <c r="AF60" s="6">
        <v>1011712</v>
      </c>
      <c r="AG60" s="6"/>
      <c r="AH60" s="6"/>
      <c r="AI60" s="6"/>
      <c r="AJ60" s="6"/>
      <c r="AK60" s="6">
        <f t="shared" si="9"/>
        <v>21569086</v>
      </c>
      <c r="AL60" s="6"/>
      <c r="AM60" s="6"/>
      <c r="AN60" s="6"/>
      <c r="AO60" s="6"/>
      <c r="AP60" s="45">
        <v>923200</v>
      </c>
      <c r="AQ60" s="6"/>
      <c r="AR60" s="45"/>
      <c r="AS60" s="6"/>
      <c r="AT60" s="6"/>
      <c r="AU60" s="6"/>
      <c r="AV60" s="6"/>
      <c r="AW60" s="1">
        <f t="shared" si="10"/>
        <v>0</v>
      </c>
    </row>
    <row r="61" spans="2:54" hidden="1">
      <c r="B61" s="5" t="s">
        <v>93</v>
      </c>
      <c r="C61" s="6"/>
      <c r="D61" s="6"/>
      <c r="E61" s="7"/>
      <c r="F61" s="15"/>
      <c r="G61" s="6"/>
      <c r="H61" s="6"/>
      <c r="I61" s="6"/>
      <c r="J61" s="6"/>
      <c r="K61" s="42"/>
      <c r="L61" s="6"/>
      <c r="M61" s="6"/>
      <c r="N61" s="6"/>
      <c r="O61" s="59">
        <f>K61+M61+N61+L61</f>
        <v>0</v>
      </c>
      <c r="P61" s="6"/>
      <c r="Q61" s="6"/>
      <c r="R61" s="6"/>
      <c r="S61" s="43">
        <f t="shared" si="38"/>
        <v>0</v>
      </c>
      <c r="T61" s="6"/>
      <c r="U61" s="40">
        <f t="shared" si="3"/>
        <v>0</v>
      </c>
      <c r="V61" s="6"/>
      <c r="W61" s="6"/>
      <c r="X61" s="63">
        <f t="shared" si="39"/>
        <v>0</v>
      </c>
      <c r="Y61" s="6"/>
      <c r="Z61" s="6"/>
      <c r="AA61" s="6">
        <v>630000</v>
      </c>
      <c r="AB61" s="6"/>
      <c r="AC61" s="45">
        <f>K61+L61+AA61+AB61</f>
        <v>630000</v>
      </c>
      <c r="AD61" s="45"/>
      <c r="AE61" s="6"/>
      <c r="AF61" s="6"/>
      <c r="AG61" s="6"/>
      <c r="AH61" s="6"/>
      <c r="AI61" s="6"/>
      <c r="AJ61" s="6"/>
      <c r="AK61" s="6">
        <f t="shared" si="9"/>
        <v>630000</v>
      </c>
      <c r="AL61" s="6"/>
      <c r="AM61" s="6"/>
      <c r="AN61" s="6"/>
      <c r="AO61" s="6"/>
      <c r="AP61" s="45"/>
      <c r="AQ61" s="6"/>
      <c r="AR61" s="45"/>
      <c r="AS61" s="6"/>
      <c r="AT61" s="6"/>
      <c r="AU61" s="6"/>
      <c r="AV61" s="6"/>
      <c r="AW61" s="1">
        <f t="shared" si="10"/>
        <v>0</v>
      </c>
    </row>
    <row r="62" spans="2:54" hidden="1">
      <c r="B62" s="5"/>
      <c r="C62" s="6"/>
      <c r="D62" s="6"/>
      <c r="E62" s="7"/>
      <c r="F62" s="15"/>
      <c r="G62" s="6"/>
      <c r="H62" s="6"/>
      <c r="I62" s="6"/>
      <c r="J62" s="6"/>
      <c r="K62" s="42"/>
      <c r="L62" s="6"/>
      <c r="M62" s="6"/>
      <c r="N62" s="6"/>
      <c r="O62" s="59"/>
      <c r="P62" s="6"/>
      <c r="Q62" s="6"/>
      <c r="R62" s="6"/>
      <c r="S62" s="43"/>
      <c r="T62" s="6"/>
      <c r="U62" s="40"/>
      <c r="V62" s="6"/>
      <c r="W62" s="6"/>
      <c r="X62" s="63"/>
      <c r="Y62" s="6"/>
      <c r="Z62" s="6"/>
      <c r="AA62" s="6"/>
      <c r="AB62" s="6"/>
      <c r="AC62" s="45">
        <f>K62+L62+AA62+AB62</f>
        <v>0</v>
      </c>
      <c r="AD62" s="45"/>
      <c r="AE62" s="6"/>
      <c r="AF62" s="6"/>
      <c r="AG62" s="6"/>
      <c r="AH62" s="6"/>
      <c r="AI62" s="6"/>
      <c r="AJ62" s="6"/>
      <c r="AK62" s="6">
        <f t="shared" si="9"/>
        <v>0</v>
      </c>
      <c r="AL62" s="6"/>
      <c r="AM62" s="6"/>
      <c r="AN62" s="6"/>
      <c r="AO62" s="6"/>
      <c r="AP62" s="45"/>
      <c r="AQ62" s="6"/>
      <c r="AR62" s="45"/>
      <c r="AS62" s="6"/>
      <c r="AT62" s="6"/>
      <c r="AU62" s="6"/>
      <c r="AV62" s="6"/>
      <c r="AW62" s="1">
        <f t="shared" si="10"/>
        <v>0</v>
      </c>
    </row>
    <row r="63" spans="2:54" hidden="1">
      <c r="B63" s="20" t="s">
        <v>75</v>
      </c>
      <c r="C63" s="20"/>
      <c r="D63" s="20"/>
      <c r="E63" s="20"/>
      <c r="F63" s="20"/>
      <c r="G63" s="20">
        <f t="shared" ref="G63:M63" si="41">SUM(G67:G69)</f>
        <v>0</v>
      </c>
      <c r="H63" s="20">
        <f t="shared" si="41"/>
        <v>0</v>
      </c>
      <c r="I63" s="20">
        <f t="shared" si="41"/>
        <v>0</v>
      </c>
      <c r="J63" s="20">
        <f t="shared" si="41"/>
        <v>142334</v>
      </c>
      <c r="K63" s="20">
        <f t="shared" si="41"/>
        <v>142334</v>
      </c>
      <c r="L63" s="20">
        <f t="shared" si="41"/>
        <v>38897097</v>
      </c>
      <c r="M63" s="20">
        <f t="shared" si="41"/>
        <v>0</v>
      </c>
      <c r="N63" s="20">
        <f>SUM(N64:N69)</f>
        <v>0</v>
      </c>
      <c r="O63" s="54">
        <f>SUM(O64:O69)</f>
        <v>142334</v>
      </c>
      <c r="P63" s="20">
        <f>SUM(P64:P69)</f>
        <v>0</v>
      </c>
      <c r="Q63" s="20">
        <f>SUM(Q64:Q69)</f>
        <v>0</v>
      </c>
      <c r="R63" s="20">
        <f>SUM(R64:R69)</f>
        <v>0</v>
      </c>
      <c r="S63" s="43">
        <f t="shared" si="38"/>
        <v>142334</v>
      </c>
      <c r="T63" s="20">
        <f>SUM(T64:T69)</f>
        <v>0</v>
      </c>
      <c r="U63" s="40">
        <f t="shared" si="3"/>
        <v>142334</v>
      </c>
      <c r="V63" s="20">
        <f>SUM(V64:V69)</f>
        <v>0</v>
      </c>
      <c r="W63" s="20">
        <f>SUM(W64:W69)</f>
        <v>0</v>
      </c>
      <c r="X63" s="20">
        <f t="shared" si="39"/>
        <v>142334</v>
      </c>
      <c r="Y63" s="20">
        <f t="shared" ref="Y63:AD63" si="42">SUM(Y67:Y69)</f>
        <v>0</v>
      </c>
      <c r="Z63" s="20">
        <f t="shared" si="42"/>
        <v>0</v>
      </c>
      <c r="AA63" s="20">
        <f t="shared" si="42"/>
        <v>0</v>
      </c>
      <c r="AB63" s="20">
        <f t="shared" si="42"/>
        <v>0</v>
      </c>
      <c r="AC63" s="89">
        <f>SUM(AC64:AC69)</f>
        <v>41831231</v>
      </c>
      <c r="AD63" s="89">
        <f t="shared" si="42"/>
        <v>0</v>
      </c>
      <c r="AE63" s="89"/>
      <c r="AF63" s="89"/>
      <c r="AG63" s="89"/>
      <c r="AH63" s="89"/>
      <c r="AI63" s="89"/>
      <c r="AJ63" s="89"/>
      <c r="AK63" s="89">
        <f t="shared" si="9"/>
        <v>41831231</v>
      </c>
      <c r="AL63" s="89"/>
      <c r="AM63" s="89"/>
      <c r="AN63" s="89"/>
      <c r="AO63" s="89"/>
      <c r="AP63" s="89">
        <f>SUM(AP67:AP69)</f>
        <v>0</v>
      </c>
      <c r="AQ63" s="89"/>
      <c r="AR63" s="89"/>
      <c r="AS63" s="6"/>
      <c r="AT63" s="102"/>
      <c r="AU63" s="102"/>
      <c r="AV63" s="102"/>
      <c r="AW63" s="1">
        <f t="shared" si="10"/>
        <v>0</v>
      </c>
    </row>
    <row r="64" spans="2:54" s="37" customFormat="1" hidden="1">
      <c r="B64" s="60" t="s">
        <v>166</v>
      </c>
      <c r="C64" s="60"/>
      <c r="D64" s="60"/>
      <c r="E64" s="60"/>
      <c r="F64" s="60"/>
      <c r="G64" s="60"/>
      <c r="H64" s="60"/>
      <c r="I64" s="60"/>
      <c r="J64" s="60"/>
      <c r="K64" s="61"/>
      <c r="L64" s="60"/>
      <c r="M64" s="60"/>
      <c r="N64" s="60"/>
      <c r="O64" s="44">
        <f>K64+M64+N64</f>
        <v>0</v>
      </c>
      <c r="P64" s="60"/>
      <c r="Q64" s="60"/>
      <c r="R64" s="60"/>
      <c r="S64" s="43">
        <f t="shared" si="38"/>
        <v>0</v>
      </c>
      <c r="T64" s="60"/>
      <c r="U64" s="40">
        <f t="shared" si="3"/>
        <v>0</v>
      </c>
      <c r="V64" s="60"/>
      <c r="W64" s="60"/>
      <c r="X64" s="63">
        <f t="shared" si="39"/>
        <v>0</v>
      </c>
      <c r="Y64" s="60"/>
      <c r="Z64" s="60"/>
      <c r="AA64" s="60"/>
      <c r="AB64" s="60">
        <v>2791800</v>
      </c>
      <c r="AC64" s="61">
        <f t="shared" ref="AC64:AC69" si="43">K64+L64+AB64</f>
        <v>2791800</v>
      </c>
      <c r="AD64" s="61"/>
      <c r="AE64" s="35"/>
      <c r="AF64" s="35"/>
      <c r="AG64" s="35"/>
      <c r="AH64" s="35"/>
      <c r="AI64" s="35"/>
      <c r="AJ64" s="35"/>
      <c r="AK64" s="35">
        <f t="shared" si="9"/>
        <v>2791800</v>
      </c>
      <c r="AL64" s="35"/>
      <c r="AM64" s="35"/>
      <c r="AN64" s="35"/>
      <c r="AO64" s="35"/>
      <c r="AP64" s="61"/>
      <c r="AQ64" s="35"/>
      <c r="AR64" s="42"/>
      <c r="AS64" s="35"/>
      <c r="AT64" s="35">
        <v>2791800</v>
      </c>
      <c r="AU64" s="35"/>
      <c r="AV64" s="35"/>
      <c r="AW64" s="1">
        <f t="shared" si="10"/>
        <v>2791800</v>
      </c>
    </row>
    <row r="65" spans="2:50" s="37" customFormat="1" hidden="1">
      <c r="B65" s="60"/>
      <c r="C65" s="60"/>
      <c r="D65" s="60"/>
      <c r="E65" s="60"/>
      <c r="F65" s="60"/>
      <c r="G65" s="60"/>
      <c r="H65" s="60"/>
      <c r="I65" s="60"/>
      <c r="J65" s="60"/>
      <c r="K65" s="61"/>
      <c r="L65" s="60"/>
      <c r="M65" s="60"/>
      <c r="N65" s="60"/>
      <c r="O65" s="44">
        <f>K65+M65+N65</f>
        <v>0</v>
      </c>
      <c r="P65" s="60"/>
      <c r="Q65" s="60"/>
      <c r="R65" s="60"/>
      <c r="S65" s="43">
        <f t="shared" si="38"/>
        <v>0</v>
      </c>
      <c r="T65" s="60"/>
      <c r="U65" s="40">
        <f t="shared" si="3"/>
        <v>0</v>
      </c>
      <c r="V65" s="60"/>
      <c r="W65" s="60"/>
      <c r="X65" s="63">
        <f t="shared" si="39"/>
        <v>0</v>
      </c>
      <c r="Y65" s="60"/>
      <c r="Z65" s="60"/>
      <c r="AA65" s="60"/>
      <c r="AB65" s="60"/>
      <c r="AC65" s="61">
        <f t="shared" si="43"/>
        <v>0</v>
      </c>
      <c r="AD65" s="61"/>
      <c r="AE65" s="35"/>
      <c r="AF65" s="35"/>
      <c r="AG65" s="35"/>
      <c r="AH65" s="35"/>
      <c r="AI65" s="35"/>
      <c r="AJ65" s="35"/>
      <c r="AK65" s="35">
        <f t="shared" si="9"/>
        <v>0</v>
      </c>
      <c r="AL65" s="35"/>
      <c r="AM65" s="35"/>
      <c r="AN65" s="35"/>
      <c r="AO65" s="35"/>
      <c r="AP65" s="61"/>
      <c r="AQ65" s="35"/>
      <c r="AR65" s="42"/>
      <c r="AS65" s="35"/>
      <c r="AT65" s="35"/>
      <c r="AU65" s="35"/>
      <c r="AV65" s="35"/>
      <c r="AW65" s="1">
        <f t="shared" si="10"/>
        <v>0</v>
      </c>
    </row>
    <row r="66" spans="2:50" s="37" customFormat="1" hidden="1">
      <c r="B66" s="60" t="s">
        <v>98</v>
      </c>
      <c r="C66" s="60"/>
      <c r="D66" s="60"/>
      <c r="E66" s="60"/>
      <c r="F66" s="60"/>
      <c r="G66" s="60"/>
      <c r="H66" s="60"/>
      <c r="I66" s="60"/>
      <c r="J66" s="60"/>
      <c r="K66" s="61"/>
      <c r="L66" s="60"/>
      <c r="M66" s="60"/>
      <c r="N66" s="60"/>
      <c r="O66" s="44"/>
      <c r="P66" s="60"/>
      <c r="Q66" s="60"/>
      <c r="R66" s="60"/>
      <c r="S66" s="43">
        <f t="shared" si="38"/>
        <v>0</v>
      </c>
      <c r="T66" s="60"/>
      <c r="U66" s="40">
        <f t="shared" si="3"/>
        <v>0</v>
      </c>
      <c r="V66" s="60"/>
      <c r="W66" s="60"/>
      <c r="X66" s="63">
        <f t="shared" si="39"/>
        <v>0</v>
      </c>
      <c r="Y66" s="60"/>
      <c r="Z66" s="60"/>
      <c r="AA66" s="60"/>
      <c r="AB66" s="60"/>
      <c r="AC66" s="61">
        <f t="shared" si="43"/>
        <v>0</v>
      </c>
      <c r="AD66" s="61"/>
      <c r="AE66" s="35">
        <v>2871000</v>
      </c>
      <c r="AF66" s="35"/>
      <c r="AG66" s="35"/>
      <c r="AH66" s="35"/>
      <c r="AI66" s="35"/>
      <c r="AJ66" s="35"/>
      <c r="AK66" s="26">
        <f t="shared" si="9"/>
        <v>2871000</v>
      </c>
      <c r="AL66" s="35"/>
      <c r="AM66" s="35"/>
      <c r="AN66" s="35"/>
      <c r="AO66" s="35"/>
      <c r="AP66" s="61"/>
      <c r="AQ66" s="35"/>
      <c r="AR66" s="42"/>
      <c r="AS66" s="35"/>
      <c r="AT66" s="35"/>
      <c r="AU66" s="35"/>
      <c r="AV66" s="35"/>
      <c r="AW66" s="1">
        <f t="shared" si="10"/>
        <v>0</v>
      </c>
    </row>
    <row r="67" spans="2:50" hidden="1">
      <c r="B67" s="5" t="s">
        <v>167</v>
      </c>
      <c r="C67" s="6"/>
      <c r="D67" s="6"/>
      <c r="E67" s="7"/>
      <c r="F67" s="15"/>
      <c r="G67" s="6"/>
      <c r="H67" s="6"/>
      <c r="I67" s="6"/>
      <c r="J67" s="6">
        <v>95000</v>
      </c>
      <c r="K67" s="42">
        <f t="shared" si="40"/>
        <v>95000</v>
      </c>
      <c r="L67" s="6"/>
      <c r="M67" s="6"/>
      <c r="N67" s="6"/>
      <c r="O67" s="44">
        <f>K67+M67+N67</f>
        <v>95000</v>
      </c>
      <c r="P67" s="6"/>
      <c r="Q67" s="6"/>
      <c r="R67" s="6"/>
      <c r="S67" s="43">
        <f t="shared" si="38"/>
        <v>95000</v>
      </c>
      <c r="T67" s="6"/>
      <c r="U67" s="40">
        <f t="shared" si="3"/>
        <v>95000</v>
      </c>
      <c r="V67" s="6"/>
      <c r="W67" s="6"/>
      <c r="X67" s="63">
        <f t="shared" si="39"/>
        <v>95000</v>
      </c>
      <c r="Y67" s="6"/>
      <c r="Z67" s="6"/>
      <c r="AA67" s="6"/>
      <c r="AB67" s="6"/>
      <c r="AC67" s="61">
        <f t="shared" si="43"/>
        <v>95000</v>
      </c>
      <c r="AD67" s="45"/>
      <c r="AE67" s="6"/>
      <c r="AF67" s="6">
        <v>185375</v>
      </c>
      <c r="AG67" s="6"/>
      <c r="AH67" s="6"/>
      <c r="AI67" s="6"/>
      <c r="AJ67" s="6"/>
      <c r="AK67" s="6">
        <f t="shared" si="9"/>
        <v>280375</v>
      </c>
      <c r="AL67" s="6"/>
      <c r="AM67" s="6"/>
      <c r="AN67" s="6"/>
      <c r="AO67" s="6"/>
      <c r="AP67" s="45"/>
      <c r="AQ67" s="6"/>
      <c r="AR67" s="45"/>
      <c r="AS67" s="6"/>
      <c r="AT67" s="6">
        <v>280375</v>
      </c>
      <c r="AU67" s="6"/>
      <c r="AV67" s="6"/>
      <c r="AW67" s="1">
        <f t="shared" si="10"/>
        <v>280375</v>
      </c>
    </row>
    <row r="68" spans="2:50" hidden="1">
      <c r="B68" s="5"/>
      <c r="C68" s="6"/>
      <c r="D68" s="6"/>
      <c r="E68" s="6"/>
      <c r="F68" s="6"/>
      <c r="G68" s="6"/>
      <c r="H68" s="6"/>
      <c r="I68" s="6"/>
      <c r="J68" s="6"/>
      <c r="K68" s="44">
        <f t="shared" si="40"/>
        <v>0</v>
      </c>
      <c r="L68" s="6"/>
      <c r="M68" s="6"/>
      <c r="N68" s="6"/>
      <c r="O68" s="44">
        <f>K68+M68+N68+L68</f>
        <v>0</v>
      </c>
      <c r="P68" s="6"/>
      <c r="Q68" s="6"/>
      <c r="R68" s="6"/>
      <c r="S68" s="43">
        <f t="shared" si="38"/>
        <v>0</v>
      </c>
      <c r="T68" s="6"/>
      <c r="U68" s="40">
        <f t="shared" si="3"/>
        <v>0</v>
      </c>
      <c r="V68" s="6"/>
      <c r="W68" s="6"/>
      <c r="X68" s="63">
        <f t="shared" si="39"/>
        <v>0</v>
      </c>
      <c r="Y68" s="6"/>
      <c r="Z68" s="6"/>
      <c r="AA68" s="6"/>
      <c r="AB68" s="6"/>
      <c r="AC68" s="61">
        <f t="shared" si="43"/>
        <v>0</v>
      </c>
      <c r="AD68" s="45"/>
      <c r="AE68" s="6"/>
      <c r="AF68" s="6"/>
      <c r="AG68" s="6"/>
      <c r="AH68" s="6"/>
      <c r="AI68" s="6"/>
      <c r="AJ68" s="6"/>
      <c r="AK68" s="6">
        <f t="shared" si="9"/>
        <v>0</v>
      </c>
      <c r="AL68" s="6"/>
      <c r="AM68" s="6"/>
      <c r="AN68" s="6"/>
      <c r="AO68" s="6"/>
      <c r="AP68" s="45"/>
      <c r="AQ68" s="6"/>
      <c r="AR68" s="45"/>
      <c r="AS68" s="6"/>
      <c r="AT68" s="6"/>
      <c r="AU68" s="6"/>
      <c r="AV68" s="6"/>
      <c r="AW68" s="1">
        <f t="shared" si="10"/>
        <v>0</v>
      </c>
    </row>
    <row r="69" spans="2:50" hidden="1">
      <c r="B69" s="5" t="s">
        <v>68</v>
      </c>
      <c r="C69" s="6"/>
      <c r="D69" s="6"/>
      <c r="E69" s="6"/>
      <c r="F69" s="6"/>
      <c r="G69" s="6"/>
      <c r="H69" s="6"/>
      <c r="I69" s="6"/>
      <c r="J69" s="6">
        <v>47334</v>
      </c>
      <c r="K69" s="44">
        <f t="shared" si="40"/>
        <v>47334</v>
      </c>
      <c r="L69" s="6">
        <v>38897097</v>
      </c>
      <c r="M69" s="6"/>
      <c r="N69" s="6"/>
      <c r="O69" s="44">
        <f>K69+M69+N69</f>
        <v>47334</v>
      </c>
      <c r="P69" s="6"/>
      <c r="Q69" s="6"/>
      <c r="R69" s="6"/>
      <c r="S69" s="43">
        <f t="shared" si="38"/>
        <v>47334</v>
      </c>
      <c r="T69" s="6"/>
      <c r="U69" s="40">
        <f t="shared" si="3"/>
        <v>47334</v>
      </c>
      <c r="V69" s="6"/>
      <c r="W69" s="6"/>
      <c r="X69" s="63">
        <f t="shared" si="39"/>
        <v>47334</v>
      </c>
      <c r="Y69" s="6"/>
      <c r="Z69" s="6"/>
      <c r="AA69" s="6"/>
      <c r="AB69" s="6"/>
      <c r="AC69" s="61">
        <f t="shared" si="43"/>
        <v>38944431</v>
      </c>
      <c r="AD69" s="45"/>
      <c r="AE69" s="6"/>
      <c r="AF69" s="6"/>
      <c r="AG69" s="6"/>
      <c r="AH69" s="6"/>
      <c r="AI69" s="6"/>
      <c r="AJ69" s="6"/>
      <c r="AK69" s="6">
        <f>SUM(AC69:AF69)</f>
        <v>38944431</v>
      </c>
      <c r="AL69" s="6"/>
      <c r="AM69" s="6"/>
      <c r="AN69" s="6"/>
      <c r="AO69" s="6"/>
      <c r="AP69" s="45"/>
      <c r="AQ69" s="6"/>
      <c r="AR69" s="45"/>
      <c r="AS69" s="6"/>
      <c r="AT69" s="6">
        <v>3894431</v>
      </c>
      <c r="AU69" s="6"/>
      <c r="AV69" s="6"/>
      <c r="AW69" s="1">
        <f>AT69+AU69+AV69</f>
        <v>3894431</v>
      </c>
    </row>
    <row r="70" spans="2:50" hidden="1">
      <c r="B70" s="11" t="s">
        <v>95</v>
      </c>
      <c r="C70" s="12"/>
      <c r="D70" s="12"/>
      <c r="E70" s="12"/>
      <c r="F70" s="12"/>
      <c r="G70" s="13">
        <f t="shared" ref="G70:N70" si="44">G57+G54+G63</f>
        <v>9590932.0800000019</v>
      </c>
      <c r="H70" s="13">
        <f t="shared" si="44"/>
        <v>18448578.160000004</v>
      </c>
      <c r="I70" s="13">
        <f t="shared" si="44"/>
        <v>22991843.360000003</v>
      </c>
      <c r="J70" s="13">
        <f t="shared" si="44"/>
        <v>20040330.840000004</v>
      </c>
      <c r="K70" s="13">
        <f t="shared" si="44"/>
        <v>71071684.440000013</v>
      </c>
      <c r="L70" s="13">
        <f t="shared" si="44"/>
        <v>59187494.840000004</v>
      </c>
      <c r="M70" s="13">
        <f t="shared" si="44"/>
        <v>0</v>
      </c>
      <c r="N70" s="13">
        <f t="shared" si="44"/>
        <v>0</v>
      </c>
      <c r="O70" s="13">
        <f>O57+O54+O63+O55</f>
        <v>22546594</v>
      </c>
      <c r="P70" s="13">
        <f>P57+P54+P63</f>
        <v>0</v>
      </c>
      <c r="Q70" s="13">
        <f>Q57+Q54+Q63</f>
        <v>0</v>
      </c>
      <c r="R70" s="13">
        <f>R57+R54+R63</f>
        <v>0</v>
      </c>
      <c r="S70" s="43">
        <f t="shared" si="38"/>
        <v>22546594</v>
      </c>
      <c r="T70" s="13">
        <f>T57+T54+T63</f>
        <v>0</v>
      </c>
      <c r="U70" s="40">
        <f t="shared" si="3"/>
        <v>22546594</v>
      </c>
      <c r="V70" s="13">
        <f>V57+V54+V63</f>
        <v>0</v>
      </c>
      <c r="W70" s="13">
        <f>W57+W54+W63</f>
        <v>0</v>
      </c>
      <c r="X70" s="63">
        <f t="shared" si="39"/>
        <v>22546594</v>
      </c>
      <c r="Y70" s="13">
        <f>Y57+Y54+Y63</f>
        <v>0</v>
      </c>
      <c r="Z70" s="13"/>
      <c r="AA70" s="13">
        <f t="shared" ref="AA70:AF70" si="45">AA57+AA54+AA63</f>
        <v>21368845.840000004</v>
      </c>
      <c r="AB70" s="13">
        <f t="shared" si="45"/>
        <v>21314018.840000004</v>
      </c>
      <c r="AC70" s="87">
        <f t="shared" si="45"/>
        <v>175732553.96000001</v>
      </c>
      <c r="AD70" s="87">
        <f t="shared" si="45"/>
        <v>19204060.840000004</v>
      </c>
      <c r="AE70" s="87">
        <f t="shared" si="45"/>
        <v>18383952.840000004</v>
      </c>
      <c r="AF70" s="87">
        <f t="shared" si="45"/>
        <v>18406920.840000004</v>
      </c>
      <c r="AG70" s="87"/>
      <c r="AH70" s="87"/>
      <c r="AI70" s="87"/>
      <c r="AJ70" s="87"/>
      <c r="AK70" s="63">
        <f>SUM(AC70:AF70)</f>
        <v>231727488.48000002</v>
      </c>
      <c r="AL70" s="6"/>
      <c r="AM70" s="6"/>
      <c r="AN70" s="6"/>
      <c r="AO70" s="6"/>
      <c r="AP70" s="87">
        <f>AP57+AP54+AP63</f>
        <v>18109930.506666668</v>
      </c>
      <c r="AQ70" s="87">
        <f>AQ57+AQ54+AQ63</f>
        <v>0</v>
      </c>
      <c r="AR70" s="45"/>
      <c r="AS70" s="6"/>
      <c r="AT70" s="101">
        <f>AT47+AT52+AT53+AT64+AT67+AT69</f>
        <v>51563402</v>
      </c>
      <c r="AU70" s="101">
        <f>AU61+AU57+AU53+AU47</f>
        <v>77346669</v>
      </c>
      <c r="AV70" s="101">
        <f>AV53+AV48+AV47</f>
        <v>2984694</v>
      </c>
      <c r="AW70" s="1">
        <f>AT70+AU70+AV70</f>
        <v>131894765</v>
      </c>
    </row>
    <row r="71" spans="2:50" hidden="1"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 t="s">
        <v>96</v>
      </c>
      <c r="O71" s="6">
        <v>2386491</v>
      </c>
      <c r="P71" s="6"/>
      <c r="Q71" s="6"/>
      <c r="R71" s="6"/>
      <c r="S71" s="43"/>
      <c r="T71" s="6"/>
      <c r="U71" s="40">
        <f t="shared" si="3"/>
        <v>0</v>
      </c>
      <c r="V71" s="6"/>
      <c r="W71" s="6"/>
      <c r="X71" s="6"/>
      <c r="Y71" s="6"/>
      <c r="Z71" s="6"/>
      <c r="AA71" s="6"/>
      <c r="AB71" s="6"/>
      <c r="AC71" s="45"/>
      <c r="AD71" s="45"/>
      <c r="AE71" s="6"/>
      <c r="AF71" s="6"/>
      <c r="AG71" s="6"/>
      <c r="AH71" s="6"/>
      <c r="AI71" s="6"/>
      <c r="AJ71" s="6"/>
      <c r="AK71" s="6">
        <v>38944431</v>
      </c>
      <c r="AL71" s="6"/>
      <c r="AM71" s="6"/>
      <c r="AN71" s="6"/>
      <c r="AO71" s="6"/>
      <c r="AP71" s="45"/>
      <c r="AQ71" s="6"/>
      <c r="AR71" s="45"/>
      <c r="AS71" s="6"/>
      <c r="AT71" s="6"/>
      <c r="AU71" s="6"/>
      <c r="AV71" s="6"/>
      <c r="AW71" s="1">
        <f>AT71+AU71+AV71</f>
        <v>0</v>
      </c>
    </row>
    <row r="72" spans="2:50" hidden="1">
      <c r="N72" s="1" t="s">
        <v>97</v>
      </c>
      <c r="O72" s="62">
        <f>O70-O71</f>
        <v>20160103</v>
      </c>
      <c r="S72" s="43"/>
      <c r="AE72" s="6"/>
      <c r="AF72" s="6"/>
      <c r="AG72" s="6"/>
      <c r="AH72" s="6"/>
      <c r="AI72" s="6"/>
      <c r="AJ72" s="6"/>
      <c r="AK72" s="27">
        <f>AK70-AK71</f>
        <v>192783057.48000002</v>
      </c>
      <c r="AL72" s="6"/>
      <c r="AM72" s="6"/>
      <c r="AN72" s="6"/>
      <c r="AO72" s="6"/>
      <c r="AQ72" s="6"/>
      <c r="AR72" s="45"/>
      <c r="AS72" s="6"/>
      <c r="AT72" s="6"/>
      <c r="AU72" s="6"/>
      <c r="AV72" s="6"/>
      <c r="AW72" s="1">
        <f>AT72+AU72+AV72</f>
        <v>0</v>
      </c>
    </row>
    <row r="73" spans="2:50" hidden="1">
      <c r="AK73" s="1">
        <v>944000</v>
      </c>
      <c r="AX73" s="1">
        <v>944000</v>
      </c>
    </row>
    <row r="74" spans="2:50">
      <c r="AJ74" s="62">
        <f>SUM(AJ50:AJ51)</f>
        <v>211655373.31473333</v>
      </c>
      <c r="AK74" s="104">
        <f>AK72+AK73</f>
        <v>193727057.48000002</v>
      </c>
    </row>
  </sheetData>
  <mergeCells count="2">
    <mergeCell ref="B1:F1"/>
    <mergeCell ref="AG1:AJ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9"/>
  <sheetViews>
    <sheetView topLeftCell="A15" workbookViewId="0">
      <selection activeCell="O54" sqref="O54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82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582400</v>
      </c>
      <c r="N27" s="34">
        <f>I27-M27</f>
        <v>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>
        <v>210057</v>
      </c>
      <c r="N42" s="34">
        <f>I42-M42</f>
        <v>1696625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10653346</v>
      </c>
      <c r="N47" s="27">
        <f t="shared" si="0"/>
        <v>4797026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10653346</v>
      </c>
      <c r="N48" s="13">
        <f t="shared" si="1"/>
        <v>4797026</v>
      </c>
    </row>
    <row r="49" spans="2:14">
      <c r="B49" s="35"/>
      <c r="C49" s="5" t="s">
        <v>163</v>
      </c>
      <c r="D49" s="6"/>
      <c r="E49" s="6"/>
      <c r="F49" s="6"/>
      <c r="G49" s="13">
        <f>G35</f>
        <v>66610000</v>
      </c>
      <c r="H49" s="13">
        <f>H35</f>
        <v>0</v>
      </c>
      <c r="I49" s="13">
        <v>643</v>
      </c>
      <c r="J49" s="6"/>
      <c r="K49" s="6"/>
      <c r="L49" s="6"/>
      <c r="M49" s="6"/>
      <c r="N49" s="7">
        <f>I49-M49</f>
        <v>643</v>
      </c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183261</v>
      </c>
      <c r="J50" s="6">
        <v>538253</v>
      </c>
      <c r="K50" s="6">
        <v>353187</v>
      </c>
      <c r="L50" s="6"/>
      <c r="M50" s="6"/>
      <c r="N50" s="6">
        <f>I50-M50</f>
        <v>183261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 t="shared" ref="I51:N51" si="2">I48+I50+I49</f>
        <v>15634276</v>
      </c>
      <c r="J51" s="29">
        <f t="shared" si="2"/>
        <v>7438587.7616666676</v>
      </c>
      <c r="K51" s="29">
        <f t="shared" si="2"/>
        <v>9355535.2116666678</v>
      </c>
      <c r="L51" s="29">
        <f t="shared" si="2"/>
        <v>13808765.483333334</v>
      </c>
      <c r="M51" s="29">
        <f t="shared" si="2"/>
        <v>10653346</v>
      </c>
      <c r="N51" s="29">
        <f t="shared" si="2"/>
        <v>4980930</v>
      </c>
    </row>
    <row r="52" spans="2:14">
      <c r="B52" s="90"/>
      <c r="C52" s="91" t="s">
        <v>164</v>
      </c>
      <c r="D52" s="92"/>
      <c r="E52" s="92"/>
      <c r="F52" s="92"/>
      <c r="G52" s="93"/>
      <c r="H52" s="93"/>
      <c r="I52" s="94"/>
      <c r="J52" s="94"/>
      <c r="K52" s="94"/>
      <c r="L52" s="94"/>
      <c r="M52" s="94"/>
      <c r="N52" s="94">
        <v>-25000</v>
      </c>
    </row>
    <row r="53" spans="2:14">
      <c r="B53" s="90"/>
      <c r="C53" s="91" t="s">
        <v>165</v>
      </c>
      <c r="D53" s="92"/>
      <c r="E53" s="92"/>
      <c r="F53" s="92"/>
      <c r="G53" s="93"/>
      <c r="H53" s="93"/>
      <c r="I53" s="94"/>
      <c r="J53" s="94"/>
      <c r="K53" s="94"/>
      <c r="L53" s="94"/>
      <c r="M53" s="94"/>
      <c r="N53" s="94">
        <f>N51+N52</f>
        <v>4955930</v>
      </c>
    </row>
    <row r="54" spans="2:14">
      <c r="C54" s="38"/>
      <c r="D54" s="39"/>
      <c r="E54" s="39"/>
      <c r="F54" s="39"/>
      <c r="G54" s="39"/>
      <c r="H54" s="39"/>
      <c r="I54" s="39" t="s">
        <v>63</v>
      </c>
      <c r="J54" s="39">
        <v>183669</v>
      </c>
      <c r="K54" s="39"/>
      <c r="L54" s="39"/>
      <c r="M54" s="39" t="s">
        <v>69</v>
      </c>
      <c r="N54" s="39" t="s">
        <v>78</v>
      </c>
    </row>
    <row r="55" spans="2:14" ht="30">
      <c r="B55" s="6"/>
      <c r="C55" s="20" t="s">
        <v>66</v>
      </c>
      <c r="D55" s="6"/>
      <c r="E55" s="6"/>
      <c r="F55" s="7"/>
      <c r="G55" s="21">
        <f>SUM(G56:G62)</f>
        <v>66610000</v>
      </c>
      <c r="H55" s="6"/>
      <c r="I55" s="21">
        <f t="shared" ref="I55:N55" si="3">SUM(I56:I58)</f>
        <v>4312520</v>
      </c>
      <c r="J55" s="21">
        <f t="shared" si="3"/>
        <v>0</v>
      </c>
      <c r="K55" s="21">
        <f t="shared" si="3"/>
        <v>0</v>
      </c>
      <c r="L55" s="21">
        <f t="shared" si="3"/>
        <v>0</v>
      </c>
      <c r="M55" s="21"/>
      <c r="N55" s="21">
        <f t="shared" si="3"/>
        <v>3569787</v>
      </c>
    </row>
    <row r="56" spans="2:14">
      <c r="B56" s="76" t="s">
        <v>145</v>
      </c>
      <c r="C56" s="5" t="s">
        <v>36</v>
      </c>
      <c r="D56" s="6"/>
      <c r="E56" s="6"/>
      <c r="F56" s="7"/>
      <c r="G56" s="15">
        <v>10282000</v>
      </c>
      <c r="H56" s="6"/>
      <c r="I56" s="21">
        <v>712269</v>
      </c>
      <c r="J56" s="6"/>
      <c r="K56" s="6"/>
      <c r="L56" s="6"/>
      <c r="M56" s="21"/>
      <c r="N56" s="21">
        <f>I56-M56</f>
        <v>712269</v>
      </c>
    </row>
    <row r="57" spans="2:14">
      <c r="B57" s="76" t="s">
        <v>145</v>
      </c>
      <c r="C57" s="5" t="s">
        <v>37</v>
      </c>
      <c r="D57" s="6"/>
      <c r="E57" s="6"/>
      <c r="F57" s="7"/>
      <c r="G57" s="15">
        <v>11933000</v>
      </c>
      <c r="H57" s="6"/>
      <c r="I57" s="21">
        <v>1991485</v>
      </c>
      <c r="J57" s="6"/>
      <c r="K57" s="6"/>
      <c r="L57" s="6"/>
      <c r="M57" s="21"/>
      <c r="N57" s="21">
        <v>1248750</v>
      </c>
    </row>
    <row r="58" spans="2:14">
      <c r="B58" s="76" t="s">
        <v>145</v>
      </c>
      <c r="C58" s="5" t="s">
        <v>38</v>
      </c>
      <c r="D58" s="6"/>
      <c r="E58" s="6"/>
      <c r="F58" s="7"/>
      <c r="G58" s="15">
        <v>43773000</v>
      </c>
      <c r="H58" s="6"/>
      <c r="I58" s="21">
        <v>1608766</v>
      </c>
      <c r="J58" s="6"/>
      <c r="K58" s="6"/>
      <c r="L58" s="6"/>
      <c r="M58" s="21"/>
      <c r="N58" s="21">
        <v>1608768</v>
      </c>
    </row>
    <row r="59" spans="2:14">
      <c r="B59" s="6"/>
      <c r="C59" s="5"/>
      <c r="D59" s="6"/>
      <c r="E59" s="6"/>
      <c r="F59" s="7"/>
      <c r="G59" s="15"/>
      <c r="H59" s="6"/>
      <c r="I59" s="21"/>
      <c r="J59" s="6"/>
      <c r="K59" s="6"/>
      <c r="L59" s="6"/>
      <c r="M59" s="21"/>
      <c r="N59" s="6"/>
    </row>
    <row r="60" spans="2:14">
      <c r="B60" s="6"/>
      <c r="C60" s="5"/>
      <c r="D60" s="6"/>
      <c r="E60" s="6"/>
      <c r="F60" s="7"/>
      <c r="G60" s="15"/>
      <c r="H60" s="6"/>
      <c r="I60" s="21"/>
      <c r="J60" s="6"/>
      <c r="K60" s="6"/>
      <c r="L60" s="6"/>
      <c r="M60" s="21"/>
      <c r="N60" s="6"/>
    </row>
    <row r="61" spans="2:14">
      <c r="B61" s="6"/>
      <c r="C61" s="74" t="s">
        <v>110</v>
      </c>
      <c r="D61" s="36"/>
      <c r="E61" s="36"/>
      <c r="F61" s="75"/>
      <c r="G61" s="75">
        <v>127000</v>
      </c>
      <c r="H61" s="36"/>
      <c r="I61" s="75">
        <f t="shared" ref="I61:N61" si="4">SUM(I62:I64)</f>
        <v>0</v>
      </c>
      <c r="J61" s="75">
        <f t="shared" si="4"/>
        <v>0</v>
      </c>
      <c r="K61" s="75">
        <f t="shared" si="4"/>
        <v>0</v>
      </c>
      <c r="L61" s="75">
        <f t="shared" si="4"/>
        <v>0</v>
      </c>
      <c r="M61" s="75">
        <f t="shared" si="4"/>
        <v>0</v>
      </c>
      <c r="N61" s="75">
        <f t="shared" si="4"/>
        <v>0</v>
      </c>
    </row>
    <row r="62" spans="2:14">
      <c r="B62" s="76" t="s">
        <v>146</v>
      </c>
      <c r="C62" s="5" t="s">
        <v>161</v>
      </c>
      <c r="D62" s="6"/>
      <c r="E62" s="6"/>
      <c r="F62" s="7"/>
      <c r="G62" s="15">
        <v>495000</v>
      </c>
      <c r="H62" s="6"/>
      <c r="I62" s="21"/>
      <c r="J62" s="6"/>
      <c r="K62" s="6"/>
      <c r="L62" s="6"/>
      <c r="M62" s="6"/>
      <c r="N62" s="6"/>
    </row>
    <row r="63" spans="2:14">
      <c r="B63" s="6"/>
      <c r="C63" s="5"/>
      <c r="D63" s="6"/>
      <c r="E63" s="6"/>
      <c r="F63" s="7"/>
      <c r="G63" s="15"/>
      <c r="H63" s="6"/>
      <c r="I63" s="21"/>
      <c r="J63" s="6"/>
      <c r="K63" s="6"/>
      <c r="L63" s="6"/>
      <c r="M63" s="6"/>
      <c r="N63" s="6"/>
    </row>
    <row r="64" spans="2:14">
      <c r="B64" s="6"/>
      <c r="C64" s="5"/>
      <c r="D64" s="6"/>
      <c r="E64" s="6"/>
      <c r="F64" s="7"/>
      <c r="G64" s="15"/>
      <c r="H64" s="6"/>
      <c r="I64" s="21"/>
      <c r="J64" s="6"/>
      <c r="K64" s="6"/>
      <c r="L64" s="6"/>
      <c r="M64" s="6"/>
      <c r="N64" s="6"/>
    </row>
    <row r="65" spans="2:14">
      <c r="B65" s="6"/>
      <c r="C65" s="74" t="s">
        <v>111</v>
      </c>
      <c r="D65" s="36"/>
      <c r="E65" s="36"/>
      <c r="F65" s="36"/>
      <c r="G65" s="36"/>
      <c r="H65" s="36"/>
      <c r="I65" s="75">
        <f t="shared" ref="I65:N65" si="5">SUM(I66:I68)</f>
        <v>0</v>
      </c>
      <c r="J65" s="75">
        <f t="shared" si="5"/>
        <v>0</v>
      </c>
      <c r="K65" s="75">
        <f t="shared" si="5"/>
        <v>0</v>
      </c>
      <c r="L65" s="75">
        <f t="shared" si="5"/>
        <v>0</v>
      </c>
      <c r="M65" s="75">
        <f t="shared" si="5"/>
        <v>0</v>
      </c>
      <c r="N65" s="75">
        <f t="shared" si="5"/>
        <v>0</v>
      </c>
    </row>
    <row r="66" spans="2:14">
      <c r="B66" s="76"/>
      <c r="C66" s="5"/>
      <c r="D66" s="6"/>
      <c r="E66" s="6"/>
      <c r="F66" s="6"/>
      <c r="G66" s="6"/>
      <c r="H66" s="6"/>
      <c r="I66" s="21"/>
      <c r="J66" s="6"/>
      <c r="K66" s="6"/>
      <c r="L66" s="6"/>
      <c r="M66" s="6"/>
      <c r="N66" s="6"/>
    </row>
    <row r="67" spans="2:14">
      <c r="B67" s="6"/>
      <c r="C67" s="5"/>
      <c r="D67" s="6"/>
      <c r="E67" s="6"/>
      <c r="F67" s="6"/>
      <c r="G67" s="6"/>
      <c r="H67" s="6"/>
      <c r="I67" s="21"/>
      <c r="J67" s="6"/>
      <c r="K67" s="6"/>
      <c r="L67" s="6"/>
      <c r="M67" s="6"/>
      <c r="N67" s="6"/>
    </row>
    <row r="68" spans="2:14">
      <c r="B68" s="6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>
      <c r="B69" s="6"/>
      <c r="C69" s="11" t="s">
        <v>77</v>
      </c>
      <c r="D69" s="12"/>
      <c r="E69" s="12"/>
      <c r="F69" s="12"/>
      <c r="G69" s="12"/>
      <c r="H69" s="12"/>
      <c r="I69" s="13">
        <f t="shared" ref="I69:N69" si="6">I51+I55+I61+I65</f>
        <v>19946796</v>
      </c>
      <c r="J69" s="13">
        <f t="shared" si="6"/>
        <v>7438587.7616666676</v>
      </c>
      <c r="K69" s="13">
        <f t="shared" si="6"/>
        <v>9355535.2116666678</v>
      </c>
      <c r="L69" s="13">
        <f t="shared" si="6"/>
        <v>13808765.483333334</v>
      </c>
      <c r="M69" s="13">
        <f t="shared" si="6"/>
        <v>10653346</v>
      </c>
      <c r="N69" s="13">
        <f t="shared" si="6"/>
        <v>8550717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9"/>
  <sheetViews>
    <sheetView topLeftCell="A50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80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582400</v>
      </c>
      <c r="N27" s="34">
        <f>I27-M27</f>
        <v>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>
        <v>881886</v>
      </c>
      <c r="N42" s="34">
        <f>I42-M42</f>
        <v>1024796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11325175</v>
      </c>
      <c r="N47" s="27">
        <f t="shared" si="0"/>
        <v>4125197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11325175</v>
      </c>
      <c r="N48" s="13">
        <f t="shared" si="1"/>
        <v>4125197</v>
      </c>
    </row>
    <row r="49" spans="2:14">
      <c r="B49" s="35"/>
      <c r="C49" s="5" t="s">
        <v>163</v>
      </c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7">
        <f>I49-M49</f>
        <v>0</v>
      </c>
    </row>
    <row r="50" spans="2:14">
      <c r="B50" s="76" t="s">
        <v>174</v>
      </c>
      <c r="C50" s="32" t="s">
        <v>61</v>
      </c>
      <c r="D50" s="31"/>
      <c r="E50" s="31"/>
      <c r="F50" s="31"/>
      <c r="G50" s="31"/>
      <c r="H50" s="31"/>
      <c r="I50" s="31">
        <v>182753</v>
      </c>
      <c r="J50" s="6">
        <v>538253</v>
      </c>
      <c r="K50" s="6">
        <v>353187</v>
      </c>
      <c r="L50" s="6"/>
      <c r="M50" s="6"/>
      <c r="N50" s="6">
        <f>I50-M50</f>
        <v>182753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 t="shared" ref="I51:N51" si="2">I48+I50+I49</f>
        <v>15633125</v>
      </c>
      <c r="J51" s="29">
        <f t="shared" si="2"/>
        <v>7438587.7616666676</v>
      </c>
      <c r="K51" s="29">
        <f t="shared" si="2"/>
        <v>9355535.2116666678</v>
      </c>
      <c r="L51" s="29">
        <f t="shared" si="2"/>
        <v>13808765.483333334</v>
      </c>
      <c r="M51" s="29">
        <f t="shared" si="2"/>
        <v>11325175</v>
      </c>
      <c r="N51" s="29">
        <f t="shared" si="2"/>
        <v>4307950</v>
      </c>
    </row>
    <row r="52" spans="2:14">
      <c r="B52" s="90"/>
      <c r="C52" s="91"/>
      <c r="D52" s="92"/>
      <c r="E52" s="92"/>
      <c r="F52" s="92"/>
      <c r="G52" s="93"/>
      <c r="H52" s="93"/>
      <c r="I52" s="94"/>
      <c r="J52" s="94"/>
      <c r="K52" s="94"/>
      <c r="L52" s="94"/>
      <c r="M52" s="94"/>
      <c r="N52" s="94"/>
    </row>
    <row r="53" spans="2:14">
      <c r="B53" s="90"/>
      <c r="C53" s="91" t="s">
        <v>165</v>
      </c>
      <c r="D53" s="92"/>
      <c r="E53" s="92"/>
      <c r="F53" s="92"/>
      <c r="G53" s="93"/>
      <c r="H53" s="93"/>
      <c r="I53" s="94"/>
      <c r="J53" s="94"/>
      <c r="K53" s="94"/>
      <c r="L53" s="94"/>
      <c r="M53" s="94"/>
      <c r="N53" s="94">
        <f>N51+N52</f>
        <v>4307950</v>
      </c>
    </row>
    <row r="54" spans="2:14">
      <c r="C54" s="38"/>
      <c r="D54" s="39"/>
      <c r="E54" s="39"/>
      <c r="F54" s="39"/>
      <c r="G54" s="39"/>
      <c r="H54" s="39"/>
      <c r="I54" s="39" t="s">
        <v>63</v>
      </c>
      <c r="J54" s="39">
        <v>183669</v>
      </c>
      <c r="K54" s="39"/>
      <c r="L54" s="39"/>
      <c r="M54" s="39" t="s">
        <v>69</v>
      </c>
      <c r="N54" s="39" t="s">
        <v>78</v>
      </c>
    </row>
    <row r="55" spans="2:14" ht="30">
      <c r="B55" s="6"/>
      <c r="C55" s="20" t="s">
        <v>66</v>
      </c>
      <c r="D55" s="6"/>
      <c r="E55" s="6"/>
      <c r="F55" s="7"/>
      <c r="G55" s="21">
        <f>SUM(G56:G62)</f>
        <v>66610000</v>
      </c>
      <c r="H55" s="6"/>
      <c r="I55" s="21">
        <f t="shared" ref="I55:N55" si="3">SUM(I56:I58)</f>
        <v>2750828</v>
      </c>
      <c r="J55" s="21">
        <f t="shared" si="3"/>
        <v>0</v>
      </c>
      <c r="K55" s="21">
        <f t="shared" si="3"/>
        <v>0</v>
      </c>
      <c r="L55" s="21">
        <f t="shared" si="3"/>
        <v>0</v>
      </c>
      <c r="M55" s="21"/>
      <c r="N55" s="21">
        <f t="shared" si="3"/>
        <v>2750828</v>
      </c>
    </row>
    <row r="56" spans="2:14">
      <c r="B56" s="76" t="s">
        <v>131</v>
      </c>
      <c r="C56" s="5" t="s">
        <v>36</v>
      </c>
      <c r="D56" s="6"/>
      <c r="E56" s="6"/>
      <c r="F56" s="7"/>
      <c r="G56" s="15">
        <v>10282000</v>
      </c>
      <c r="H56" s="6"/>
      <c r="I56" s="21">
        <v>735354</v>
      </c>
      <c r="J56" s="6"/>
      <c r="K56" s="6"/>
      <c r="L56" s="6"/>
      <c r="M56" s="21"/>
      <c r="N56" s="21">
        <f>I56-M56</f>
        <v>735354</v>
      </c>
    </row>
    <row r="57" spans="2:14">
      <c r="B57" s="76" t="s">
        <v>131</v>
      </c>
      <c r="C57" s="5" t="s">
        <v>37</v>
      </c>
      <c r="D57" s="6"/>
      <c r="E57" s="6"/>
      <c r="F57" s="7"/>
      <c r="G57" s="15">
        <v>11933000</v>
      </c>
      <c r="H57" s="6"/>
      <c r="I57" s="21">
        <v>1259730</v>
      </c>
      <c r="J57" s="6"/>
      <c r="K57" s="6"/>
      <c r="L57" s="6"/>
      <c r="M57" s="21"/>
      <c r="N57" s="21">
        <f>I57-M57</f>
        <v>1259730</v>
      </c>
    </row>
    <row r="58" spans="2:14">
      <c r="B58" s="76" t="s">
        <v>131</v>
      </c>
      <c r="C58" s="5" t="s">
        <v>38</v>
      </c>
      <c r="D58" s="6"/>
      <c r="E58" s="6"/>
      <c r="F58" s="7"/>
      <c r="G58" s="15">
        <v>43773000</v>
      </c>
      <c r="H58" s="6"/>
      <c r="I58" s="21">
        <v>755744</v>
      </c>
      <c r="J58" s="6"/>
      <c r="K58" s="6"/>
      <c r="L58" s="6"/>
      <c r="M58" s="21"/>
      <c r="N58" s="21">
        <f>I58-M58</f>
        <v>755744</v>
      </c>
    </row>
    <row r="59" spans="2:14">
      <c r="B59" s="6"/>
      <c r="C59" s="5"/>
      <c r="D59" s="6"/>
      <c r="E59" s="6"/>
      <c r="F59" s="7"/>
      <c r="G59" s="15"/>
      <c r="H59" s="6"/>
      <c r="I59" s="21"/>
      <c r="J59" s="6"/>
      <c r="K59" s="6"/>
      <c r="L59" s="6"/>
      <c r="M59" s="21"/>
      <c r="N59" s="6"/>
    </row>
    <row r="60" spans="2:14">
      <c r="B60" s="6"/>
      <c r="C60" s="5"/>
      <c r="D60" s="6"/>
      <c r="E60" s="6"/>
      <c r="F60" s="7"/>
      <c r="G60" s="15"/>
      <c r="H60" s="6"/>
      <c r="I60" s="21"/>
      <c r="J60" s="6"/>
      <c r="K60" s="6"/>
      <c r="L60" s="6"/>
      <c r="M60" s="21"/>
      <c r="N60" s="6"/>
    </row>
    <row r="61" spans="2:14">
      <c r="B61" s="6"/>
      <c r="C61" s="74" t="s">
        <v>110</v>
      </c>
      <c r="D61" s="36"/>
      <c r="E61" s="36"/>
      <c r="F61" s="75"/>
      <c r="G61" s="75">
        <v>127000</v>
      </c>
      <c r="H61" s="36"/>
      <c r="I61" s="75">
        <f t="shared" ref="I61:N61" si="4">SUM(I62:I64)</f>
        <v>0</v>
      </c>
      <c r="J61" s="75">
        <f t="shared" si="4"/>
        <v>0</v>
      </c>
      <c r="K61" s="75">
        <f t="shared" si="4"/>
        <v>0</v>
      </c>
      <c r="L61" s="75">
        <f t="shared" si="4"/>
        <v>0</v>
      </c>
      <c r="M61" s="75">
        <f t="shared" si="4"/>
        <v>0</v>
      </c>
      <c r="N61" s="75">
        <f t="shared" si="4"/>
        <v>0</v>
      </c>
    </row>
    <row r="62" spans="2:14">
      <c r="B62" s="76"/>
      <c r="C62" s="5"/>
      <c r="D62" s="6"/>
      <c r="E62" s="6"/>
      <c r="F62" s="7"/>
      <c r="G62" s="15">
        <v>495000</v>
      </c>
      <c r="H62" s="6"/>
      <c r="I62" s="21"/>
      <c r="J62" s="6"/>
      <c r="K62" s="6"/>
      <c r="L62" s="6"/>
      <c r="M62" s="6"/>
      <c r="N62" s="6"/>
    </row>
    <row r="63" spans="2:14">
      <c r="B63" s="6"/>
      <c r="C63" s="5"/>
      <c r="D63" s="6"/>
      <c r="E63" s="6"/>
      <c r="F63" s="7"/>
      <c r="G63" s="15"/>
      <c r="H63" s="6"/>
      <c r="I63" s="21"/>
      <c r="J63" s="6"/>
      <c r="K63" s="6"/>
      <c r="L63" s="6"/>
      <c r="M63" s="6"/>
      <c r="N63" s="6"/>
    </row>
    <row r="64" spans="2:14">
      <c r="B64" s="6"/>
      <c r="C64" s="5"/>
      <c r="D64" s="6"/>
      <c r="E64" s="6"/>
      <c r="F64" s="7"/>
      <c r="G64" s="15"/>
      <c r="H64" s="6"/>
      <c r="I64" s="21"/>
      <c r="J64" s="6"/>
      <c r="K64" s="6"/>
      <c r="L64" s="6"/>
      <c r="M64" s="6"/>
      <c r="N64" s="6"/>
    </row>
    <row r="65" spans="2:14">
      <c r="B65" s="6"/>
      <c r="C65" s="74" t="s">
        <v>111</v>
      </c>
      <c r="D65" s="36"/>
      <c r="E65" s="36"/>
      <c r="F65" s="36"/>
      <c r="G65" s="36"/>
      <c r="H65" s="36"/>
      <c r="I65" s="75">
        <f t="shared" ref="I65:N65" si="5">SUM(I66:I68)</f>
        <v>0</v>
      </c>
      <c r="J65" s="75">
        <f t="shared" si="5"/>
        <v>0</v>
      </c>
      <c r="K65" s="75">
        <f t="shared" si="5"/>
        <v>0</v>
      </c>
      <c r="L65" s="75">
        <f t="shared" si="5"/>
        <v>0</v>
      </c>
      <c r="M65" s="75">
        <f t="shared" si="5"/>
        <v>0</v>
      </c>
      <c r="N65" s="75">
        <f t="shared" si="5"/>
        <v>0</v>
      </c>
    </row>
    <row r="66" spans="2:14">
      <c r="B66" s="76"/>
      <c r="C66" s="5"/>
      <c r="D66" s="6"/>
      <c r="E66" s="6"/>
      <c r="F66" s="6"/>
      <c r="G66" s="6"/>
      <c r="H66" s="6"/>
      <c r="I66" s="21"/>
      <c r="J66" s="6"/>
      <c r="K66" s="6"/>
      <c r="L66" s="6"/>
      <c r="M66" s="6"/>
      <c r="N66" s="6"/>
    </row>
    <row r="67" spans="2:14">
      <c r="B67" s="6"/>
      <c r="C67" s="5"/>
      <c r="D67" s="6"/>
      <c r="E67" s="6"/>
      <c r="F67" s="6"/>
      <c r="G67" s="6"/>
      <c r="H67" s="6"/>
      <c r="I67" s="21"/>
      <c r="J67" s="6"/>
      <c r="K67" s="6"/>
      <c r="L67" s="6"/>
      <c r="M67" s="6"/>
      <c r="N67" s="6"/>
    </row>
    <row r="68" spans="2:14">
      <c r="B68" s="6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>
      <c r="B69" s="6"/>
      <c r="C69" s="11" t="s">
        <v>77</v>
      </c>
      <c r="D69" s="12"/>
      <c r="E69" s="12"/>
      <c r="F69" s="12"/>
      <c r="G69" s="12"/>
      <c r="H69" s="12"/>
      <c r="I69" s="13">
        <f t="shared" ref="I69:N69" si="6">I51+I55+I61+I65</f>
        <v>18383953</v>
      </c>
      <c r="J69" s="13">
        <f t="shared" si="6"/>
        <v>7438587.7616666676</v>
      </c>
      <c r="K69" s="13">
        <f t="shared" si="6"/>
        <v>9355535.2116666678</v>
      </c>
      <c r="L69" s="13">
        <f t="shared" si="6"/>
        <v>13808765.483333334</v>
      </c>
      <c r="M69" s="13">
        <f t="shared" si="6"/>
        <v>11325175</v>
      </c>
      <c r="N69" s="13">
        <f t="shared" si="6"/>
        <v>7058778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9"/>
  <sheetViews>
    <sheetView topLeftCell="A47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83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4593033</v>
      </c>
      <c r="J19" s="31"/>
      <c r="K19" s="31"/>
      <c r="L19" s="31"/>
      <c r="M19" s="31">
        <v>4593033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536667</v>
      </c>
      <c r="J27" s="31"/>
      <c r="K27" s="31"/>
      <c r="L27" s="31"/>
      <c r="M27" s="31">
        <v>536667</v>
      </c>
      <c r="N27" s="34">
        <f>I27-M27</f>
        <v>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>
        <v>1200031</v>
      </c>
      <c r="N42" s="34">
        <f>I42-M42</f>
        <v>706651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15203208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11396156</v>
      </c>
      <c r="N47" s="27">
        <f t="shared" si="0"/>
        <v>3807052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15203208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11396156</v>
      </c>
      <c r="N48" s="13">
        <f t="shared" si="1"/>
        <v>3807052</v>
      </c>
    </row>
    <row r="49" spans="2:14">
      <c r="B49" s="35"/>
      <c r="C49" s="5" t="s">
        <v>163</v>
      </c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7">
        <f>I49-M49</f>
        <v>0</v>
      </c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183642</v>
      </c>
      <c r="J50" s="6">
        <v>538253</v>
      </c>
      <c r="K50" s="6">
        <v>353187</v>
      </c>
      <c r="L50" s="6"/>
      <c r="M50" s="6"/>
      <c r="N50" s="6">
        <f>I50-M50</f>
        <v>183642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 t="shared" ref="I51:N51" si="2">I48+I50+I49</f>
        <v>15386850</v>
      </c>
      <c r="J51" s="29">
        <f t="shared" si="2"/>
        <v>7438587.7616666676</v>
      </c>
      <c r="K51" s="29">
        <f t="shared" si="2"/>
        <v>9355535.2116666678</v>
      </c>
      <c r="L51" s="29">
        <f t="shared" si="2"/>
        <v>13808765.483333334</v>
      </c>
      <c r="M51" s="29">
        <f t="shared" si="2"/>
        <v>11396156</v>
      </c>
      <c r="N51" s="29">
        <f t="shared" si="2"/>
        <v>3990694</v>
      </c>
    </row>
    <row r="52" spans="2:14">
      <c r="B52" s="90"/>
      <c r="C52" s="91" t="s">
        <v>164</v>
      </c>
      <c r="D52" s="92"/>
      <c r="E52" s="92"/>
      <c r="F52" s="92"/>
      <c r="G52" s="93"/>
      <c r="H52" s="93"/>
      <c r="I52" s="94"/>
      <c r="J52" s="94"/>
      <c r="K52" s="94"/>
      <c r="L52" s="94"/>
      <c r="M52" s="94"/>
      <c r="N52" s="94"/>
    </row>
    <row r="53" spans="2:14">
      <c r="B53" s="90"/>
      <c r="C53" s="91" t="s">
        <v>165</v>
      </c>
      <c r="D53" s="92"/>
      <c r="E53" s="92"/>
      <c r="F53" s="92"/>
      <c r="G53" s="93"/>
      <c r="H53" s="93"/>
      <c r="I53" s="94"/>
      <c r="J53" s="94"/>
      <c r="K53" s="94"/>
      <c r="L53" s="94"/>
      <c r="M53" s="94"/>
      <c r="N53" s="94">
        <f>N51+N52</f>
        <v>3990694</v>
      </c>
    </row>
    <row r="54" spans="2:14">
      <c r="C54" s="38"/>
      <c r="D54" s="39"/>
      <c r="E54" s="39"/>
      <c r="F54" s="39"/>
      <c r="G54" s="39"/>
      <c r="H54" s="39"/>
      <c r="I54" s="39" t="s">
        <v>63</v>
      </c>
      <c r="J54" s="39">
        <v>183669</v>
      </c>
      <c r="K54" s="39"/>
      <c r="L54" s="39"/>
      <c r="M54" s="39" t="s">
        <v>69</v>
      </c>
      <c r="N54" s="39" t="s">
        <v>78</v>
      </c>
    </row>
    <row r="55" spans="2:14" ht="30">
      <c r="B55" s="6"/>
      <c r="C55" s="20" t="s">
        <v>66</v>
      </c>
      <c r="D55" s="6"/>
      <c r="E55" s="6"/>
      <c r="F55" s="7"/>
      <c r="G55" s="21">
        <f>SUM(G56:G62)</f>
        <v>66610000</v>
      </c>
      <c r="H55" s="6"/>
      <c r="I55" s="21">
        <f t="shared" ref="I55:N55" si="3">SUM(I56:I58)</f>
        <v>0</v>
      </c>
      <c r="J55" s="21">
        <f t="shared" si="3"/>
        <v>0</v>
      </c>
      <c r="K55" s="21">
        <f t="shared" si="3"/>
        <v>0</v>
      </c>
      <c r="L55" s="21">
        <f t="shared" si="3"/>
        <v>0</v>
      </c>
      <c r="M55" s="21"/>
      <c r="N55" s="21">
        <f t="shared" si="3"/>
        <v>0</v>
      </c>
    </row>
    <row r="56" spans="2:14">
      <c r="B56" s="76" t="s">
        <v>145</v>
      </c>
      <c r="C56" s="5" t="s">
        <v>36</v>
      </c>
      <c r="D56" s="6"/>
      <c r="E56" s="6"/>
      <c r="F56" s="7"/>
      <c r="G56" s="15">
        <v>10282000</v>
      </c>
      <c r="H56" s="6"/>
      <c r="I56" s="21"/>
      <c r="J56" s="6"/>
      <c r="K56" s="6"/>
      <c r="L56" s="6"/>
      <c r="M56" s="21"/>
      <c r="N56" s="21">
        <f>I56-M56</f>
        <v>0</v>
      </c>
    </row>
    <row r="57" spans="2:14">
      <c r="B57" s="76" t="s">
        <v>145</v>
      </c>
      <c r="C57" s="5" t="s">
        <v>37</v>
      </c>
      <c r="D57" s="6"/>
      <c r="E57" s="6"/>
      <c r="F57" s="7"/>
      <c r="G57" s="15">
        <v>11933000</v>
      </c>
      <c r="H57" s="6"/>
      <c r="I57" s="21"/>
      <c r="J57" s="6"/>
      <c r="K57" s="6"/>
      <c r="L57" s="6"/>
      <c r="M57" s="21"/>
      <c r="N57" s="21">
        <f>I57-M57</f>
        <v>0</v>
      </c>
    </row>
    <row r="58" spans="2:14">
      <c r="B58" s="76" t="s">
        <v>145</v>
      </c>
      <c r="C58" s="5" t="s">
        <v>38</v>
      </c>
      <c r="D58" s="6"/>
      <c r="E58" s="6"/>
      <c r="F58" s="7"/>
      <c r="G58" s="15">
        <v>43773000</v>
      </c>
      <c r="H58" s="6"/>
      <c r="I58" s="21"/>
      <c r="J58" s="6"/>
      <c r="K58" s="6"/>
      <c r="L58" s="6"/>
      <c r="M58" s="21"/>
      <c r="N58" s="21">
        <f>I58-M58</f>
        <v>0</v>
      </c>
    </row>
    <row r="59" spans="2:14">
      <c r="B59" s="6"/>
      <c r="C59" s="5"/>
      <c r="D59" s="6"/>
      <c r="E59" s="6"/>
      <c r="F59" s="7"/>
      <c r="G59" s="15"/>
      <c r="H59" s="6"/>
      <c r="I59" s="21"/>
      <c r="J59" s="6"/>
      <c r="K59" s="6"/>
      <c r="L59" s="6"/>
      <c r="M59" s="21"/>
      <c r="N59" s="6"/>
    </row>
    <row r="60" spans="2:14">
      <c r="B60" s="6"/>
      <c r="C60" s="5"/>
      <c r="D60" s="6"/>
      <c r="E60" s="6"/>
      <c r="F60" s="7"/>
      <c r="G60" s="15"/>
      <c r="H60" s="6"/>
      <c r="I60" s="21"/>
      <c r="J60" s="6"/>
      <c r="K60" s="6"/>
      <c r="L60" s="6"/>
      <c r="M60" s="21"/>
      <c r="N60" s="6"/>
    </row>
    <row r="61" spans="2:14">
      <c r="B61" s="6"/>
      <c r="C61" s="74" t="s">
        <v>110</v>
      </c>
      <c r="D61" s="36"/>
      <c r="E61" s="36"/>
      <c r="F61" s="75"/>
      <c r="G61" s="75">
        <v>127000</v>
      </c>
      <c r="H61" s="36"/>
      <c r="I61" s="75">
        <f t="shared" ref="I61:N61" si="4">SUM(I62:I64)</f>
        <v>0</v>
      </c>
      <c r="J61" s="75">
        <f t="shared" si="4"/>
        <v>0</v>
      </c>
      <c r="K61" s="75">
        <f t="shared" si="4"/>
        <v>0</v>
      </c>
      <c r="L61" s="75">
        <f t="shared" si="4"/>
        <v>0</v>
      </c>
      <c r="M61" s="75">
        <f t="shared" si="4"/>
        <v>0</v>
      </c>
      <c r="N61" s="75">
        <f t="shared" si="4"/>
        <v>0</v>
      </c>
    </row>
    <row r="62" spans="2:14">
      <c r="B62" s="76" t="s">
        <v>146</v>
      </c>
      <c r="C62" s="5"/>
      <c r="D62" s="6"/>
      <c r="E62" s="6"/>
      <c r="F62" s="7"/>
      <c r="G62" s="15">
        <v>495000</v>
      </c>
      <c r="H62" s="6"/>
      <c r="I62" s="21"/>
      <c r="J62" s="6"/>
      <c r="K62" s="6"/>
      <c r="L62" s="6"/>
      <c r="M62" s="6"/>
      <c r="N62" s="6"/>
    </row>
    <row r="63" spans="2:14">
      <c r="B63" s="6"/>
      <c r="C63" s="5"/>
      <c r="D63" s="6"/>
      <c r="E63" s="6"/>
      <c r="F63" s="7"/>
      <c r="G63" s="15"/>
      <c r="H63" s="6"/>
      <c r="I63" s="21"/>
      <c r="J63" s="6"/>
      <c r="K63" s="6"/>
      <c r="L63" s="6"/>
      <c r="M63" s="6"/>
      <c r="N63" s="6"/>
    </row>
    <row r="64" spans="2:14">
      <c r="B64" s="6"/>
      <c r="C64" s="5"/>
      <c r="D64" s="6"/>
      <c r="E64" s="6"/>
      <c r="F64" s="7"/>
      <c r="G64" s="15"/>
      <c r="H64" s="6"/>
      <c r="I64" s="21"/>
      <c r="J64" s="6"/>
      <c r="K64" s="6"/>
      <c r="L64" s="6"/>
      <c r="M64" s="6"/>
      <c r="N64" s="6"/>
    </row>
    <row r="65" spans="2:14">
      <c r="B65" s="6"/>
      <c r="C65" s="74" t="s">
        <v>111</v>
      </c>
      <c r="D65" s="36"/>
      <c r="E65" s="36"/>
      <c r="F65" s="36"/>
      <c r="G65" s="36"/>
      <c r="H65" s="36"/>
      <c r="I65" s="75">
        <f t="shared" ref="I65:N65" si="5">SUM(I66:I68)</f>
        <v>0</v>
      </c>
      <c r="J65" s="75">
        <f t="shared" si="5"/>
        <v>0</v>
      </c>
      <c r="K65" s="75">
        <f t="shared" si="5"/>
        <v>0</v>
      </c>
      <c r="L65" s="75">
        <f t="shared" si="5"/>
        <v>0</v>
      </c>
      <c r="M65" s="75">
        <f t="shared" si="5"/>
        <v>0</v>
      </c>
      <c r="N65" s="75">
        <f t="shared" si="5"/>
        <v>0</v>
      </c>
    </row>
    <row r="66" spans="2:14">
      <c r="B66" s="76"/>
      <c r="C66" s="5"/>
      <c r="D66" s="6"/>
      <c r="E66" s="6"/>
      <c r="F66" s="6"/>
      <c r="G66" s="6"/>
      <c r="H66" s="6"/>
      <c r="I66" s="21"/>
      <c r="J66" s="6"/>
      <c r="K66" s="6"/>
      <c r="L66" s="6"/>
      <c r="M66" s="6"/>
      <c r="N66" s="6"/>
    </row>
    <row r="67" spans="2:14">
      <c r="B67" s="6"/>
      <c r="C67" s="5"/>
      <c r="D67" s="6"/>
      <c r="E67" s="6"/>
      <c r="F67" s="6"/>
      <c r="G67" s="6"/>
      <c r="H67" s="6"/>
      <c r="I67" s="21"/>
      <c r="J67" s="6"/>
      <c r="K67" s="6"/>
      <c r="L67" s="6"/>
      <c r="M67" s="6"/>
      <c r="N67" s="6"/>
    </row>
    <row r="68" spans="2:14">
      <c r="B68" s="6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>
      <c r="B69" s="6"/>
      <c r="C69" s="11" t="s">
        <v>77</v>
      </c>
      <c r="D69" s="12"/>
      <c r="E69" s="12"/>
      <c r="F69" s="12"/>
      <c r="G69" s="12"/>
      <c r="H69" s="12"/>
      <c r="I69" s="13">
        <f t="shared" ref="I69:N69" si="6">I51+I55+I61+I65</f>
        <v>15386850</v>
      </c>
      <c r="J69" s="13">
        <f t="shared" si="6"/>
        <v>7438587.7616666676</v>
      </c>
      <c r="K69" s="13">
        <f t="shared" si="6"/>
        <v>9355535.2116666678</v>
      </c>
      <c r="L69" s="13">
        <f t="shared" si="6"/>
        <v>13808765.483333334</v>
      </c>
      <c r="M69" s="13">
        <f t="shared" si="6"/>
        <v>11396156</v>
      </c>
      <c r="N69" s="13">
        <f t="shared" si="6"/>
        <v>3990694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69"/>
  <sheetViews>
    <sheetView topLeftCell="A47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99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4704259</v>
      </c>
      <c r="J19" s="31"/>
      <c r="K19" s="31"/>
      <c r="L19" s="31"/>
      <c r="M19" s="31">
        <v>4704259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536667</v>
      </c>
      <c r="J27" s="31"/>
      <c r="K27" s="31"/>
      <c r="L27" s="31"/>
      <c r="M27" s="31">
        <v>536667</v>
      </c>
      <c r="N27" s="34">
        <f>I27-M27</f>
        <v>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>
        <v>1906682</v>
      </c>
      <c r="N42" s="34">
        <f>I42-M42</f>
        <v>0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>
        <v>1615110</v>
      </c>
      <c r="N43" s="34">
        <f>I43-M43</f>
        <v>1220902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15314434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13829143</v>
      </c>
      <c r="N47" s="27">
        <f t="shared" si="0"/>
        <v>1485291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15314434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13829143</v>
      </c>
      <c r="N48" s="13">
        <f t="shared" si="1"/>
        <v>1485291</v>
      </c>
    </row>
    <row r="49" spans="2:14">
      <c r="B49" s="35"/>
      <c r="C49" s="5" t="s">
        <v>163</v>
      </c>
      <c r="D49" s="6"/>
      <c r="E49" s="6"/>
      <c r="F49" s="6"/>
      <c r="G49" s="13">
        <f>G35</f>
        <v>66610000</v>
      </c>
      <c r="H49" s="13">
        <f>H35</f>
        <v>0</v>
      </c>
      <c r="I49" s="13">
        <v>641</v>
      </c>
      <c r="J49" s="6"/>
      <c r="K49" s="6"/>
      <c r="L49" s="6"/>
      <c r="M49" s="6"/>
      <c r="N49" s="7">
        <f>I49-M49</f>
        <v>641</v>
      </c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175641</v>
      </c>
      <c r="J50" s="6">
        <v>538253</v>
      </c>
      <c r="K50" s="6">
        <v>353187</v>
      </c>
      <c r="L50" s="6"/>
      <c r="M50" s="6"/>
      <c r="N50" s="6">
        <f>I50-M50</f>
        <v>175641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 t="shared" ref="I51:N51" si="2">I48+I50+I49</f>
        <v>15490716</v>
      </c>
      <c r="J51" s="29">
        <f t="shared" si="2"/>
        <v>7438587.7616666676</v>
      </c>
      <c r="K51" s="29">
        <f t="shared" si="2"/>
        <v>9355535.2116666678</v>
      </c>
      <c r="L51" s="29">
        <f t="shared" si="2"/>
        <v>13808765.483333334</v>
      </c>
      <c r="M51" s="29">
        <f t="shared" si="2"/>
        <v>13829143</v>
      </c>
      <c r="N51" s="29">
        <f t="shared" si="2"/>
        <v>1661573</v>
      </c>
    </row>
    <row r="52" spans="2:14">
      <c r="B52" s="90"/>
      <c r="C52" s="91" t="s">
        <v>164</v>
      </c>
      <c r="D52" s="92"/>
      <c r="E52" s="92"/>
      <c r="F52" s="92"/>
      <c r="G52" s="93"/>
      <c r="H52" s="93"/>
      <c r="I52" s="94"/>
      <c r="J52" s="94"/>
      <c r="K52" s="94"/>
      <c r="L52" s="94"/>
      <c r="M52" s="94"/>
      <c r="N52" s="94"/>
    </row>
    <row r="53" spans="2:14">
      <c r="B53" s="90"/>
      <c r="C53" s="91" t="s">
        <v>165</v>
      </c>
      <c r="D53" s="92"/>
      <c r="E53" s="92"/>
      <c r="F53" s="92"/>
      <c r="G53" s="93"/>
      <c r="H53" s="93"/>
      <c r="I53" s="94"/>
      <c r="J53" s="94"/>
      <c r="K53" s="94"/>
      <c r="L53" s="94"/>
      <c r="M53" s="94"/>
      <c r="N53" s="94">
        <f>N51+N52</f>
        <v>1661573</v>
      </c>
    </row>
    <row r="54" spans="2:14">
      <c r="C54" s="38"/>
      <c r="D54" s="39"/>
      <c r="E54" s="39"/>
      <c r="F54" s="39"/>
      <c r="G54" s="39"/>
      <c r="H54" s="39"/>
      <c r="I54" s="39" t="s">
        <v>63</v>
      </c>
      <c r="J54" s="39">
        <v>183669</v>
      </c>
      <c r="K54" s="39"/>
      <c r="L54" s="39"/>
      <c r="M54" s="39" t="s">
        <v>69</v>
      </c>
      <c r="N54" s="39" t="s">
        <v>78</v>
      </c>
    </row>
    <row r="55" spans="2:14" ht="30">
      <c r="B55" s="6"/>
      <c r="C55" s="20" t="s">
        <v>66</v>
      </c>
      <c r="D55" s="6"/>
      <c r="E55" s="6"/>
      <c r="F55" s="7"/>
      <c r="G55" s="21">
        <f>SUM(G56:G62)</f>
        <v>66610000</v>
      </c>
      <c r="H55" s="6"/>
      <c r="I55" s="21">
        <f t="shared" ref="I55:N55" si="3">SUM(I56:I58)</f>
        <v>2619214</v>
      </c>
      <c r="J55" s="21">
        <f t="shared" si="3"/>
        <v>0</v>
      </c>
      <c r="K55" s="21">
        <f t="shared" si="3"/>
        <v>0</v>
      </c>
      <c r="L55" s="21">
        <f t="shared" si="3"/>
        <v>0</v>
      </c>
      <c r="M55" s="21"/>
      <c r="N55" s="21">
        <f t="shared" si="3"/>
        <v>2619214</v>
      </c>
    </row>
    <row r="56" spans="2:14">
      <c r="B56" s="76" t="s">
        <v>145</v>
      </c>
      <c r="C56" s="5" t="s">
        <v>36</v>
      </c>
      <c r="D56" s="6"/>
      <c r="E56" s="6"/>
      <c r="F56" s="7"/>
      <c r="G56" s="15">
        <v>10282000</v>
      </c>
      <c r="H56" s="6"/>
      <c r="I56" s="21">
        <v>735354</v>
      </c>
      <c r="J56" s="6"/>
      <c r="K56" s="6"/>
      <c r="L56" s="6"/>
      <c r="M56" s="21"/>
      <c r="N56" s="21">
        <f>I56-M56</f>
        <v>735354</v>
      </c>
    </row>
    <row r="57" spans="2:14">
      <c r="B57" s="76" t="s">
        <v>145</v>
      </c>
      <c r="C57" s="5" t="s">
        <v>37</v>
      </c>
      <c r="D57" s="6"/>
      <c r="E57" s="6"/>
      <c r="F57" s="7"/>
      <c r="G57" s="15">
        <v>11933000</v>
      </c>
      <c r="H57" s="6"/>
      <c r="I57" s="21">
        <v>960660</v>
      </c>
      <c r="J57" s="6"/>
      <c r="K57" s="6"/>
      <c r="L57" s="6"/>
      <c r="M57" s="21"/>
      <c r="N57" s="21">
        <f>I57-M57</f>
        <v>960660</v>
      </c>
    </row>
    <row r="58" spans="2:14">
      <c r="B58" s="76" t="s">
        <v>145</v>
      </c>
      <c r="C58" s="5" t="s">
        <v>38</v>
      </c>
      <c r="D58" s="6"/>
      <c r="E58" s="6"/>
      <c r="F58" s="7"/>
      <c r="G58" s="15">
        <v>43773000</v>
      </c>
      <c r="H58" s="6"/>
      <c r="I58" s="21">
        <v>923200</v>
      </c>
      <c r="J58" s="6"/>
      <c r="K58" s="6"/>
      <c r="L58" s="6"/>
      <c r="M58" s="21"/>
      <c r="N58" s="21">
        <f>I58-M58</f>
        <v>923200</v>
      </c>
    </row>
    <row r="59" spans="2:14">
      <c r="B59" s="6"/>
      <c r="C59" s="5"/>
      <c r="D59" s="6"/>
      <c r="E59" s="6"/>
      <c r="F59" s="7"/>
      <c r="G59" s="15"/>
      <c r="H59" s="6"/>
      <c r="I59" s="21"/>
      <c r="J59" s="6"/>
      <c r="K59" s="6"/>
      <c r="L59" s="6"/>
      <c r="M59" s="21"/>
      <c r="N59" s="6"/>
    </row>
    <row r="60" spans="2:14">
      <c r="B60" s="6"/>
      <c r="C60" s="5"/>
      <c r="D60" s="6"/>
      <c r="E60" s="6"/>
      <c r="F60" s="7"/>
      <c r="G60" s="15"/>
      <c r="H60" s="6"/>
      <c r="I60" s="21"/>
      <c r="J60" s="6"/>
      <c r="K60" s="6"/>
      <c r="L60" s="6"/>
      <c r="M60" s="21"/>
      <c r="N60" s="6"/>
    </row>
    <row r="61" spans="2:14">
      <c r="B61" s="6"/>
      <c r="C61" s="74" t="s">
        <v>110</v>
      </c>
      <c r="D61" s="36"/>
      <c r="E61" s="36"/>
      <c r="F61" s="75"/>
      <c r="G61" s="75">
        <v>127000</v>
      </c>
      <c r="H61" s="36"/>
      <c r="I61" s="75">
        <f t="shared" ref="I61:N61" si="4">SUM(I62:I64)</f>
        <v>0</v>
      </c>
      <c r="J61" s="75">
        <f t="shared" si="4"/>
        <v>0</v>
      </c>
      <c r="K61" s="75">
        <f t="shared" si="4"/>
        <v>0</v>
      </c>
      <c r="L61" s="75">
        <f t="shared" si="4"/>
        <v>0</v>
      </c>
      <c r="M61" s="75">
        <f t="shared" si="4"/>
        <v>0</v>
      </c>
      <c r="N61" s="75">
        <f t="shared" si="4"/>
        <v>0</v>
      </c>
    </row>
    <row r="62" spans="2:14">
      <c r="B62" s="76" t="s">
        <v>146</v>
      </c>
      <c r="C62" s="5"/>
      <c r="D62" s="6"/>
      <c r="E62" s="6"/>
      <c r="F62" s="7"/>
      <c r="G62" s="15">
        <v>495000</v>
      </c>
      <c r="H62" s="6"/>
      <c r="I62" s="21"/>
      <c r="J62" s="6"/>
      <c r="K62" s="6"/>
      <c r="L62" s="6"/>
      <c r="M62" s="6"/>
      <c r="N62" s="6"/>
    </row>
    <row r="63" spans="2:14">
      <c r="B63" s="6"/>
      <c r="C63" s="5"/>
      <c r="D63" s="6"/>
      <c r="E63" s="6"/>
      <c r="F63" s="7"/>
      <c r="G63" s="15"/>
      <c r="H63" s="6"/>
      <c r="I63" s="21"/>
      <c r="J63" s="6"/>
      <c r="K63" s="6"/>
      <c r="L63" s="6"/>
      <c r="M63" s="6"/>
      <c r="N63" s="6"/>
    </row>
    <row r="64" spans="2:14">
      <c r="B64" s="6"/>
      <c r="C64" s="5"/>
      <c r="D64" s="6"/>
      <c r="E64" s="6"/>
      <c r="F64" s="7"/>
      <c r="G64" s="15"/>
      <c r="H64" s="6"/>
      <c r="I64" s="21"/>
      <c r="J64" s="6"/>
      <c r="K64" s="6"/>
      <c r="L64" s="6"/>
      <c r="M64" s="6"/>
      <c r="N64" s="6"/>
    </row>
    <row r="65" spans="2:14">
      <c r="B65" s="6"/>
      <c r="C65" s="74" t="s">
        <v>111</v>
      </c>
      <c r="D65" s="36"/>
      <c r="E65" s="36"/>
      <c r="F65" s="36"/>
      <c r="G65" s="36"/>
      <c r="H65" s="36"/>
      <c r="I65" s="75">
        <f t="shared" ref="I65:N65" si="5">SUM(I66:I68)</f>
        <v>0</v>
      </c>
      <c r="J65" s="75">
        <f t="shared" si="5"/>
        <v>0</v>
      </c>
      <c r="K65" s="75">
        <f t="shared" si="5"/>
        <v>0</v>
      </c>
      <c r="L65" s="75">
        <f t="shared" si="5"/>
        <v>0</v>
      </c>
      <c r="M65" s="75">
        <f t="shared" si="5"/>
        <v>0</v>
      </c>
      <c r="N65" s="75">
        <f t="shared" si="5"/>
        <v>0</v>
      </c>
    </row>
    <row r="66" spans="2:14">
      <c r="B66" s="76"/>
      <c r="C66" s="5"/>
      <c r="D66" s="6"/>
      <c r="E66" s="6"/>
      <c r="F66" s="6"/>
      <c r="G66" s="6"/>
      <c r="H66" s="6"/>
      <c r="I66" s="21"/>
      <c r="J66" s="6"/>
      <c r="K66" s="6"/>
      <c r="L66" s="6"/>
      <c r="M66" s="6"/>
      <c r="N66" s="6"/>
    </row>
    <row r="67" spans="2:14">
      <c r="B67" s="6"/>
      <c r="C67" s="5"/>
      <c r="D67" s="6"/>
      <c r="E67" s="6"/>
      <c r="F67" s="6"/>
      <c r="G67" s="6"/>
      <c r="H67" s="6"/>
      <c r="I67" s="21"/>
      <c r="J67" s="6"/>
      <c r="K67" s="6"/>
      <c r="L67" s="6"/>
      <c r="M67" s="6"/>
      <c r="N67" s="6"/>
    </row>
    <row r="68" spans="2:14">
      <c r="B68" s="6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>
      <c r="B69" s="6"/>
      <c r="C69" s="11" t="s">
        <v>77</v>
      </c>
      <c r="D69" s="12"/>
      <c r="E69" s="12"/>
      <c r="F69" s="12"/>
      <c r="G69" s="12"/>
      <c r="H69" s="12"/>
      <c r="I69" s="13">
        <f t="shared" ref="I69:N69" si="6">I51+I55+I61+I65</f>
        <v>18109930</v>
      </c>
      <c r="J69" s="13">
        <f t="shared" si="6"/>
        <v>7438587.7616666676</v>
      </c>
      <c r="K69" s="13">
        <f t="shared" si="6"/>
        <v>9355535.2116666678</v>
      </c>
      <c r="L69" s="13">
        <f t="shared" si="6"/>
        <v>13808765.483333334</v>
      </c>
      <c r="M69" s="13">
        <f t="shared" si="6"/>
        <v>13829143</v>
      </c>
      <c r="N69" s="13">
        <f t="shared" si="6"/>
        <v>4280787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82"/>
  <sheetViews>
    <sheetView workbookViewId="0">
      <selection activeCell="J88" sqref="J88"/>
    </sheetView>
  </sheetViews>
  <sheetFormatPr defaultRowHeight="15"/>
  <cols>
    <col min="1" max="1" width="4.7109375" style="1" customWidth="1"/>
    <col min="2" max="2" width="28.140625" style="2" customWidth="1"/>
    <col min="3" max="3" width="7.28515625" style="1" hidden="1" customWidth="1"/>
    <col min="4" max="4" width="5" style="1" hidden="1" customWidth="1"/>
    <col min="5" max="5" width="9.28515625" style="1" hidden="1" customWidth="1"/>
    <col min="6" max="6" width="6.5703125" style="1" customWidth="1"/>
    <col min="7" max="7" width="3.28515625" style="1" customWidth="1"/>
    <col min="8" max="8" width="8.85546875" style="1" customWidth="1"/>
    <col min="9" max="9" width="8.140625" style="1" customWidth="1"/>
    <col min="10" max="10" width="9.85546875" style="1" customWidth="1"/>
    <col min="11" max="11" width="9.7109375" style="1" customWidth="1"/>
    <col min="12" max="12" width="9.28515625" style="1" customWidth="1"/>
    <col min="13" max="13" width="8.42578125" style="1" customWidth="1"/>
    <col min="14" max="14" width="9.28515625" style="1" customWidth="1"/>
    <col min="15" max="15" width="10.28515625" style="1" customWidth="1"/>
    <col min="16" max="17" width="8.140625" style="1" customWidth="1"/>
    <col min="18" max="18" width="9.140625" style="1" customWidth="1"/>
    <col min="19" max="19" width="9.5703125" style="1" customWidth="1"/>
    <col min="20" max="20" width="11.140625" style="1" customWidth="1"/>
    <col min="21" max="21" width="11" style="1" customWidth="1"/>
    <col min="22" max="22" width="11.85546875" style="1" customWidth="1"/>
    <col min="23" max="23" width="11.140625" style="1" customWidth="1"/>
    <col min="24" max="16384" width="9.140625" style="1"/>
  </cols>
  <sheetData>
    <row r="1" spans="1:23" ht="25.5" customHeight="1">
      <c r="A1" s="1" t="s">
        <v>18</v>
      </c>
      <c r="B1" s="113" t="s">
        <v>107</v>
      </c>
      <c r="C1" s="114"/>
      <c r="D1" s="114"/>
      <c r="E1" s="114"/>
      <c r="F1" s="114"/>
      <c r="H1" s="68">
        <v>0.08</v>
      </c>
      <c r="I1" s="68">
        <v>0.08</v>
      </c>
      <c r="J1" s="68">
        <v>0.08</v>
      </c>
      <c r="L1" s="68">
        <v>0.08</v>
      </c>
    </row>
    <row r="2" spans="1:23" ht="38.25" customHeight="1">
      <c r="B2" s="3" t="s">
        <v>0</v>
      </c>
      <c r="C2" s="4" t="s">
        <v>11</v>
      </c>
      <c r="D2" s="4" t="s">
        <v>12</v>
      </c>
      <c r="E2" s="4" t="s">
        <v>13</v>
      </c>
      <c r="F2" s="4" t="s">
        <v>148</v>
      </c>
      <c r="G2" s="6" t="s">
        <v>108</v>
      </c>
      <c r="H2" s="6" t="s">
        <v>89</v>
      </c>
      <c r="I2" s="6" t="s">
        <v>90</v>
      </c>
      <c r="J2" s="6" t="s">
        <v>149</v>
      </c>
      <c r="K2" s="43" t="s">
        <v>60</v>
      </c>
      <c r="L2" s="6" t="s">
        <v>86</v>
      </c>
      <c r="M2" s="6" t="s">
        <v>88</v>
      </c>
      <c r="N2" s="6" t="s">
        <v>87</v>
      </c>
      <c r="O2" s="44" t="s">
        <v>81</v>
      </c>
      <c r="P2" s="35" t="s">
        <v>82</v>
      </c>
      <c r="Q2" s="35" t="s">
        <v>80</v>
      </c>
      <c r="R2" s="35" t="s">
        <v>83</v>
      </c>
      <c r="S2" s="43" t="s">
        <v>84</v>
      </c>
      <c r="T2" s="35" t="s">
        <v>99</v>
      </c>
      <c r="U2" s="35" t="s">
        <v>100</v>
      </c>
      <c r="V2" s="6" t="s">
        <v>101</v>
      </c>
      <c r="W2" s="11" t="s">
        <v>102</v>
      </c>
    </row>
    <row r="3" spans="1:23" hidden="1">
      <c r="B3" s="5"/>
      <c r="C3" s="6"/>
      <c r="D3" s="6"/>
      <c r="E3" s="6"/>
      <c r="F3" s="6"/>
      <c r="G3" s="6"/>
      <c r="H3" s="47"/>
      <c r="I3" s="47"/>
      <c r="J3" s="47"/>
      <c r="K3" s="43"/>
      <c r="L3" s="47"/>
      <c r="M3" s="47" t="s">
        <v>91</v>
      </c>
      <c r="N3" s="47" t="s">
        <v>91</v>
      </c>
      <c r="O3" s="47"/>
      <c r="P3" s="47" t="s">
        <v>92</v>
      </c>
      <c r="Q3" s="47" t="s">
        <v>91</v>
      </c>
      <c r="R3" s="47" t="s">
        <v>91</v>
      </c>
      <c r="S3" s="47" t="s">
        <v>85</v>
      </c>
      <c r="T3" s="47" t="s">
        <v>92</v>
      </c>
      <c r="U3" s="47" t="s">
        <v>91</v>
      </c>
      <c r="V3" s="47" t="s">
        <v>91</v>
      </c>
      <c r="W3" s="47"/>
    </row>
    <row r="4" spans="1:23" ht="45" hidden="1">
      <c r="A4" s="16" t="s">
        <v>19</v>
      </c>
      <c r="B4" s="17" t="s">
        <v>44</v>
      </c>
      <c r="C4" s="6"/>
      <c r="D4" s="6"/>
      <c r="E4" s="7"/>
      <c r="F4" s="8">
        <f>F7+F8+F13+F14</f>
        <v>63330307</v>
      </c>
      <c r="G4" s="7">
        <f>G7+G8+G14</f>
        <v>2533212.2800000003</v>
      </c>
      <c r="H4" s="40">
        <f>H5+H14</f>
        <v>5066424.5600000005</v>
      </c>
      <c r="I4" s="40">
        <f>I5+I14</f>
        <v>5066424.5600000005</v>
      </c>
      <c r="J4" s="40">
        <f>J5+J14</f>
        <v>5066424.5600000005</v>
      </c>
      <c r="K4" s="43">
        <f>SUM(G4:J4)</f>
        <v>17732485.960000001</v>
      </c>
      <c r="L4" s="40">
        <f>F4*L1</f>
        <v>5066424.5600000005</v>
      </c>
      <c r="M4" s="40" t="e">
        <f>M5+M14</f>
        <v>#REF!</v>
      </c>
      <c r="N4" s="40" t="e">
        <f>N5+N14</f>
        <v>#REF!</v>
      </c>
      <c r="O4" s="51" t="e">
        <f>K4+L4+M4+N4</f>
        <v>#REF!</v>
      </c>
      <c r="P4" s="40" t="e">
        <f>P5+P14</f>
        <v>#REF!</v>
      </c>
      <c r="Q4" s="40" t="e">
        <f>Q5+Q14</f>
        <v>#REF!</v>
      </c>
      <c r="R4" s="40" t="e">
        <f>R5+R14</f>
        <v>#REF!</v>
      </c>
      <c r="S4" s="43" t="e">
        <f>SUM(O4:R4)</f>
        <v>#REF!</v>
      </c>
      <c r="T4" s="40" t="e">
        <f>T5+T14</f>
        <v>#REF!</v>
      </c>
      <c r="U4" s="40" t="e">
        <f>U5+U14</f>
        <v>#REF!</v>
      </c>
      <c r="V4" s="40" t="e">
        <f>V5+V14</f>
        <v>#REF!</v>
      </c>
      <c r="W4" s="8" t="e">
        <f>W7+W8+W13+W14</f>
        <v>#REF!</v>
      </c>
    </row>
    <row r="5" spans="1:23" ht="30" hidden="1">
      <c r="A5" s="19"/>
      <c r="B5" s="18" t="s">
        <v>50</v>
      </c>
      <c r="C5" s="6"/>
      <c r="D5" s="6"/>
      <c r="E5" s="7"/>
      <c r="F5" s="24">
        <f>F7+F9+F10+F11+F12+F13</f>
        <v>55503007</v>
      </c>
      <c r="G5" s="24">
        <f>G7+G9+G10+G11+G12+G13</f>
        <v>2220120.2800000003</v>
      </c>
      <c r="H5" s="24">
        <f>H7+H9+H10+H11+H12+H13</f>
        <v>4440240.5600000005</v>
      </c>
      <c r="I5" s="24">
        <f>I7+I9+I10+I11+I12+I13</f>
        <v>4440240.5600000005</v>
      </c>
      <c r="J5" s="24">
        <f>J7+J9+J10+J11+J12+J13</f>
        <v>4440240.5600000005</v>
      </c>
      <c r="K5" s="43">
        <f t="shared" ref="K5:K16" si="0">SUM(G5:J5)</f>
        <v>15540841.960000003</v>
      </c>
      <c r="L5" s="27">
        <f>L7+L8</f>
        <v>4440240.5600000005</v>
      </c>
      <c r="M5" s="27" t="e">
        <f>#REF!/8</f>
        <v>#REF!</v>
      </c>
      <c r="N5" s="27" t="e">
        <f>#REF!/8</f>
        <v>#REF!</v>
      </c>
      <c r="O5" s="43" t="e">
        <f>K5+L5+M5+N5</f>
        <v>#REF!</v>
      </c>
      <c r="P5" s="27" t="e">
        <f>#REF!/8</f>
        <v>#REF!</v>
      </c>
      <c r="Q5" s="27" t="e">
        <f>#REF!/8</f>
        <v>#REF!</v>
      </c>
      <c r="R5" s="27" t="e">
        <f>#REF!/8</f>
        <v>#REF!</v>
      </c>
      <c r="S5" s="43" t="e">
        <f>SUM(O5:R5)</f>
        <v>#REF!</v>
      </c>
      <c r="T5" s="27" t="e">
        <f>#REF!/8</f>
        <v>#REF!</v>
      </c>
      <c r="U5" s="27" t="e">
        <f>#REF!/8</f>
        <v>#REF!</v>
      </c>
      <c r="V5" s="27" t="e">
        <f>#REF!/8</f>
        <v>#REF!</v>
      </c>
      <c r="W5" s="24" t="e">
        <f>W7+W9+W10+W11+W12+W13</f>
        <v>#REF!</v>
      </c>
    </row>
    <row r="6" spans="1:23" ht="30" hidden="1">
      <c r="A6" s="19">
        <v>1</v>
      </c>
      <c r="B6" s="5" t="s">
        <v>43</v>
      </c>
      <c r="C6" s="6"/>
      <c r="D6" s="6"/>
      <c r="E6" s="7"/>
      <c r="F6" s="15"/>
      <c r="G6" s="6"/>
      <c r="H6" s="27">
        <f>G6/12</f>
        <v>0</v>
      </c>
      <c r="I6" s="27">
        <f>G6/12</f>
        <v>0</v>
      </c>
      <c r="J6" s="27">
        <f>G6/12</f>
        <v>0</v>
      </c>
      <c r="K6" s="43">
        <f t="shared" si="0"/>
        <v>0</v>
      </c>
      <c r="L6" s="27">
        <f>G6/12</f>
        <v>0</v>
      </c>
      <c r="M6" s="27">
        <f>G6/12</f>
        <v>0</v>
      </c>
      <c r="N6" s="27">
        <f>G6/12</f>
        <v>0</v>
      </c>
      <c r="O6" s="43">
        <f>K6+L6+M6+N6</f>
        <v>0</v>
      </c>
      <c r="P6" s="27" t="e">
        <f>#REF!/8</f>
        <v>#REF!</v>
      </c>
      <c r="Q6" s="27" t="e">
        <f>#REF!/8</f>
        <v>#REF!</v>
      </c>
      <c r="R6" s="27" t="e">
        <f>#REF!/8</f>
        <v>#REF!</v>
      </c>
      <c r="S6" s="43" t="e">
        <f t="shared" ref="S6:S14" si="1">SUM(O6:R6)</f>
        <v>#REF!</v>
      </c>
      <c r="T6" s="27" t="e">
        <f>#REF!/8</f>
        <v>#REF!</v>
      </c>
      <c r="U6" s="27" t="e">
        <f>P6/8</f>
        <v>#REF!</v>
      </c>
      <c r="V6" s="27" t="e">
        <f>P6/8</f>
        <v>#REF!</v>
      </c>
      <c r="W6" s="43" t="e">
        <f t="shared" ref="W6:W14" si="2">SUM(S6:V6)</f>
        <v>#REF!</v>
      </c>
    </row>
    <row r="7" spans="1:23" ht="30" hidden="1">
      <c r="A7" s="1" t="s">
        <v>20</v>
      </c>
      <c r="B7" s="20" t="s">
        <v>1</v>
      </c>
      <c r="C7" s="6">
        <v>7.8</v>
      </c>
      <c r="D7" s="6" t="s">
        <v>2</v>
      </c>
      <c r="E7" s="7">
        <v>4580000</v>
      </c>
      <c r="F7" s="21">
        <f>C7*E7</f>
        <v>35724000</v>
      </c>
      <c r="G7" s="21">
        <f>F7*0.04</f>
        <v>1428960</v>
      </c>
      <c r="H7" s="21">
        <f>F7*H1</f>
        <v>2857920</v>
      </c>
      <c r="I7" s="21">
        <f>F7*I1</f>
        <v>2857920</v>
      </c>
      <c r="J7" s="21">
        <f>F7*J1</f>
        <v>2857920</v>
      </c>
      <c r="K7" s="43">
        <f t="shared" si="0"/>
        <v>10002720</v>
      </c>
      <c r="L7" s="21">
        <f>F7*L1</f>
        <v>2857920</v>
      </c>
      <c r="M7" s="21">
        <f t="shared" ref="M7:T7" si="3">G7*M1</f>
        <v>0</v>
      </c>
      <c r="N7" s="21">
        <f t="shared" si="3"/>
        <v>0</v>
      </c>
      <c r="O7" s="21">
        <f t="shared" si="3"/>
        <v>0</v>
      </c>
      <c r="P7" s="21">
        <f t="shared" si="3"/>
        <v>0</v>
      </c>
      <c r="Q7" s="21">
        <f t="shared" si="3"/>
        <v>0</v>
      </c>
      <c r="R7" s="21">
        <f t="shared" si="3"/>
        <v>0</v>
      </c>
      <c r="S7" s="21">
        <f t="shared" si="3"/>
        <v>0</v>
      </c>
      <c r="T7" s="21">
        <f t="shared" si="3"/>
        <v>0</v>
      </c>
      <c r="U7" s="21">
        <f>P7*U1</f>
        <v>0</v>
      </c>
      <c r="V7" s="21">
        <f>Q7*V1</f>
        <v>0</v>
      </c>
      <c r="W7" s="21">
        <f>R7*W1</f>
        <v>0</v>
      </c>
    </row>
    <row r="8" spans="1:23" ht="45" hidden="1">
      <c r="A8" s="1" t="s">
        <v>21</v>
      </c>
      <c r="B8" s="23" t="s">
        <v>23</v>
      </c>
      <c r="C8" s="6"/>
      <c r="D8" s="6"/>
      <c r="E8" s="7"/>
      <c r="F8" s="21">
        <f>F9+F10+F11+F12</f>
        <v>19779007</v>
      </c>
      <c r="G8" s="21">
        <f>G9+G10+G11+G12</f>
        <v>791160.28</v>
      </c>
      <c r="H8" s="21">
        <f>H9+H10+H11+H12</f>
        <v>1582320.56</v>
      </c>
      <c r="I8" s="21">
        <f>I9+I10+I11+I12</f>
        <v>1582320.56</v>
      </c>
      <c r="J8" s="21">
        <f>J9+J10+J11+J12</f>
        <v>1582320.56</v>
      </c>
      <c r="K8" s="43">
        <f t="shared" si="0"/>
        <v>5538121.96</v>
      </c>
      <c r="L8" s="27">
        <f>SUM(L9:L12)</f>
        <v>1582320.56</v>
      </c>
      <c r="M8" s="50" t="e">
        <f t="shared" ref="M8:W8" si="4">M9+M10+M11+M12</f>
        <v>#REF!</v>
      </c>
      <c r="N8" s="50" t="e">
        <f t="shared" si="4"/>
        <v>#REF!</v>
      </c>
      <c r="O8" s="50" t="e">
        <f t="shared" si="4"/>
        <v>#REF!</v>
      </c>
      <c r="P8" s="50" t="e">
        <f t="shared" si="4"/>
        <v>#REF!</v>
      </c>
      <c r="Q8" s="50" t="e">
        <f t="shared" si="4"/>
        <v>#REF!</v>
      </c>
      <c r="R8" s="50" t="e">
        <f t="shared" si="4"/>
        <v>#REF!</v>
      </c>
      <c r="S8" s="50" t="e">
        <f t="shared" si="4"/>
        <v>#REF!</v>
      </c>
      <c r="T8" s="50" t="e">
        <f t="shared" si="4"/>
        <v>#REF!</v>
      </c>
      <c r="U8" s="50" t="e">
        <f t="shared" si="4"/>
        <v>#REF!</v>
      </c>
      <c r="V8" s="50" t="e">
        <f t="shared" si="4"/>
        <v>#REF!</v>
      </c>
      <c r="W8" s="50" t="e">
        <f t="shared" si="4"/>
        <v>#REF!</v>
      </c>
    </row>
    <row r="9" spans="1:23" ht="45" hidden="1">
      <c r="A9" s="1" t="s">
        <v>24</v>
      </c>
      <c r="B9" s="9" t="s">
        <v>25</v>
      </c>
      <c r="C9" s="6">
        <v>274.89999999999998</v>
      </c>
      <c r="D9" s="6" t="s">
        <v>3</v>
      </c>
      <c r="E9" s="7">
        <v>22300</v>
      </c>
      <c r="F9" s="7">
        <f>C9*E9</f>
        <v>6130269.9999999991</v>
      </c>
      <c r="G9" s="27">
        <f>F9*0.04</f>
        <v>245210.79999999996</v>
      </c>
      <c r="H9" s="27">
        <f>F9*H1</f>
        <v>490421.59999999992</v>
      </c>
      <c r="I9" s="27">
        <f>F9*I1</f>
        <v>490421.59999999992</v>
      </c>
      <c r="J9" s="27">
        <f>F9*J1</f>
        <v>490421.59999999992</v>
      </c>
      <c r="K9" s="43">
        <f t="shared" si="0"/>
        <v>1716475.5999999996</v>
      </c>
      <c r="L9" s="27">
        <f>F9*L1</f>
        <v>490421.59999999992</v>
      </c>
      <c r="M9" s="27" t="e">
        <f>#REF!/8</f>
        <v>#REF!</v>
      </c>
      <c r="N9" s="27" t="e">
        <f>#REF!/8</f>
        <v>#REF!</v>
      </c>
      <c r="O9" s="43" t="e">
        <f t="shared" ref="O9:O14" si="5">K9+L9+M9+N9</f>
        <v>#REF!</v>
      </c>
      <c r="P9" s="27" t="e">
        <f>#REF!/8</f>
        <v>#REF!</v>
      </c>
      <c r="Q9" s="27" t="e">
        <f>#REF!/8</f>
        <v>#REF!</v>
      </c>
      <c r="R9" s="27" t="e">
        <f>#REF!/8</f>
        <v>#REF!</v>
      </c>
      <c r="S9" s="43" t="e">
        <f t="shared" si="1"/>
        <v>#REF!</v>
      </c>
      <c r="T9" s="27" t="e">
        <f>#REF!/8</f>
        <v>#REF!</v>
      </c>
      <c r="U9" s="27" t="e">
        <f>#REF!/8</f>
        <v>#REF!</v>
      </c>
      <c r="V9" s="27" t="e">
        <f>#REF!-S9-T9-U9</f>
        <v>#REF!</v>
      </c>
      <c r="W9" s="43" t="e">
        <f t="shared" si="2"/>
        <v>#REF!</v>
      </c>
    </row>
    <row r="10" spans="1:23" ht="27.75" hidden="1" customHeight="1">
      <c r="A10" s="1" t="s">
        <v>22</v>
      </c>
      <c r="B10" s="5" t="s">
        <v>16</v>
      </c>
      <c r="C10" s="6"/>
      <c r="D10" s="6"/>
      <c r="E10" s="7"/>
      <c r="F10" s="10">
        <v>7589760</v>
      </c>
      <c r="G10" s="27">
        <f>F10*0.04</f>
        <v>303590.40000000002</v>
      </c>
      <c r="H10" s="27">
        <f>F10*H1</f>
        <v>607180.80000000005</v>
      </c>
      <c r="I10" s="27">
        <f>F10*I1</f>
        <v>607180.80000000005</v>
      </c>
      <c r="J10" s="27">
        <f>F10*J1</f>
        <v>607180.80000000005</v>
      </c>
      <c r="K10" s="43">
        <f t="shared" si="0"/>
        <v>2125132.7999999998</v>
      </c>
      <c r="L10" s="27">
        <f>F10*L1</f>
        <v>607180.80000000005</v>
      </c>
      <c r="M10" s="27" t="e">
        <f>#REF!/8</f>
        <v>#REF!</v>
      </c>
      <c r="N10" s="27" t="e">
        <f>#REF!/8</f>
        <v>#REF!</v>
      </c>
      <c r="O10" s="43" t="e">
        <f t="shared" si="5"/>
        <v>#REF!</v>
      </c>
      <c r="P10" s="27" t="e">
        <f>#REF!/8</f>
        <v>#REF!</v>
      </c>
      <c r="Q10" s="27" t="e">
        <f>#REF!/8</f>
        <v>#REF!</v>
      </c>
      <c r="R10" s="27" t="e">
        <f>#REF!/8</f>
        <v>#REF!</v>
      </c>
      <c r="S10" s="43" t="e">
        <f t="shared" si="1"/>
        <v>#REF!</v>
      </c>
      <c r="T10" s="27" t="e">
        <f>#REF!/8</f>
        <v>#REF!</v>
      </c>
      <c r="U10" s="27" t="e">
        <f>#REF!/8</f>
        <v>#REF!</v>
      </c>
      <c r="V10" s="27" t="e">
        <f>#REF!-S10-T10-U10</f>
        <v>#REF!</v>
      </c>
      <c r="W10" s="43" t="e">
        <f t="shared" si="2"/>
        <v>#REF!</v>
      </c>
    </row>
    <row r="11" spans="1:23" ht="45" hidden="1">
      <c r="A11" s="1" t="s">
        <v>26</v>
      </c>
      <c r="B11" s="5" t="s">
        <v>4</v>
      </c>
      <c r="C11" s="6"/>
      <c r="D11" s="6"/>
      <c r="E11" s="7"/>
      <c r="F11" s="7">
        <v>100000</v>
      </c>
      <c r="G11" s="6">
        <f>F11*0.04</f>
        <v>4000</v>
      </c>
      <c r="H11" s="27">
        <f>F11*H1</f>
        <v>8000</v>
      </c>
      <c r="I11" s="27">
        <f>F11*I1</f>
        <v>8000</v>
      </c>
      <c r="J11" s="27">
        <f>F11*J1</f>
        <v>8000</v>
      </c>
      <c r="K11" s="43">
        <f t="shared" si="0"/>
        <v>28000</v>
      </c>
      <c r="L11" s="27">
        <f>F11*L1</f>
        <v>8000</v>
      </c>
      <c r="M11" s="27" t="e">
        <f>#REF!/8</f>
        <v>#REF!</v>
      </c>
      <c r="N11" s="27" t="e">
        <f>#REF!/8</f>
        <v>#REF!</v>
      </c>
      <c r="O11" s="43" t="e">
        <f t="shared" si="5"/>
        <v>#REF!</v>
      </c>
      <c r="P11" s="27" t="e">
        <f>#REF!/8</f>
        <v>#REF!</v>
      </c>
      <c r="Q11" s="27" t="e">
        <f>#REF!/8</f>
        <v>#REF!</v>
      </c>
      <c r="R11" s="27" t="e">
        <f>#REF!/8</f>
        <v>#REF!</v>
      </c>
      <c r="S11" s="43" t="e">
        <f t="shared" si="1"/>
        <v>#REF!</v>
      </c>
      <c r="T11" s="27" t="e">
        <f>#REF!/8</f>
        <v>#REF!</v>
      </c>
      <c r="U11" s="27" t="e">
        <f>#REF!/8</f>
        <v>#REF!</v>
      </c>
      <c r="V11" s="27" t="e">
        <f>#REF!-S11-T11-U11</f>
        <v>#REF!</v>
      </c>
      <c r="W11" s="43" t="e">
        <f t="shared" si="2"/>
        <v>#REF!</v>
      </c>
    </row>
    <row r="12" spans="1:23" hidden="1">
      <c r="A12" s="1" t="s">
        <v>27</v>
      </c>
      <c r="B12" s="5" t="s">
        <v>17</v>
      </c>
      <c r="C12" s="6"/>
      <c r="D12" s="6"/>
      <c r="E12" s="7"/>
      <c r="F12" s="7">
        <v>5958977</v>
      </c>
      <c r="G12" s="27">
        <f>F12*0.04</f>
        <v>238359.08000000002</v>
      </c>
      <c r="H12" s="27">
        <f>F12*H1</f>
        <v>476718.16000000003</v>
      </c>
      <c r="I12" s="27">
        <f>F12*I1</f>
        <v>476718.16000000003</v>
      </c>
      <c r="J12" s="27">
        <f>F12*J1</f>
        <v>476718.16000000003</v>
      </c>
      <c r="K12" s="43">
        <f t="shared" si="0"/>
        <v>1668513.56</v>
      </c>
      <c r="L12" s="27">
        <f>F12*L1</f>
        <v>476718.16000000003</v>
      </c>
      <c r="M12" s="27" t="e">
        <f>#REF!/8</f>
        <v>#REF!</v>
      </c>
      <c r="N12" s="27" t="e">
        <f>#REF!/8</f>
        <v>#REF!</v>
      </c>
      <c r="O12" s="43" t="e">
        <f t="shared" si="5"/>
        <v>#REF!</v>
      </c>
      <c r="P12" s="27" t="e">
        <f>#REF!/8</f>
        <v>#REF!</v>
      </c>
      <c r="Q12" s="27" t="e">
        <f>#REF!/8</f>
        <v>#REF!</v>
      </c>
      <c r="R12" s="27" t="e">
        <f>#REF!/8</f>
        <v>#REF!</v>
      </c>
      <c r="S12" s="43" t="e">
        <f t="shared" si="1"/>
        <v>#REF!</v>
      </c>
      <c r="T12" s="27" t="e">
        <f>#REF!/8</f>
        <v>#REF!</v>
      </c>
      <c r="U12" s="27" t="e">
        <f>#REF!/8</f>
        <v>#REF!</v>
      </c>
      <c r="V12" s="27" t="e">
        <f>#REF!-S12-T12-U12</f>
        <v>#REF!</v>
      </c>
      <c r="W12" s="43" t="e">
        <f t="shared" si="2"/>
        <v>#REF!</v>
      </c>
    </row>
    <row r="13" spans="1:23" ht="30" hidden="1">
      <c r="A13" s="1" t="s">
        <v>28</v>
      </c>
      <c r="B13" s="22" t="s">
        <v>5</v>
      </c>
      <c r="C13" s="6"/>
      <c r="D13" s="6"/>
      <c r="E13" s="7"/>
      <c r="F13" s="21"/>
      <c r="G13" s="21"/>
      <c r="H13" s="21">
        <f>G13/12</f>
        <v>0</v>
      </c>
      <c r="I13" s="21">
        <f>G13/12</f>
        <v>0</v>
      </c>
      <c r="J13" s="21">
        <f>G13/12</f>
        <v>0</v>
      </c>
      <c r="K13" s="43">
        <f t="shared" si="0"/>
        <v>0</v>
      </c>
      <c r="L13" s="21">
        <f>G13/12</f>
        <v>0</v>
      </c>
      <c r="M13" s="21" t="e">
        <f>#REF!/8</f>
        <v>#REF!</v>
      </c>
      <c r="N13" s="21" t="e">
        <f>#REF!/8</f>
        <v>#REF!</v>
      </c>
      <c r="O13" s="21" t="e">
        <f t="shared" si="5"/>
        <v>#REF!</v>
      </c>
      <c r="P13" s="21" t="e">
        <f>#REF!/8</f>
        <v>#REF!</v>
      </c>
      <c r="Q13" s="21" t="e">
        <f>#REF!/8</f>
        <v>#REF!</v>
      </c>
      <c r="R13" s="21" t="e">
        <f>#REF!/8</f>
        <v>#REF!</v>
      </c>
      <c r="S13" s="21" t="e">
        <f t="shared" si="1"/>
        <v>#REF!</v>
      </c>
      <c r="T13" s="21" t="e">
        <f>#REF!/8</f>
        <v>#REF!</v>
      </c>
      <c r="U13" s="21" t="e">
        <f>#REF!/8</f>
        <v>#REF!</v>
      </c>
      <c r="V13" s="21" t="e">
        <f>#REF!-S13-T13-U13</f>
        <v>#REF!</v>
      </c>
      <c r="W13" s="21" t="e">
        <f t="shared" si="2"/>
        <v>#REF!</v>
      </c>
    </row>
    <row r="14" spans="1:23" ht="30" hidden="1">
      <c r="A14" s="1" t="s">
        <v>29</v>
      </c>
      <c r="B14" s="20" t="s">
        <v>6</v>
      </c>
      <c r="C14" s="6">
        <v>2899</v>
      </c>
      <c r="D14" s="6" t="s">
        <v>2</v>
      </c>
      <c r="E14" s="7">
        <v>2700</v>
      </c>
      <c r="F14" s="21">
        <f>C14*E14</f>
        <v>7827300</v>
      </c>
      <c r="G14" s="21">
        <f>F14*0.04</f>
        <v>313092</v>
      </c>
      <c r="H14" s="21">
        <f>F14*H1</f>
        <v>626184</v>
      </c>
      <c r="I14" s="21">
        <f>F14*I1</f>
        <v>626184</v>
      </c>
      <c r="J14" s="21">
        <f>F14*J1</f>
        <v>626184</v>
      </c>
      <c r="K14" s="43">
        <f t="shared" si="0"/>
        <v>2191644</v>
      </c>
      <c r="L14" s="21">
        <f>F14*0.08</f>
        <v>626184</v>
      </c>
      <c r="M14" s="21">
        <f>G14*0.08</f>
        <v>25047.360000000001</v>
      </c>
      <c r="N14" s="21">
        <f>G14*0.08</f>
        <v>25047.360000000001</v>
      </c>
      <c r="O14" s="21">
        <f t="shared" si="5"/>
        <v>2867922.7199999997</v>
      </c>
      <c r="P14" s="21">
        <f>G14*0.08</f>
        <v>25047.360000000001</v>
      </c>
      <c r="Q14" s="21">
        <f>G14*0.08</f>
        <v>25047.360000000001</v>
      </c>
      <c r="R14" s="21">
        <f>G14*0.08</f>
        <v>25047.360000000001</v>
      </c>
      <c r="S14" s="21">
        <f t="shared" si="1"/>
        <v>2943064.7999999993</v>
      </c>
      <c r="T14" s="21">
        <f>G14*0.08</f>
        <v>25047.360000000001</v>
      </c>
      <c r="U14" s="21">
        <f>G14*0.08</f>
        <v>25047.360000000001</v>
      </c>
      <c r="V14" s="21" t="e">
        <f>#REF!-S14-T14-U14</f>
        <v>#REF!</v>
      </c>
      <c r="W14" s="21" t="e">
        <f t="shared" si="2"/>
        <v>#REF!</v>
      </c>
    </row>
    <row r="15" spans="1:23" hidden="1">
      <c r="B15" s="5"/>
      <c r="C15" s="6"/>
      <c r="D15" s="6"/>
      <c r="E15" s="7"/>
      <c r="F15" s="15"/>
      <c r="G15" s="6"/>
      <c r="H15" s="6"/>
      <c r="I15" s="6"/>
      <c r="J15" s="6"/>
      <c r="K15" s="43">
        <f t="shared" si="0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30" hidden="1">
      <c r="A16" s="1" t="s">
        <v>46</v>
      </c>
      <c r="B16" s="17" t="s">
        <v>106</v>
      </c>
      <c r="C16" s="6"/>
      <c r="D16" s="6"/>
      <c r="E16" s="7"/>
      <c r="F16" s="14">
        <f>F18</f>
        <v>66320373.333333328</v>
      </c>
      <c r="G16" s="14">
        <f>G18</f>
        <v>1792288</v>
      </c>
      <c r="H16" s="14">
        <f>H18</f>
        <v>5376864</v>
      </c>
      <c r="I16" s="14">
        <f>I18</f>
        <v>5376864</v>
      </c>
      <c r="J16" s="14">
        <f>J18</f>
        <v>5376864</v>
      </c>
      <c r="K16" s="43">
        <f t="shared" si="0"/>
        <v>17922880</v>
      </c>
      <c r="L16" s="14">
        <f>L18</f>
        <v>5376864</v>
      </c>
      <c r="M16" s="26" t="e">
        <f>M18+#REF!</f>
        <v>#REF!</v>
      </c>
      <c r="N16" s="26" t="e">
        <f>N18+#REF!</f>
        <v>#REF!</v>
      </c>
      <c r="O16" s="52" t="e">
        <f>K16+L16+M16+N16</f>
        <v>#REF!</v>
      </c>
      <c r="P16" s="26" t="e">
        <f>P18+#REF!</f>
        <v>#REF!</v>
      </c>
      <c r="Q16" s="26" t="e">
        <f>Q18+#REF!</f>
        <v>#REF!</v>
      </c>
      <c r="R16" s="26" t="e">
        <f>R18+#REF!</f>
        <v>#REF!</v>
      </c>
      <c r="S16" s="43" t="e">
        <f>SUM(O16:R16)</f>
        <v>#REF!</v>
      </c>
      <c r="T16" s="26" t="e">
        <f>T18+#REF!</f>
        <v>#REF!</v>
      </c>
      <c r="U16" s="26" t="e">
        <f>U18+#REF!</f>
        <v>#REF!</v>
      </c>
      <c r="V16" s="26" t="e">
        <f>V18+#REF!</f>
        <v>#REF!</v>
      </c>
      <c r="W16" s="26" t="e">
        <f>SUM(S16:V16)</f>
        <v>#REF!</v>
      </c>
    </row>
    <row r="17" spans="1:23" hidden="1">
      <c r="B17" s="18"/>
      <c r="C17" s="6"/>
      <c r="D17" s="6"/>
      <c r="E17" s="7"/>
      <c r="F17" s="15"/>
      <c r="G17" s="6"/>
      <c r="H17" s="48">
        <v>0.12</v>
      </c>
      <c r="I17" s="48">
        <v>0.12</v>
      </c>
      <c r="J17" s="48">
        <v>0.12</v>
      </c>
      <c r="K17" s="43">
        <f t="shared" ref="K17:K39" si="6">SUM(H17:J17)</f>
        <v>0.36</v>
      </c>
      <c r="L17" s="48">
        <v>0.12</v>
      </c>
      <c r="M17" s="6">
        <v>12.5</v>
      </c>
      <c r="N17" s="6">
        <v>12.5</v>
      </c>
      <c r="O17" s="6">
        <f>SUM(K17:N17)</f>
        <v>25.48</v>
      </c>
      <c r="P17" s="6">
        <v>12.5</v>
      </c>
      <c r="Q17" s="6">
        <v>12.5</v>
      </c>
      <c r="R17" s="6">
        <v>25</v>
      </c>
      <c r="S17" s="6">
        <f>SUM(O17:R17)</f>
        <v>75.48</v>
      </c>
      <c r="T17" s="6">
        <v>12.5</v>
      </c>
      <c r="U17" s="6">
        <v>12.5</v>
      </c>
      <c r="V17" s="6">
        <v>25</v>
      </c>
      <c r="W17" s="6">
        <f>SUM(S17:V17)</f>
        <v>125.48</v>
      </c>
    </row>
    <row r="18" spans="1:23" hidden="1">
      <c r="A18" s="19"/>
      <c r="B18" s="20" t="s">
        <v>42</v>
      </c>
      <c r="C18" s="6"/>
      <c r="D18" s="6"/>
      <c r="E18" s="7"/>
      <c r="F18" s="21">
        <f>F19+F28</f>
        <v>66320373.333333328</v>
      </c>
      <c r="G18" s="21">
        <f>G19+G28</f>
        <v>1792288</v>
      </c>
      <c r="H18" s="21">
        <f>H19+H28</f>
        <v>5376864</v>
      </c>
      <c r="I18" s="21">
        <f>I19+I28</f>
        <v>5376864</v>
      </c>
      <c r="J18" s="21">
        <f>J19+J28</f>
        <v>5376864</v>
      </c>
      <c r="K18" s="43">
        <f>SUM(G18:J18)</f>
        <v>17922880</v>
      </c>
      <c r="L18" s="25">
        <f>L21+L25+L29</f>
        <v>5376864</v>
      </c>
      <c r="M18" s="25">
        <f>M21+M25+M29</f>
        <v>1520036</v>
      </c>
      <c r="N18" s="25">
        <f>N21+N25+N29</f>
        <v>2102436</v>
      </c>
      <c r="O18" s="25">
        <f>K18+L18+M18+N18</f>
        <v>26922216</v>
      </c>
      <c r="P18" s="25">
        <f>P21+P25+P29</f>
        <v>2102436</v>
      </c>
      <c r="Q18" s="25">
        <f>Q21+Q25+Q29</f>
        <v>2102436</v>
      </c>
      <c r="R18" s="25">
        <f>R19+R30</f>
        <v>5427433.333333333</v>
      </c>
      <c r="S18" s="43">
        <f>SUM(O18:R18)</f>
        <v>36554521.333333336</v>
      </c>
      <c r="T18" s="25" t="e">
        <f>T19+T30</f>
        <v>#REF!</v>
      </c>
      <c r="U18" s="25" t="e">
        <f>U19+U30</f>
        <v>#REF!</v>
      </c>
      <c r="V18" s="25" t="e">
        <f>V19+V30</f>
        <v>#REF!</v>
      </c>
      <c r="W18" s="26" t="e">
        <f>SUM(S18:V18)</f>
        <v>#REF!</v>
      </c>
    </row>
    <row r="19" spans="1:23" s="55" customFormat="1" ht="75" hidden="1">
      <c r="A19" s="55" t="s">
        <v>30</v>
      </c>
      <c r="B19" s="56" t="s">
        <v>41</v>
      </c>
      <c r="C19" s="57"/>
      <c r="D19" s="57"/>
      <c r="E19" s="58"/>
      <c r="F19" s="58">
        <f>F20+F25+F26</f>
        <v>59208373.333333328</v>
      </c>
      <c r="G19" s="58">
        <f>G20+G25+G26</f>
        <v>1598154.6666666665</v>
      </c>
      <c r="H19" s="58">
        <f>H20+H25+H26</f>
        <v>4794464</v>
      </c>
      <c r="I19" s="58">
        <f>I20+I25+I26</f>
        <v>4794464</v>
      </c>
      <c r="J19" s="58">
        <f>J20+J25+J26</f>
        <v>4794464</v>
      </c>
      <c r="K19" s="43">
        <f>SUM(G19:J19)</f>
        <v>15981546.666666666</v>
      </c>
      <c r="L19" s="57">
        <f>L21+L25</f>
        <v>4794464</v>
      </c>
      <c r="M19" s="57">
        <f>M21+M25</f>
        <v>1495769.3333333333</v>
      </c>
      <c r="N19" s="57">
        <f>N21+N25</f>
        <v>1495769.3333333333</v>
      </c>
      <c r="O19" s="58">
        <f>O20+O25+O26</f>
        <v>23767549.333333336</v>
      </c>
      <c r="P19" s="57">
        <f>P21+P25</f>
        <v>1495769.3333333333</v>
      </c>
      <c r="Q19" s="57">
        <f>Q21+Q25</f>
        <v>1495769.3333333333</v>
      </c>
      <c r="R19" s="57">
        <f>R22+R26</f>
        <v>4862766.666666666</v>
      </c>
      <c r="S19" s="57">
        <f>SUM(O19:R19)</f>
        <v>31621854.666666664</v>
      </c>
      <c r="T19" s="57" t="e">
        <f>T21+T22+T26</f>
        <v>#REF!</v>
      </c>
      <c r="U19" s="57" t="e">
        <f>U21+U22+U26</f>
        <v>#REF!</v>
      </c>
      <c r="V19" s="57" t="e">
        <f>V21+V22+V26</f>
        <v>#REF!</v>
      </c>
      <c r="W19" s="57" t="e">
        <f>W20+W21+W22+W25+W26</f>
        <v>#REF!</v>
      </c>
    </row>
    <row r="20" spans="1:23" hidden="1">
      <c r="B20" s="5" t="s">
        <v>53</v>
      </c>
      <c r="C20" s="6"/>
      <c r="D20" s="6"/>
      <c r="E20" s="7">
        <v>4012000</v>
      </c>
      <c r="F20" s="7">
        <f>F21+F22+F23</f>
        <v>43008373.333333328</v>
      </c>
      <c r="G20" s="7">
        <f>G21+G22+G23</f>
        <v>1166154.6666666665</v>
      </c>
      <c r="H20" s="7">
        <f>H21+H22+H23</f>
        <v>3498463.9999999995</v>
      </c>
      <c r="I20" s="7">
        <f>I21+I22+I23</f>
        <v>3498463.9999999995</v>
      </c>
      <c r="J20" s="7">
        <f>J21+J22+J23</f>
        <v>3498463.9999999995</v>
      </c>
      <c r="K20" s="43">
        <f>K21+K22</f>
        <v>11661546.666666666</v>
      </c>
      <c r="L20" s="6">
        <f>SUM(L21:L23)</f>
        <v>3498463.9999999995</v>
      </c>
      <c r="M20" s="6"/>
      <c r="N20" s="6"/>
      <c r="O20" s="7">
        <f t="shared" ref="O20:T20" si="7">O21+O22</f>
        <v>15451549.333333334</v>
      </c>
      <c r="P20" s="7">
        <f t="shared" si="7"/>
        <v>145769.33333333331</v>
      </c>
      <c r="Q20" s="7">
        <f t="shared" si="7"/>
        <v>145769.33333333331</v>
      </c>
      <c r="R20" s="7">
        <f t="shared" si="7"/>
        <v>3376766.6666666665</v>
      </c>
      <c r="S20" s="7">
        <f t="shared" si="7"/>
        <v>19119854.666666668</v>
      </c>
      <c r="T20" s="7" t="e">
        <f t="shared" si="7"/>
        <v>#REF!</v>
      </c>
      <c r="U20" s="7" t="e">
        <f>U21+U22</f>
        <v>#REF!</v>
      </c>
      <c r="V20" s="7" t="e">
        <f>V21+V22</f>
        <v>#REF!</v>
      </c>
      <c r="W20" s="64" t="e">
        <f>T21+U21+V21</f>
        <v>#REF!</v>
      </c>
    </row>
    <row r="21" spans="1:23" hidden="1">
      <c r="B21" s="5" t="s">
        <v>51</v>
      </c>
      <c r="C21" s="6">
        <v>10.9</v>
      </c>
      <c r="D21" s="6" t="s">
        <v>2</v>
      </c>
      <c r="E21" s="7"/>
      <c r="F21" s="7">
        <f>E20/12*8*C21</f>
        <v>29153866.666666664</v>
      </c>
      <c r="G21" s="7">
        <f>F21*0.04</f>
        <v>1166154.6666666665</v>
      </c>
      <c r="H21" s="27">
        <f>F21*H17</f>
        <v>3498463.9999999995</v>
      </c>
      <c r="I21" s="27">
        <f>F21*I17</f>
        <v>3498463.9999999995</v>
      </c>
      <c r="J21" s="27">
        <f>F21*J17</f>
        <v>3498463.9999999995</v>
      </c>
      <c r="K21" s="43">
        <f>SUM(G21:J21)</f>
        <v>11661546.666666666</v>
      </c>
      <c r="L21" s="6">
        <f>F21*L17</f>
        <v>3498463.9999999995</v>
      </c>
      <c r="M21" s="6">
        <f>G21*0.125</f>
        <v>145769.33333333331</v>
      </c>
      <c r="N21" s="6">
        <f>G21*0.125</f>
        <v>145769.33333333331</v>
      </c>
      <c r="O21" s="44">
        <f>SUM(K21:N21)</f>
        <v>15451549.333333334</v>
      </c>
      <c r="P21" s="6">
        <f>G21*0.125</f>
        <v>145769.33333333331</v>
      </c>
      <c r="Q21" s="6">
        <f>G21*0.125</f>
        <v>145769.33333333331</v>
      </c>
      <c r="R21" s="6"/>
      <c r="S21" s="43">
        <f t="shared" ref="S21:S30" si="8">SUM(O21:R21)</f>
        <v>15743088.000000002</v>
      </c>
      <c r="T21" s="64" t="e">
        <f>#REF!/3</f>
        <v>#REF!</v>
      </c>
      <c r="U21" s="64" t="e">
        <f>#REF!/3</f>
        <v>#REF!</v>
      </c>
      <c r="V21" s="64" t="e">
        <f>#REF!/3</f>
        <v>#REF!</v>
      </c>
      <c r="W21" s="6">
        <f>S21</f>
        <v>15743088.000000002</v>
      </c>
    </row>
    <row r="22" spans="1:23" hidden="1">
      <c r="B22" s="5" t="s">
        <v>52</v>
      </c>
      <c r="C22" s="6">
        <v>10.1</v>
      </c>
      <c r="D22" s="6" t="s">
        <v>2</v>
      </c>
      <c r="E22" s="7"/>
      <c r="F22" s="7">
        <f>E20/12*4*C22</f>
        <v>13507066.666666666</v>
      </c>
      <c r="G22" s="6"/>
      <c r="H22" s="6"/>
      <c r="I22" s="6"/>
      <c r="J22" s="6"/>
      <c r="K22" s="43">
        <f t="shared" si="6"/>
        <v>0</v>
      </c>
      <c r="L22" s="6"/>
      <c r="M22" s="6"/>
      <c r="N22" s="6"/>
      <c r="O22" s="6"/>
      <c r="P22" s="6"/>
      <c r="Q22" s="6"/>
      <c r="R22" s="6">
        <f>F22*0.25</f>
        <v>3376766.6666666665</v>
      </c>
      <c r="S22" s="43">
        <f t="shared" si="8"/>
        <v>3376766.6666666665</v>
      </c>
      <c r="T22" s="6">
        <f>F22*0.25</f>
        <v>3376766.6666666665</v>
      </c>
      <c r="U22" s="6">
        <f>F22*0.25</f>
        <v>3376766.6666666665</v>
      </c>
      <c r="V22" s="6">
        <f>F22*0.25</f>
        <v>3376766.6666666665</v>
      </c>
      <c r="W22" s="6">
        <f t="shared" ref="W22:W30" si="9">SUM(S22:V22)</f>
        <v>13507066.666666666</v>
      </c>
    </row>
    <row r="23" spans="1:23" hidden="1">
      <c r="B23" s="5" t="s">
        <v>103</v>
      </c>
      <c r="C23" s="6">
        <v>10.1</v>
      </c>
      <c r="D23" s="6" t="s">
        <v>2</v>
      </c>
      <c r="E23" s="7">
        <v>34400</v>
      </c>
      <c r="F23" s="7">
        <f>C23*E23</f>
        <v>347440</v>
      </c>
      <c r="G23" s="6"/>
      <c r="H23" s="6"/>
      <c r="I23" s="6"/>
      <c r="J23" s="6"/>
      <c r="K23" s="43"/>
      <c r="L23" s="6"/>
      <c r="M23" s="6"/>
      <c r="N23" s="6"/>
      <c r="O23" s="6"/>
      <c r="P23" s="6"/>
      <c r="Q23" s="6"/>
      <c r="R23" s="6"/>
      <c r="S23" s="43"/>
      <c r="T23" s="6"/>
      <c r="U23" s="6"/>
      <c r="V23" s="6"/>
      <c r="W23" s="6"/>
    </row>
    <row r="24" spans="1:23" ht="30" hidden="1">
      <c r="B24" s="5" t="s">
        <v>54</v>
      </c>
      <c r="C24" s="6"/>
      <c r="D24" s="6"/>
      <c r="E24" s="7"/>
      <c r="F24" s="7"/>
      <c r="G24" s="7"/>
      <c r="H24" s="6"/>
      <c r="I24" s="6"/>
      <c r="J24" s="6"/>
      <c r="K24" s="43">
        <f t="shared" si="6"/>
        <v>0</v>
      </c>
      <c r="L24" s="6"/>
      <c r="M24" s="6"/>
      <c r="N24" s="6"/>
      <c r="O24" s="6">
        <f t="shared" ref="O24:O31" si="10">SUM(K24:N24)</f>
        <v>0</v>
      </c>
      <c r="P24" s="6"/>
      <c r="Q24" s="6"/>
      <c r="R24" s="6"/>
      <c r="S24" s="43">
        <f t="shared" si="8"/>
        <v>0</v>
      </c>
      <c r="T24" s="6"/>
      <c r="U24" s="6"/>
      <c r="V24" s="6"/>
      <c r="W24" s="6">
        <f t="shared" si="9"/>
        <v>0</v>
      </c>
    </row>
    <row r="25" spans="1:23" hidden="1">
      <c r="B25" s="5" t="s">
        <v>51</v>
      </c>
      <c r="C25" s="6">
        <v>9</v>
      </c>
      <c r="D25" s="6" t="s">
        <v>2</v>
      </c>
      <c r="E25" s="7">
        <v>1800000</v>
      </c>
      <c r="F25" s="7">
        <f>E25/12*8*C25</f>
        <v>10800000</v>
      </c>
      <c r="G25" s="6">
        <f>F25*0.04</f>
        <v>432000</v>
      </c>
      <c r="H25" s="6">
        <f>F25*H17</f>
        <v>1296000</v>
      </c>
      <c r="I25" s="6">
        <f>F25*I17</f>
        <v>1296000</v>
      </c>
      <c r="J25" s="6">
        <f>F25*J17</f>
        <v>1296000</v>
      </c>
      <c r="K25" s="43">
        <f>SUM(G25:J25)</f>
        <v>4320000</v>
      </c>
      <c r="L25" s="6">
        <f>F25*L17</f>
        <v>1296000</v>
      </c>
      <c r="M25" s="6">
        <f>F25*0.125</f>
        <v>1350000</v>
      </c>
      <c r="N25" s="6">
        <f>F25*0.125</f>
        <v>1350000</v>
      </c>
      <c r="O25" s="44">
        <f t="shared" si="10"/>
        <v>8316000</v>
      </c>
      <c r="P25" s="6">
        <f>F25*0.125</f>
        <v>1350000</v>
      </c>
      <c r="Q25" s="6">
        <f>F25*0.125</f>
        <v>1350000</v>
      </c>
      <c r="R25" s="6"/>
      <c r="S25" s="43">
        <f t="shared" si="8"/>
        <v>11016000</v>
      </c>
      <c r="T25" s="6"/>
      <c r="U25" s="6"/>
      <c r="V25" s="6"/>
      <c r="W25" s="6">
        <f t="shared" si="9"/>
        <v>11016000</v>
      </c>
    </row>
    <row r="26" spans="1:23" hidden="1">
      <c r="B26" s="5" t="s">
        <v>52</v>
      </c>
      <c r="C26" s="6">
        <v>9</v>
      </c>
      <c r="D26" s="6" t="s">
        <v>2</v>
      </c>
      <c r="E26" s="7"/>
      <c r="F26" s="7">
        <f>E25/12*4*C26</f>
        <v>5400000</v>
      </c>
      <c r="G26" s="6"/>
      <c r="H26" s="6"/>
      <c r="I26" s="6"/>
      <c r="J26" s="6"/>
      <c r="K26" s="43">
        <f t="shared" si="6"/>
        <v>0</v>
      </c>
      <c r="L26" s="6"/>
      <c r="M26" s="6"/>
      <c r="N26" s="6"/>
      <c r="O26" s="6">
        <f t="shared" si="10"/>
        <v>0</v>
      </c>
      <c r="P26" s="6"/>
      <c r="Q26" s="6"/>
      <c r="R26" s="6">
        <f>F26*0.25+136000</f>
        <v>1486000</v>
      </c>
      <c r="S26" s="43">
        <f t="shared" si="8"/>
        <v>1486000</v>
      </c>
      <c r="T26" s="6">
        <f>F26*0.25+136000</f>
        <v>1486000</v>
      </c>
      <c r="U26" s="6">
        <f>G26*0.25+136000</f>
        <v>136000</v>
      </c>
      <c r="V26" s="6">
        <f>G26*0.25+136000</f>
        <v>136000</v>
      </c>
      <c r="W26" s="6">
        <f t="shared" si="9"/>
        <v>3244000</v>
      </c>
    </row>
    <row r="27" spans="1:23" hidden="1">
      <c r="B27" s="5"/>
      <c r="C27" s="6"/>
      <c r="D27" s="6"/>
      <c r="E27" s="7"/>
      <c r="F27" s="7"/>
      <c r="G27" s="6"/>
      <c r="H27" s="6"/>
      <c r="I27" s="6"/>
      <c r="J27" s="6"/>
      <c r="K27" s="43">
        <f t="shared" si="6"/>
        <v>0</v>
      </c>
      <c r="L27" s="6"/>
      <c r="M27" s="6"/>
      <c r="N27" s="6"/>
      <c r="O27" s="6">
        <f t="shared" si="10"/>
        <v>0</v>
      </c>
      <c r="P27" s="6"/>
      <c r="Q27" s="6"/>
      <c r="R27" s="6"/>
      <c r="S27" s="43">
        <f t="shared" si="8"/>
        <v>0</v>
      </c>
      <c r="T27" s="6"/>
      <c r="U27" s="6"/>
      <c r="V27" s="6"/>
      <c r="W27" s="6">
        <f t="shared" si="9"/>
        <v>0</v>
      </c>
    </row>
    <row r="28" spans="1:23" hidden="1">
      <c r="A28" s="1" t="s">
        <v>47</v>
      </c>
      <c r="B28" s="57" t="s">
        <v>7</v>
      </c>
      <c r="C28" s="57"/>
      <c r="D28" s="57" t="s">
        <v>2</v>
      </c>
      <c r="E28" s="57">
        <v>56000</v>
      </c>
      <c r="F28" s="57">
        <f>F29+F30</f>
        <v>7112000</v>
      </c>
      <c r="G28" s="67">
        <f>G29+G30</f>
        <v>194133.33333333337</v>
      </c>
      <c r="H28" s="67">
        <f>H29+H30</f>
        <v>582400</v>
      </c>
      <c r="I28" s="67">
        <f>I29+I30</f>
        <v>582400</v>
      </c>
      <c r="J28" s="67">
        <f>J29+J30</f>
        <v>582400</v>
      </c>
      <c r="K28" s="43">
        <f>SUM(G28:J28)</f>
        <v>1941333.3333333335</v>
      </c>
      <c r="L28" s="67">
        <f>L29+L30</f>
        <v>582400</v>
      </c>
      <c r="M28" s="57"/>
      <c r="N28" s="57"/>
      <c r="O28" s="57">
        <f t="shared" si="10"/>
        <v>2523733.3333333335</v>
      </c>
      <c r="P28" s="57"/>
      <c r="Q28" s="57"/>
      <c r="R28" s="57"/>
      <c r="S28" s="57">
        <f t="shared" si="8"/>
        <v>2523733.3333333335</v>
      </c>
      <c r="T28" s="57"/>
      <c r="U28" s="57"/>
      <c r="V28" s="57"/>
      <c r="W28" s="57">
        <f t="shared" si="9"/>
        <v>2523733.3333333335</v>
      </c>
    </row>
    <row r="29" spans="1:23" hidden="1">
      <c r="B29" s="5" t="s">
        <v>51</v>
      </c>
      <c r="C29" s="6">
        <v>130</v>
      </c>
      <c r="D29" s="6"/>
      <c r="E29" s="7"/>
      <c r="F29" s="7">
        <f>E28/12*8*C29</f>
        <v>4853333.333333334</v>
      </c>
      <c r="G29" s="7">
        <f>F29*0.04</f>
        <v>194133.33333333337</v>
      </c>
      <c r="H29" s="27">
        <f>F29*H17</f>
        <v>582400</v>
      </c>
      <c r="I29" s="27">
        <f>F29*I17</f>
        <v>582400</v>
      </c>
      <c r="J29" s="27">
        <f>F29*J17</f>
        <v>582400</v>
      </c>
      <c r="K29" s="43">
        <f>SUM(G29:J29)</f>
        <v>1941333.3333333335</v>
      </c>
      <c r="L29" s="6">
        <f>F29*L17</f>
        <v>582400</v>
      </c>
      <c r="M29" s="6">
        <f>G29*0.125</f>
        <v>24266.666666666672</v>
      </c>
      <c r="N29" s="6">
        <f>F29*0.125</f>
        <v>606666.66666666674</v>
      </c>
      <c r="O29" s="44">
        <f t="shared" si="10"/>
        <v>3154666.666666667</v>
      </c>
      <c r="P29" s="6">
        <f>F29*0.125</f>
        <v>606666.66666666674</v>
      </c>
      <c r="Q29" s="6">
        <f>F29*0.125</f>
        <v>606666.66666666674</v>
      </c>
      <c r="R29" s="6"/>
      <c r="S29" s="43">
        <f t="shared" si="8"/>
        <v>4368000.0000000009</v>
      </c>
      <c r="T29" s="6"/>
      <c r="U29" s="6"/>
      <c r="V29" s="6"/>
      <c r="W29" s="6">
        <f t="shared" si="9"/>
        <v>4368000.0000000009</v>
      </c>
    </row>
    <row r="30" spans="1:23" hidden="1">
      <c r="B30" s="5" t="s">
        <v>52</v>
      </c>
      <c r="C30" s="6">
        <v>121</v>
      </c>
      <c r="D30" s="6"/>
      <c r="E30" s="7"/>
      <c r="F30" s="7">
        <f>C30*E28/12*4</f>
        <v>2258666.6666666665</v>
      </c>
      <c r="G30" s="6"/>
      <c r="H30" s="6"/>
      <c r="I30" s="6"/>
      <c r="J30" s="6"/>
      <c r="K30" s="43">
        <f t="shared" si="6"/>
        <v>0</v>
      </c>
      <c r="L30" s="6"/>
      <c r="M30" s="6"/>
      <c r="N30" s="6"/>
      <c r="O30" s="6">
        <f t="shared" si="10"/>
        <v>0</v>
      </c>
      <c r="P30" s="6"/>
      <c r="Q30" s="6"/>
      <c r="R30" s="6">
        <f>F30*0.25</f>
        <v>564666.66666666663</v>
      </c>
      <c r="S30" s="43">
        <f t="shared" si="8"/>
        <v>564666.66666666663</v>
      </c>
      <c r="T30" s="6">
        <f>F30*0.25</f>
        <v>564666.66666666663</v>
      </c>
      <c r="U30" s="6">
        <f>F30*0.25</f>
        <v>564666.66666666663</v>
      </c>
      <c r="V30" s="6">
        <f>F30*0.25</f>
        <v>564666.66666666663</v>
      </c>
      <c r="W30" s="6">
        <f t="shared" si="9"/>
        <v>2258666.6666666665</v>
      </c>
    </row>
    <row r="31" spans="1:23" ht="14.25" hidden="1" customHeight="1">
      <c r="B31" s="5"/>
      <c r="C31" s="6"/>
      <c r="D31" s="6"/>
      <c r="E31" s="7"/>
      <c r="F31" s="7"/>
      <c r="G31" s="6"/>
      <c r="H31" s="48">
        <v>0.08</v>
      </c>
      <c r="I31" s="48">
        <v>0.08</v>
      </c>
      <c r="J31" s="48">
        <v>0.08</v>
      </c>
      <c r="K31" s="43"/>
      <c r="L31" s="48">
        <v>0.08</v>
      </c>
      <c r="M31" s="48">
        <v>0.08</v>
      </c>
      <c r="N31" s="48">
        <v>0.08</v>
      </c>
      <c r="O31" s="6">
        <f t="shared" si="10"/>
        <v>0.24</v>
      </c>
      <c r="P31" s="48">
        <v>0.08</v>
      </c>
      <c r="Q31" s="48">
        <v>0.08</v>
      </c>
      <c r="R31" s="48">
        <v>0.08</v>
      </c>
      <c r="S31" s="43"/>
      <c r="T31" s="48">
        <v>0.08</v>
      </c>
      <c r="U31" s="48">
        <v>0.08</v>
      </c>
      <c r="V31" s="48">
        <v>0.08</v>
      </c>
      <c r="W31" s="6"/>
    </row>
    <row r="32" spans="1:23" ht="30" hidden="1">
      <c r="A32" s="1" t="s">
        <v>32</v>
      </c>
      <c r="B32" s="17" t="s">
        <v>33</v>
      </c>
      <c r="C32" s="6"/>
      <c r="D32" s="6"/>
      <c r="E32" s="7"/>
      <c r="F32" s="14">
        <f>F42+F40</f>
        <v>59283681</v>
      </c>
      <c r="G32" s="14">
        <f>G42+G40</f>
        <v>1341104.4000000001</v>
      </c>
      <c r="H32" s="14">
        <f>H42+H40</f>
        <v>2682208.8000000003</v>
      </c>
      <c r="I32" s="14">
        <f>I42+I40</f>
        <v>7833423.0000000009</v>
      </c>
      <c r="J32" s="14">
        <f>J42+J40</f>
        <v>4742694.4800000004</v>
      </c>
      <c r="K32" s="43">
        <f>SUM(G32:J32)</f>
        <v>16599430.680000002</v>
      </c>
      <c r="L32" s="14">
        <f>L42+L40</f>
        <v>4742694.4800000004</v>
      </c>
      <c r="M32" s="6"/>
      <c r="N32" s="6"/>
      <c r="O32" s="6"/>
      <c r="P32" s="6"/>
      <c r="Q32" s="6"/>
      <c r="R32" s="6"/>
      <c r="S32" s="43"/>
      <c r="T32" s="6"/>
      <c r="U32" s="6"/>
      <c r="V32" s="6"/>
      <c r="W32" s="6"/>
    </row>
    <row r="33" spans="1:23" ht="45" hidden="1">
      <c r="A33" s="1">
        <v>1</v>
      </c>
      <c r="B33" s="20" t="s">
        <v>34</v>
      </c>
      <c r="C33" s="6"/>
      <c r="D33" s="6"/>
      <c r="E33" s="7"/>
      <c r="F33" s="21">
        <f>SUM(F34:F38)</f>
        <v>0</v>
      </c>
      <c r="G33" s="6"/>
      <c r="H33" s="6"/>
      <c r="I33" s="6"/>
      <c r="J33" s="6"/>
      <c r="K33" s="43">
        <f t="shared" si="6"/>
        <v>0</v>
      </c>
      <c r="L33" s="6"/>
      <c r="M33" s="6"/>
      <c r="N33" s="6"/>
      <c r="O33" s="6"/>
      <c r="P33" s="6"/>
      <c r="Q33" s="6"/>
      <c r="R33" s="6"/>
      <c r="S33" s="43"/>
      <c r="T33" s="6"/>
      <c r="U33" s="6"/>
      <c r="V33" s="6"/>
      <c r="W33" s="6"/>
    </row>
    <row r="34" spans="1:23" hidden="1">
      <c r="B34" s="5" t="s">
        <v>36</v>
      </c>
      <c r="C34" s="6"/>
      <c r="D34" s="6"/>
      <c r="E34" s="7"/>
      <c r="F34" s="15"/>
      <c r="G34" s="6"/>
      <c r="H34" s="6"/>
      <c r="I34" s="6"/>
      <c r="J34" s="6"/>
      <c r="K34" s="43">
        <f t="shared" si="6"/>
        <v>0</v>
      </c>
      <c r="L34" s="6"/>
      <c r="M34" s="6"/>
      <c r="N34" s="6"/>
      <c r="O34" s="6"/>
      <c r="P34" s="6"/>
      <c r="Q34" s="6"/>
      <c r="R34" s="6"/>
      <c r="S34" s="43"/>
      <c r="T34" s="6"/>
      <c r="U34" s="6"/>
      <c r="V34" s="6"/>
      <c r="W34" s="6"/>
    </row>
    <row r="35" spans="1:23" ht="30" hidden="1">
      <c r="B35" s="5" t="s">
        <v>37</v>
      </c>
      <c r="C35" s="6"/>
      <c r="D35" s="6"/>
      <c r="E35" s="7"/>
      <c r="F35" s="15"/>
      <c r="G35" s="6"/>
      <c r="H35" s="6"/>
      <c r="I35" s="6"/>
      <c r="J35" s="6"/>
      <c r="K35" s="43">
        <f t="shared" si="6"/>
        <v>0</v>
      </c>
      <c r="L35" s="6"/>
      <c r="M35" s="6"/>
      <c r="N35" s="6"/>
      <c r="O35" s="6"/>
      <c r="P35" s="6"/>
      <c r="Q35" s="6"/>
      <c r="R35" s="6"/>
      <c r="S35" s="43"/>
      <c r="T35" s="6"/>
      <c r="U35" s="6"/>
      <c r="V35" s="6"/>
      <c r="W35" s="6"/>
    </row>
    <row r="36" spans="1:23" ht="30" hidden="1">
      <c r="B36" s="5" t="s">
        <v>38</v>
      </c>
      <c r="C36" s="6"/>
      <c r="D36" s="6"/>
      <c r="E36" s="7"/>
      <c r="F36" s="15"/>
      <c r="G36" s="6"/>
      <c r="H36" s="6"/>
      <c r="I36" s="6"/>
      <c r="J36" s="6"/>
      <c r="K36" s="43">
        <f t="shared" si="6"/>
        <v>0</v>
      </c>
      <c r="L36" s="6"/>
      <c r="M36" s="6"/>
      <c r="N36" s="6"/>
      <c r="O36" s="6"/>
      <c r="P36" s="6"/>
      <c r="Q36" s="6"/>
      <c r="R36" s="6"/>
      <c r="S36" s="43"/>
      <c r="T36" s="6"/>
      <c r="U36" s="6"/>
      <c r="V36" s="6"/>
      <c r="W36" s="6"/>
    </row>
    <row r="37" spans="1:23" hidden="1">
      <c r="B37" s="5" t="s">
        <v>39</v>
      </c>
      <c r="C37" s="6"/>
      <c r="D37" s="6"/>
      <c r="E37" s="7"/>
      <c r="F37" s="15"/>
      <c r="G37" s="6"/>
      <c r="H37" s="6"/>
      <c r="I37" s="6"/>
      <c r="J37" s="6"/>
      <c r="K37" s="43">
        <f t="shared" si="6"/>
        <v>0</v>
      </c>
      <c r="L37" s="6"/>
      <c r="M37" s="6"/>
      <c r="N37" s="6"/>
      <c r="O37" s="6"/>
      <c r="P37" s="6"/>
      <c r="Q37" s="6"/>
      <c r="R37" s="6"/>
      <c r="S37" s="43"/>
      <c r="T37" s="6"/>
      <c r="U37" s="6"/>
      <c r="V37" s="6"/>
      <c r="W37" s="6"/>
    </row>
    <row r="38" spans="1:23" hidden="1">
      <c r="B38" s="5" t="s">
        <v>40</v>
      </c>
      <c r="C38" s="6"/>
      <c r="D38" s="6"/>
      <c r="E38" s="7"/>
      <c r="F38" s="15"/>
      <c r="G38" s="6"/>
      <c r="H38" s="6"/>
      <c r="I38" s="6"/>
      <c r="J38" s="6"/>
      <c r="K38" s="43">
        <f t="shared" si="6"/>
        <v>0</v>
      </c>
      <c r="L38" s="6"/>
      <c r="M38" s="6"/>
      <c r="N38" s="6"/>
      <c r="O38" s="6"/>
      <c r="P38" s="6"/>
      <c r="Q38" s="6"/>
      <c r="R38" s="6"/>
      <c r="S38" s="43"/>
      <c r="T38" s="6"/>
      <c r="U38" s="6"/>
      <c r="V38" s="6"/>
      <c r="W38" s="6"/>
    </row>
    <row r="39" spans="1:23" hidden="1">
      <c r="B39" s="5"/>
      <c r="C39" s="6"/>
      <c r="D39" s="6"/>
      <c r="E39" s="7"/>
      <c r="F39" s="15"/>
      <c r="G39" s="6"/>
      <c r="H39" s="6"/>
      <c r="I39" s="6"/>
      <c r="J39" s="6"/>
      <c r="K39" s="43">
        <f t="shared" si="6"/>
        <v>0</v>
      </c>
      <c r="L39" s="6"/>
      <c r="M39" s="6"/>
      <c r="N39" s="6"/>
      <c r="O39" s="6"/>
      <c r="P39" s="6"/>
      <c r="Q39" s="6"/>
      <c r="R39" s="6"/>
      <c r="S39" s="43"/>
      <c r="T39" s="6"/>
      <c r="U39" s="6"/>
      <c r="V39" s="6"/>
      <c r="W39" s="6"/>
    </row>
    <row r="40" spans="1:23" ht="30" hidden="1">
      <c r="A40" s="1">
        <v>2</v>
      </c>
      <c r="B40" s="20" t="s">
        <v>9</v>
      </c>
      <c r="C40" s="6"/>
      <c r="D40" s="6"/>
      <c r="E40" s="7"/>
      <c r="F40" s="21">
        <v>23833530</v>
      </c>
      <c r="G40" s="21">
        <f>F40*0.04</f>
        <v>953341.20000000007</v>
      </c>
      <c r="H40" s="21">
        <f>F40*H31</f>
        <v>1906682.4000000001</v>
      </c>
      <c r="I40" s="21">
        <f>F40*I31</f>
        <v>1906682.4000000001</v>
      </c>
      <c r="J40" s="21">
        <f>F40*J31</f>
        <v>1906682.4000000001</v>
      </c>
      <c r="K40" s="43">
        <f>SUM(G40:J40)</f>
        <v>6673388.4000000004</v>
      </c>
      <c r="L40" s="21">
        <f>F40*L31</f>
        <v>1906682.4000000001</v>
      </c>
      <c r="M40" s="21">
        <f>G40*0.08</f>
        <v>76267.296000000002</v>
      </c>
      <c r="N40" s="21">
        <f>F40*0.08</f>
        <v>1906682.4000000001</v>
      </c>
      <c r="O40" s="21">
        <f>K40+L40+M40+N40</f>
        <v>10563020.496000001</v>
      </c>
      <c r="P40" s="21">
        <f>G40*0.08</f>
        <v>76267.296000000002</v>
      </c>
      <c r="Q40" s="21">
        <f>G40*0.08</f>
        <v>76267.296000000002</v>
      </c>
      <c r="R40" s="21">
        <f>F40*0.08</f>
        <v>1906682.4000000001</v>
      </c>
      <c r="S40" s="21">
        <f>SUM(O40:R40)</f>
        <v>12622237.488000002</v>
      </c>
      <c r="T40" s="21">
        <f>F40*0.08</f>
        <v>1906682.4000000001</v>
      </c>
      <c r="U40" s="21">
        <f>F40*0.08</f>
        <v>1906682.4000000001</v>
      </c>
      <c r="V40" s="21">
        <f>F40-S40-T40-U40</f>
        <v>7397927.7119999975</v>
      </c>
      <c r="W40" s="21">
        <f>SUM(S40:V40)</f>
        <v>23833530</v>
      </c>
    </row>
    <row r="41" spans="1:23" hidden="1">
      <c r="B41" s="20"/>
      <c r="C41" s="6"/>
      <c r="D41" s="6"/>
      <c r="E41" s="7"/>
      <c r="F41" s="21"/>
      <c r="G41" s="21"/>
      <c r="H41" s="21"/>
      <c r="I41" s="21"/>
      <c r="J41" s="21"/>
      <c r="K41" s="43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30" hidden="1">
      <c r="B42" s="20" t="s">
        <v>49</v>
      </c>
      <c r="C42" s="6"/>
      <c r="D42" s="6"/>
      <c r="E42" s="7"/>
      <c r="F42" s="21">
        <f>SUM(F43:F44)</f>
        <v>35450151</v>
      </c>
      <c r="G42" s="21">
        <f>SUM(G43:G44)</f>
        <v>387763.20000000001</v>
      </c>
      <c r="H42" s="21">
        <f>SUM(H43:H44)</f>
        <v>775526.40000000002</v>
      </c>
      <c r="I42" s="21">
        <f>SUM(I43:I44)</f>
        <v>5926740.6000000006</v>
      </c>
      <c r="J42" s="21">
        <f>SUM(J43:J44)</f>
        <v>2836012.08</v>
      </c>
      <c r="K42" s="43">
        <f t="shared" ref="K42:K48" si="11">SUM(G42:J42)</f>
        <v>9926042.2800000012</v>
      </c>
      <c r="L42" s="21">
        <f>SUM(L43:L44)</f>
        <v>2836012.08</v>
      </c>
      <c r="M42" s="21">
        <f>M45+M46</f>
        <v>0</v>
      </c>
      <c r="N42" s="21">
        <f>N45+N46</f>
        <v>0</v>
      </c>
      <c r="O42" s="21">
        <f>K42+L42+N42</f>
        <v>12762054.360000001</v>
      </c>
      <c r="P42" s="21">
        <f>P45+P46</f>
        <v>0</v>
      </c>
      <c r="Q42" s="21">
        <f>Q45+Q46</f>
        <v>0</v>
      </c>
      <c r="R42" s="21">
        <f>R45+R46</f>
        <v>0</v>
      </c>
      <c r="S42" s="21">
        <f>O42+P42+Q42+R42</f>
        <v>12762054.360000001</v>
      </c>
      <c r="T42" s="21">
        <f>T45+T46</f>
        <v>0</v>
      </c>
      <c r="U42" s="21">
        <f>U45+U46</f>
        <v>0</v>
      </c>
      <c r="V42" s="21">
        <f>V45+V46</f>
        <v>0</v>
      </c>
      <c r="W42" s="21">
        <f>S42+T42+U42+V42</f>
        <v>12762054.360000001</v>
      </c>
    </row>
    <row r="43" spans="1:23" ht="30" hidden="1">
      <c r="B43" s="20" t="s">
        <v>104</v>
      </c>
      <c r="C43" s="6">
        <v>5.94</v>
      </c>
      <c r="D43" s="6" t="s">
        <v>2</v>
      </c>
      <c r="E43" s="7"/>
      <c r="F43" s="21">
        <v>9694080</v>
      </c>
      <c r="G43" s="27">
        <f>F43*0.04</f>
        <v>387763.20000000001</v>
      </c>
      <c r="H43" s="25">
        <f>F43*H31</f>
        <v>775526.40000000002</v>
      </c>
      <c r="I43" s="65">
        <f>F43*I31</f>
        <v>775526.40000000002</v>
      </c>
      <c r="J43" s="65">
        <f>F43*J31</f>
        <v>775526.40000000002</v>
      </c>
      <c r="K43" s="43">
        <f t="shared" si="11"/>
        <v>2714342.4</v>
      </c>
      <c r="L43" s="65">
        <f>F43*L31</f>
        <v>775526.40000000002</v>
      </c>
      <c r="M43" s="25"/>
      <c r="N43" s="25"/>
      <c r="O43" s="25"/>
      <c r="P43" s="25"/>
      <c r="Q43" s="25"/>
      <c r="R43" s="25"/>
      <c r="S43" s="43"/>
      <c r="T43" s="65"/>
      <c r="U43" s="65"/>
      <c r="V43" s="65"/>
      <c r="W43" s="65"/>
    </row>
    <row r="44" spans="1:23" hidden="1">
      <c r="B44" s="20" t="s">
        <v>105</v>
      </c>
      <c r="C44" s="6"/>
      <c r="D44" s="6"/>
      <c r="E44" s="7"/>
      <c r="F44" s="21">
        <v>25756071</v>
      </c>
      <c r="G44" s="6"/>
      <c r="H44" s="65"/>
      <c r="I44" s="65">
        <f>F44*0.2</f>
        <v>5151214.2</v>
      </c>
      <c r="J44" s="65">
        <f>F44*J31</f>
        <v>2060485.68</v>
      </c>
      <c r="K44" s="43">
        <f t="shared" si="11"/>
        <v>7211699.8799999999</v>
      </c>
      <c r="L44" s="65">
        <f>F44*L31</f>
        <v>2060485.68</v>
      </c>
      <c r="M44" s="25"/>
      <c r="N44" s="25"/>
      <c r="O44" s="25"/>
      <c r="P44" s="25"/>
      <c r="Q44" s="25"/>
      <c r="R44" s="25"/>
      <c r="S44" s="43"/>
      <c r="T44" s="65"/>
      <c r="U44" s="65"/>
      <c r="V44" s="65"/>
      <c r="W44" s="65"/>
    </row>
    <row r="45" spans="1:23" hidden="1">
      <c r="A45" s="1" t="s">
        <v>48</v>
      </c>
      <c r="B45" s="5" t="s">
        <v>8</v>
      </c>
      <c r="C45" s="6"/>
      <c r="D45" s="6" t="s">
        <v>2</v>
      </c>
      <c r="E45" s="7"/>
      <c r="F45" s="10">
        <f>C45*E45</f>
        <v>0</v>
      </c>
      <c r="G45" s="7">
        <f>F45</f>
        <v>0</v>
      </c>
      <c r="H45" s="6">
        <f>F45*5%</f>
        <v>0</v>
      </c>
      <c r="I45" s="6">
        <f>G45*0.08</f>
        <v>0</v>
      </c>
      <c r="J45" s="6">
        <f>G45*0.13</f>
        <v>0</v>
      </c>
      <c r="K45" s="43">
        <f t="shared" si="11"/>
        <v>0</v>
      </c>
      <c r="L45" s="6">
        <f>F45*0.08</f>
        <v>0</v>
      </c>
      <c r="M45" s="6">
        <f>G45*0.08</f>
        <v>0</v>
      </c>
      <c r="N45" s="6">
        <f>F45*0.08</f>
        <v>0</v>
      </c>
      <c r="O45" s="25">
        <f>K45+L45+N45</f>
        <v>0</v>
      </c>
      <c r="P45" s="6">
        <f>G45*0.08</f>
        <v>0</v>
      </c>
      <c r="Q45" s="6">
        <f>G45*0.08</f>
        <v>0</v>
      </c>
      <c r="R45" s="6">
        <f>G45*0.08</f>
        <v>0</v>
      </c>
      <c r="S45" s="43">
        <f>SUM(O45:R45)</f>
        <v>0</v>
      </c>
      <c r="T45" s="27">
        <f>G45*0.08</f>
        <v>0</v>
      </c>
      <c r="U45" s="27">
        <f>G45*0.08</f>
        <v>0</v>
      </c>
      <c r="V45" s="27">
        <f>G45*0.08</f>
        <v>0</v>
      </c>
      <c r="W45" s="27">
        <f>SUM(S45:V45)</f>
        <v>0</v>
      </c>
    </row>
    <row r="46" spans="1:23" hidden="1">
      <c r="A46" s="1" t="s">
        <v>48</v>
      </c>
      <c r="B46" s="5" t="s">
        <v>31</v>
      </c>
      <c r="C46" s="6"/>
      <c r="D46" s="6" t="s">
        <v>2</v>
      </c>
      <c r="E46" s="7"/>
      <c r="F46" s="10">
        <f>C46*E46</f>
        <v>0</v>
      </c>
      <c r="G46" s="7">
        <f>F46</f>
        <v>0</v>
      </c>
      <c r="H46" s="6">
        <f>F46*5%</f>
        <v>0</v>
      </c>
      <c r="I46" s="6">
        <f>G46*0.08</f>
        <v>0</v>
      </c>
      <c r="J46" s="6">
        <f>G46*0.13</f>
        <v>0</v>
      </c>
      <c r="K46" s="43">
        <f t="shared" si="11"/>
        <v>0</v>
      </c>
      <c r="L46" s="6">
        <f>F46*0.08</f>
        <v>0</v>
      </c>
      <c r="M46" s="6">
        <f>G46*0.08</f>
        <v>0</v>
      </c>
      <c r="N46" s="6">
        <f>G46*0.08</f>
        <v>0</v>
      </c>
      <c r="O46" s="25">
        <f>K46+L46+N46+M46</f>
        <v>0</v>
      </c>
      <c r="P46" s="6">
        <f>G46*0.08</f>
        <v>0</v>
      </c>
      <c r="Q46" s="6">
        <f>G46*0.08</f>
        <v>0</v>
      </c>
      <c r="R46" s="6">
        <f>G46*0.08</f>
        <v>0</v>
      </c>
      <c r="S46" s="43">
        <f>SUM(O46:R46)</f>
        <v>0</v>
      </c>
      <c r="T46" s="6">
        <f>G46*0.08</f>
        <v>0</v>
      </c>
      <c r="U46" s="6">
        <f>G46*0.08</f>
        <v>0</v>
      </c>
      <c r="V46" s="6">
        <f>G46*0.08</f>
        <v>0</v>
      </c>
      <c r="W46" s="6">
        <f>SUM(S46:V46)</f>
        <v>0</v>
      </c>
    </row>
    <row r="47" spans="1:23" hidden="1">
      <c r="B47" s="69" t="s">
        <v>109</v>
      </c>
      <c r="C47" s="69"/>
      <c r="D47" s="69"/>
      <c r="E47" s="69"/>
      <c r="F47" s="71">
        <f>F32+F16+F4</f>
        <v>188934361.33333331</v>
      </c>
      <c r="G47" s="71">
        <f>G32+G16+G4</f>
        <v>5666604.6800000006</v>
      </c>
      <c r="H47" s="71">
        <f>H32+H16+H4</f>
        <v>13125497.360000001</v>
      </c>
      <c r="I47" s="71">
        <f>I32+I16+I4</f>
        <v>18276711.560000002</v>
      </c>
      <c r="J47" s="71">
        <f>J32+J16+J4</f>
        <v>15185983.040000001</v>
      </c>
      <c r="K47" s="43">
        <f t="shared" si="11"/>
        <v>52254796.640000008</v>
      </c>
      <c r="L47" s="71">
        <f>L32+L16+L4</f>
        <v>15185983.040000001</v>
      </c>
      <c r="M47" s="27"/>
      <c r="N47" s="27"/>
      <c r="O47" s="43"/>
      <c r="P47" s="27"/>
      <c r="Q47" s="27"/>
      <c r="R47" s="27"/>
      <c r="S47" s="43"/>
      <c r="T47" s="27"/>
      <c r="U47" s="27"/>
      <c r="V47" s="27"/>
      <c r="W47" s="27"/>
    </row>
    <row r="48" spans="1:23" ht="45" hidden="1">
      <c r="A48" s="1" t="s">
        <v>35</v>
      </c>
      <c r="B48" s="17" t="s">
        <v>10</v>
      </c>
      <c r="C48" s="6">
        <v>2899</v>
      </c>
      <c r="D48" s="6" t="s">
        <v>2</v>
      </c>
      <c r="E48" s="7">
        <v>1140</v>
      </c>
      <c r="F48" s="14">
        <f>C48*E48</f>
        <v>3304860</v>
      </c>
      <c r="G48" s="7">
        <f>F48*0.04</f>
        <v>132194.4</v>
      </c>
      <c r="H48" s="40">
        <f>F48*8%</f>
        <v>264388.8</v>
      </c>
      <c r="I48" s="27">
        <f>F48*I31</f>
        <v>264388.8</v>
      </c>
      <c r="J48" s="27">
        <f>F48*J1</f>
        <v>264388.8</v>
      </c>
      <c r="K48" s="43">
        <f t="shared" si="11"/>
        <v>925360.8</v>
      </c>
      <c r="L48" s="27">
        <f>F48*L31</f>
        <v>264388.8</v>
      </c>
      <c r="M48" s="27"/>
      <c r="N48" s="27"/>
      <c r="O48" s="43">
        <f>K48+L48+M48+N48</f>
        <v>1189749.6000000001</v>
      </c>
      <c r="P48" s="27"/>
      <c r="Q48" s="27"/>
      <c r="R48" s="27"/>
      <c r="S48" s="43">
        <f>SUM(O48:R48)</f>
        <v>1189749.6000000001</v>
      </c>
      <c r="T48" s="27"/>
      <c r="U48" s="27">
        <f>G48*0.08</f>
        <v>10575.552</v>
      </c>
      <c r="V48" s="27">
        <f>F48-S48-T48-U48</f>
        <v>2104534.8479999998</v>
      </c>
      <c r="W48" s="27">
        <f>SUM(S48:V48)</f>
        <v>3304860</v>
      </c>
    </row>
    <row r="49" spans="2:23" hidden="1">
      <c r="B49" s="5"/>
      <c r="C49" s="6"/>
      <c r="D49" s="6"/>
      <c r="E49" s="7"/>
      <c r="F49" s="10"/>
      <c r="G49" s="6"/>
      <c r="H49" s="6"/>
      <c r="I49" s="6"/>
      <c r="J49" s="6"/>
      <c r="K49" s="43">
        <f t="shared" ref="K49:K54" si="12">SUM(G49:J49)</f>
        <v>0</v>
      </c>
      <c r="L49" s="6"/>
      <c r="M49" s="6"/>
      <c r="N49" s="6"/>
      <c r="O49" s="44"/>
      <c r="P49" s="6"/>
      <c r="Q49" s="6"/>
      <c r="R49" s="6"/>
      <c r="S49" s="43">
        <f>SUM(O49:R49)</f>
        <v>0</v>
      </c>
      <c r="T49" s="6"/>
      <c r="U49" s="6"/>
      <c r="V49" s="6"/>
      <c r="W49" s="27">
        <f>SUM(S49:V49)</f>
        <v>0</v>
      </c>
    </row>
    <row r="50" spans="2:23" hidden="1">
      <c r="B50" s="11" t="s">
        <v>14</v>
      </c>
      <c r="C50" s="12"/>
      <c r="D50" s="12"/>
      <c r="E50" s="12"/>
      <c r="F50" s="13">
        <f>F4+F16+F32+F48</f>
        <v>192239221.33333331</v>
      </c>
      <c r="G50" s="13">
        <f>G4+G16+G32+G48</f>
        <v>5798799.080000001</v>
      </c>
      <c r="H50" s="13">
        <f>H4+H16+H32+H48</f>
        <v>13389886.160000002</v>
      </c>
      <c r="I50" s="13">
        <f>I4+I16+I32+I48</f>
        <v>18541100.360000003</v>
      </c>
      <c r="J50" s="13">
        <f>J4+J16+J32+J48</f>
        <v>15450371.840000002</v>
      </c>
      <c r="K50" s="43">
        <f t="shared" si="12"/>
        <v>53180157.440000013</v>
      </c>
      <c r="L50" s="13">
        <f>L4+L16+L32+L48</f>
        <v>15450371.840000002</v>
      </c>
      <c r="M50" s="27"/>
      <c r="N50" s="27"/>
      <c r="O50" s="43"/>
      <c r="P50" s="27"/>
      <c r="Q50" s="27"/>
      <c r="R50" s="27"/>
      <c r="S50" s="43"/>
      <c r="T50" s="27"/>
      <c r="U50" s="27"/>
      <c r="V50" s="27"/>
      <c r="W50" s="27"/>
    </row>
    <row r="51" spans="2:23" hidden="1">
      <c r="B51" s="5" t="s">
        <v>57</v>
      </c>
      <c r="C51" s="6"/>
      <c r="D51" s="6"/>
      <c r="E51" s="6"/>
      <c r="F51" s="66">
        <f>F50-F33</f>
        <v>192239221.33333331</v>
      </c>
      <c r="G51" s="13">
        <f>G50-G33</f>
        <v>5798799.080000001</v>
      </c>
      <c r="H51" s="13">
        <f>H50-H33</f>
        <v>13389886.160000002</v>
      </c>
      <c r="I51" s="13">
        <f>I50-I33</f>
        <v>18541100.360000003</v>
      </c>
      <c r="J51" s="13">
        <f>J50-J33</f>
        <v>15450371.840000002</v>
      </c>
      <c r="K51" s="43">
        <f t="shared" si="12"/>
        <v>53180157.440000013</v>
      </c>
      <c r="L51" s="13">
        <f>L50-L33</f>
        <v>15450371.840000002</v>
      </c>
      <c r="M51" s="13"/>
      <c r="N51" s="13"/>
      <c r="O51" s="53"/>
      <c r="P51" s="13"/>
      <c r="Q51" s="13"/>
      <c r="R51" s="13"/>
      <c r="S51" s="43"/>
      <c r="T51" s="13"/>
      <c r="U51" s="13"/>
      <c r="V51" s="13"/>
      <c r="W51" s="63"/>
    </row>
    <row r="52" spans="2:23" hidden="1">
      <c r="B52" s="5" t="s">
        <v>168</v>
      </c>
      <c r="C52" s="6"/>
      <c r="D52" s="6"/>
      <c r="E52" s="6"/>
      <c r="F52" s="13">
        <f>F33</f>
        <v>0</v>
      </c>
      <c r="G52" s="13">
        <f>G33</f>
        <v>0</v>
      </c>
      <c r="H52" s="13">
        <v>647</v>
      </c>
      <c r="I52" s="6"/>
      <c r="J52" s="6"/>
      <c r="K52" s="43">
        <f t="shared" si="12"/>
        <v>647</v>
      </c>
      <c r="L52" s="6">
        <v>643</v>
      </c>
      <c r="M52" s="6"/>
      <c r="N52" s="6"/>
      <c r="O52" s="44"/>
      <c r="P52" s="6"/>
      <c r="Q52" s="6"/>
      <c r="R52" s="6"/>
      <c r="S52" s="43">
        <f>SUM(O52:R52)</f>
        <v>0</v>
      </c>
      <c r="T52" s="6"/>
      <c r="U52" s="6"/>
      <c r="V52" s="6"/>
      <c r="W52" s="63">
        <f>SUM(S52:V52)</f>
        <v>0</v>
      </c>
    </row>
    <row r="53" spans="2:23" ht="30" hidden="1">
      <c r="B53" s="5" t="s">
        <v>169</v>
      </c>
      <c r="C53" s="6"/>
      <c r="D53" s="6"/>
      <c r="E53" s="6"/>
      <c r="F53" s="6"/>
      <c r="G53" s="6"/>
      <c r="H53" s="6">
        <v>205994</v>
      </c>
      <c r="I53" s="6">
        <v>302370</v>
      </c>
      <c r="J53" s="6">
        <v>204343</v>
      </c>
      <c r="K53" s="43">
        <f t="shared" si="12"/>
        <v>712707</v>
      </c>
      <c r="L53" s="6">
        <v>187960</v>
      </c>
      <c r="M53" s="6"/>
      <c r="N53" s="6"/>
      <c r="O53" s="44">
        <f>K53+M53+N53+L53</f>
        <v>900667</v>
      </c>
      <c r="P53" s="6"/>
      <c r="Q53" s="6"/>
      <c r="R53" s="6"/>
      <c r="S53" s="43">
        <f>SUM(O53:R53)</f>
        <v>900667</v>
      </c>
      <c r="T53" s="6"/>
      <c r="U53" s="6"/>
      <c r="V53" s="6"/>
      <c r="W53" s="63">
        <f>S53+T53+U53+V53</f>
        <v>900667</v>
      </c>
    </row>
    <row r="54" spans="2:23" hidden="1">
      <c r="B54" s="30" t="s">
        <v>62</v>
      </c>
      <c r="C54" s="31"/>
      <c r="D54" s="31"/>
      <c r="E54" s="31"/>
      <c r="F54" s="28"/>
      <c r="G54" s="29">
        <f>G51+G52+G53</f>
        <v>5798799.080000001</v>
      </c>
      <c r="H54" s="29">
        <f>H51+H52+H53</f>
        <v>13596527.160000002</v>
      </c>
      <c r="I54" s="29">
        <f>I51+I53</f>
        <v>18843470.360000003</v>
      </c>
      <c r="J54" s="29">
        <f>J51+J53</f>
        <v>15654714.840000002</v>
      </c>
      <c r="K54" s="43">
        <f t="shared" si="12"/>
        <v>53893511.440000013</v>
      </c>
      <c r="L54" s="29">
        <f>L51+L53+L52</f>
        <v>15638974.840000002</v>
      </c>
      <c r="M54" s="13">
        <f t="shared" ref="M54:R54" si="13">M51+M53</f>
        <v>0</v>
      </c>
      <c r="N54" s="13">
        <f t="shared" si="13"/>
        <v>0</v>
      </c>
      <c r="O54" s="53">
        <f t="shared" si="13"/>
        <v>900667</v>
      </c>
      <c r="P54" s="13">
        <f t="shared" si="13"/>
        <v>0</v>
      </c>
      <c r="Q54" s="13">
        <f t="shared" si="13"/>
        <v>0</v>
      </c>
      <c r="R54" s="13">
        <f t="shared" si="13"/>
        <v>0</v>
      </c>
      <c r="S54" s="43">
        <f>SUM(O54:R54)</f>
        <v>900667</v>
      </c>
      <c r="T54" s="13">
        <f>T51+T53</f>
        <v>0</v>
      </c>
      <c r="U54" s="13">
        <f>U51+U53</f>
        <v>0</v>
      </c>
      <c r="V54" s="13">
        <f>V51+V53</f>
        <v>0</v>
      </c>
      <c r="W54" s="63">
        <f>S54+T54+U54+V54</f>
        <v>900667</v>
      </c>
    </row>
    <row r="55" spans="2:23" ht="30" hidden="1">
      <c r="B55" s="5" t="s">
        <v>79</v>
      </c>
      <c r="C55" s="6"/>
      <c r="D55" s="6"/>
      <c r="E55" s="6"/>
      <c r="F55" s="6"/>
      <c r="G55" s="6"/>
      <c r="H55" s="6"/>
      <c r="I55" s="6">
        <v>-103615</v>
      </c>
      <c r="J55" s="6"/>
      <c r="K55" s="43"/>
      <c r="L55" s="6"/>
      <c r="M55" s="6"/>
      <c r="N55" s="6"/>
      <c r="O55" s="6">
        <v>-183669</v>
      </c>
      <c r="P55" s="6"/>
      <c r="Q55" s="6"/>
      <c r="R55" s="6"/>
      <c r="S55" s="43"/>
      <c r="T55" s="6"/>
      <c r="U55" s="6"/>
      <c r="V55" s="6"/>
      <c r="W55" s="6"/>
    </row>
    <row r="56" spans="2:23" hidden="1">
      <c r="F56" s="1" t="s">
        <v>67</v>
      </c>
      <c r="G56" s="1" t="s">
        <v>70</v>
      </c>
      <c r="H56" s="1" t="s">
        <v>72</v>
      </c>
      <c r="I56" s="1" t="s">
        <v>73</v>
      </c>
      <c r="J56" s="1" t="s">
        <v>71</v>
      </c>
      <c r="K56" s="43" t="s">
        <v>154</v>
      </c>
      <c r="L56" s="47">
        <v>41386</v>
      </c>
      <c r="M56" s="47">
        <v>41416</v>
      </c>
      <c r="N56" s="6" t="s">
        <v>94</v>
      </c>
      <c r="O56" s="6"/>
      <c r="P56" s="47">
        <v>41477</v>
      </c>
      <c r="Q56" s="47">
        <v>41508</v>
      </c>
      <c r="R56" s="6"/>
      <c r="S56" s="43"/>
      <c r="T56" s="47"/>
      <c r="U56" s="47"/>
      <c r="V56" s="6"/>
      <c r="W56" s="6"/>
    </row>
    <row r="57" spans="2:23" ht="45" hidden="1">
      <c r="B57" s="20" t="s">
        <v>66</v>
      </c>
      <c r="C57" s="6"/>
      <c r="D57" s="6"/>
      <c r="E57" s="7"/>
      <c r="F57" s="21">
        <f t="shared" ref="F57:L57" si="14">SUM(F58:F60)</f>
        <v>58255</v>
      </c>
      <c r="G57" s="21">
        <f t="shared" si="14"/>
        <v>3792133</v>
      </c>
      <c r="H57" s="21">
        <f t="shared" si="14"/>
        <v>4852051</v>
      </c>
      <c r="I57" s="21">
        <f t="shared" si="14"/>
        <v>4251988</v>
      </c>
      <c r="J57" s="21">
        <f t="shared" si="14"/>
        <v>4243282</v>
      </c>
      <c r="K57" s="43">
        <f t="shared" si="14"/>
        <v>17139454</v>
      </c>
      <c r="L57" s="21">
        <f t="shared" si="14"/>
        <v>4651423</v>
      </c>
      <c r="M57" s="21">
        <f>SUM(M58:M61)</f>
        <v>0</v>
      </c>
      <c r="N57" s="21">
        <f>SUM(N58:N60)</f>
        <v>0</v>
      </c>
      <c r="O57" s="59">
        <f>K57+M57+N57+L57</f>
        <v>21790877</v>
      </c>
      <c r="P57" s="21">
        <f>SUM(P58:P61)</f>
        <v>0</v>
      </c>
      <c r="Q57" s="21">
        <f>SUM(Q58:Q61)</f>
        <v>0</v>
      </c>
      <c r="R57" s="21">
        <f>SUM(R58:R61)</f>
        <v>0</v>
      </c>
      <c r="S57" s="43">
        <f t="shared" ref="S57:S70" si="15">SUM(O57:R57)</f>
        <v>21790877</v>
      </c>
      <c r="T57" s="21">
        <f>SUM(T58:T61)</f>
        <v>0</v>
      </c>
      <c r="U57" s="21">
        <f>SUM(U58:U61)</f>
        <v>0</v>
      </c>
      <c r="V57" s="21">
        <f>SUM(V58:V61)</f>
        <v>0</v>
      </c>
      <c r="W57" s="21">
        <f>S57+T57+U57+V57</f>
        <v>21790877</v>
      </c>
    </row>
    <row r="58" spans="2:23" hidden="1">
      <c r="B58" s="5" t="s">
        <v>36</v>
      </c>
      <c r="C58" s="6"/>
      <c r="D58" s="6"/>
      <c r="E58" s="7"/>
      <c r="F58" s="15">
        <v>9540</v>
      </c>
      <c r="G58" s="6">
        <v>828459</v>
      </c>
      <c r="H58" s="6">
        <v>751645</v>
      </c>
      <c r="I58" s="6">
        <v>882392</v>
      </c>
      <c r="J58" s="6">
        <v>882392</v>
      </c>
      <c r="K58" s="43">
        <f>SUM(G58:J58)</f>
        <v>3344888</v>
      </c>
      <c r="L58" s="6">
        <v>905477</v>
      </c>
      <c r="M58" s="6"/>
      <c r="N58" s="6"/>
      <c r="O58" s="59">
        <f>K58+M58+N58+L58</f>
        <v>4250365</v>
      </c>
      <c r="P58" s="6"/>
      <c r="Q58" s="6"/>
      <c r="R58" s="6"/>
      <c r="S58" s="43">
        <f t="shared" si="15"/>
        <v>4250365</v>
      </c>
      <c r="T58" s="6"/>
      <c r="U58" s="6"/>
      <c r="V58" s="6"/>
      <c r="W58" s="63">
        <f>S58+T58+U58+V58</f>
        <v>4250365</v>
      </c>
    </row>
    <row r="59" spans="2:23" ht="30" hidden="1">
      <c r="B59" s="5" t="s">
        <v>37</v>
      </c>
      <c r="C59" s="6"/>
      <c r="D59" s="6"/>
      <c r="E59" s="7"/>
      <c r="F59" s="15">
        <v>14985</v>
      </c>
      <c r="G59" s="6">
        <v>970650</v>
      </c>
      <c r="H59" s="6">
        <v>1411830</v>
      </c>
      <c r="I59" s="6">
        <v>1195740</v>
      </c>
      <c r="J59" s="6">
        <v>1284570</v>
      </c>
      <c r="K59" s="43">
        <f t="shared" ref="K59:K69" si="16">SUM(G59:J59)</f>
        <v>4862790</v>
      </c>
      <c r="L59" s="6">
        <v>1188090</v>
      </c>
      <c r="M59" s="6"/>
      <c r="N59" s="6"/>
      <c r="O59" s="59">
        <f>K59+M59+N59+L59</f>
        <v>6050880</v>
      </c>
      <c r="P59" s="6"/>
      <c r="Q59" s="6"/>
      <c r="R59" s="6"/>
      <c r="S59" s="43">
        <f t="shared" si="15"/>
        <v>6050880</v>
      </c>
      <c r="T59" s="6"/>
      <c r="U59" s="6"/>
      <c r="V59" s="6"/>
      <c r="W59" s="63">
        <f>S59+T59+U59+V59</f>
        <v>6050880</v>
      </c>
    </row>
    <row r="60" spans="2:23" ht="30" hidden="1">
      <c r="B60" s="5" t="s">
        <v>38</v>
      </c>
      <c r="C60" s="6"/>
      <c r="D60" s="6"/>
      <c r="E60" s="7"/>
      <c r="F60" s="15">
        <v>33730</v>
      </c>
      <c r="G60" s="6">
        <v>1993024</v>
      </c>
      <c r="H60" s="6">
        <v>2688576</v>
      </c>
      <c r="I60" s="6">
        <v>2173856</v>
      </c>
      <c r="J60" s="6">
        <v>2076320</v>
      </c>
      <c r="K60" s="43">
        <f t="shared" si="16"/>
        <v>8931776</v>
      </c>
      <c r="L60" s="6">
        <v>2557856</v>
      </c>
      <c r="M60" s="6"/>
      <c r="N60" s="6"/>
      <c r="O60" s="59">
        <f>K60+M60+N60+L60</f>
        <v>11489632</v>
      </c>
      <c r="P60" s="6"/>
      <c r="Q60" s="6"/>
      <c r="R60" s="6"/>
      <c r="S60" s="43">
        <f t="shared" si="15"/>
        <v>11489632</v>
      </c>
      <c r="T60" s="6"/>
      <c r="U60" s="6"/>
      <c r="V60" s="6"/>
      <c r="W60" s="63">
        <f>S60+T60+U60+V60</f>
        <v>11489632</v>
      </c>
    </row>
    <row r="61" spans="2:23" hidden="1">
      <c r="B61" s="5" t="s">
        <v>93</v>
      </c>
      <c r="C61" s="6"/>
      <c r="D61" s="6"/>
      <c r="E61" s="7"/>
      <c r="F61" s="15"/>
      <c r="G61" s="6"/>
      <c r="H61" s="6"/>
      <c r="I61" s="6"/>
      <c r="J61" s="6"/>
      <c r="K61" s="43"/>
      <c r="L61" s="6"/>
      <c r="M61" s="6"/>
      <c r="N61" s="6"/>
      <c r="O61" s="59">
        <f>K61+M61+N61+L61</f>
        <v>0</v>
      </c>
      <c r="P61" s="6"/>
      <c r="Q61" s="6"/>
      <c r="R61" s="6"/>
      <c r="S61" s="43">
        <f t="shared" si="15"/>
        <v>0</v>
      </c>
      <c r="T61" s="6"/>
      <c r="U61" s="6"/>
      <c r="V61" s="6"/>
      <c r="W61" s="63">
        <f>S61+T61+U61+V61</f>
        <v>0</v>
      </c>
    </row>
    <row r="62" spans="2:23" hidden="1">
      <c r="B62" s="5"/>
      <c r="C62" s="6"/>
      <c r="D62" s="6"/>
      <c r="E62" s="7"/>
      <c r="F62" s="15"/>
      <c r="G62" s="6"/>
      <c r="H62" s="6"/>
      <c r="I62" s="6"/>
      <c r="J62" s="6"/>
      <c r="K62" s="43"/>
      <c r="L62" s="6"/>
      <c r="M62" s="6"/>
      <c r="N62" s="6"/>
      <c r="O62" s="59"/>
      <c r="P62" s="6"/>
      <c r="Q62" s="6"/>
      <c r="R62" s="6"/>
      <c r="S62" s="43"/>
      <c r="T62" s="6"/>
      <c r="U62" s="6"/>
      <c r="V62" s="6"/>
      <c r="W62" s="63"/>
    </row>
    <row r="63" spans="2:23" hidden="1">
      <c r="B63" s="20" t="s">
        <v>75</v>
      </c>
      <c r="C63" s="20"/>
      <c r="D63" s="20"/>
      <c r="E63" s="20"/>
      <c r="F63" s="20"/>
      <c r="G63" s="20">
        <f t="shared" ref="G63:M63" si="17">SUM(G67:G69)</f>
        <v>0</v>
      </c>
      <c r="H63" s="20">
        <f t="shared" si="17"/>
        <v>0</v>
      </c>
      <c r="I63" s="20">
        <f t="shared" si="17"/>
        <v>0</v>
      </c>
      <c r="J63" s="20">
        <f t="shared" si="17"/>
        <v>142334</v>
      </c>
      <c r="K63" s="43">
        <f t="shared" si="17"/>
        <v>142334</v>
      </c>
      <c r="L63" s="20">
        <f t="shared" si="17"/>
        <v>38897097</v>
      </c>
      <c r="M63" s="20">
        <f t="shared" si="17"/>
        <v>0</v>
      </c>
      <c r="N63" s="20">
        <f>SUM(N64:N69)</f>
        <v>0</v>
      </c>
      <c r="O63" s="54">
        <f>SUM(O64:O69)</f>
        <v>142334</v>
      </c>
      <c r="P63" s="20">
        <f>SUM(P64:P69)</f>
        <v>0</v>
      </c>
      <c r="Q63" s="20">
        <f>SUM(Q64:Q69)</f>
        <v>0</v>
      </c>
      <c r="R63" s="20">
        <f>SUM(R64:R69)</f>
        <v>0</v>
      </c>
      <c r="S63" s="43">
        <f t="shared" si="15"/>
        <v>142334</v>
      </c>
      <c r="T63" s="20">
        <f>SUM(T64:T69)</f>
        <v>0</v>
      </c>
      <c r="U63" s="20">
        <f>SUM(U64:U69)</f>
        <v>0</v>
      </c>
      <c r="V63" s="20">
        <f>SUM(V64:V69)</f>
        <v>0</v>
      </c>
      <c r="W63" s="20">
        <f t="shared" ref="W63:W70" si="18">S63+T63+U63+V63</f>
        <v>142334</v>
      </c>
    </row>
    <row r="64" spans="2:23" s="37" customFormat="1" hidden="1">
      <c r="B64" s="60" t="s">
        <v>166</v>
      </c>
      <c r="C64" s="60"/>
      <c r="D64" s="60"/>
      <c r="E64" s="60"/>
      <c r="F64" s="60"/>
      <c r="G64" s="60"/>
      <c r="H64" s="60"/>
      <c r="I64" s="60"/>
      <c r="J64" s="60"/>
      <c r="K64" s="43"/>
      <c r="L64" s="60"/>
      <c r="M64" s="60"/>
      <c r="N64" s="60"/>
      <c r="O64" s="44">
        <f>K64+M64+N64</f>
        <v>0</v>
      </c>
      <c r="P64" s="60"/>
      <c r="Q64" s="60"/>
      <c r="R64" s="60"/>
      <c r="S64" s="43">
        <f t="shared" si="15"/>
        <v>0</v>
      </c>
      <c r="T64" s="60"/>
      <c r="U64" s="60"/>
      <c r="V64" s="60"/>
      <c r="W64" s="63">
        <f t="shared" si="18"/>
        <v>0</v>
      </c>
    </row>
    <row r="65" spans="2:23" s="37" customFormat="1" hidden="1">
      <c r="B65" s="60"/>
      <c r="C65" s="60"/>
      <c r="D65" s="60"/>
      <c r="E65" s="60"/>
      <c r="F65" s="60"/>
      <c r="G65" s="60"/>
      <c r="H65" s="60"/>
      <c r="I65" s="60"/>
      <c r="J65" s="60"/>
      <c r="K65" s="43"/>
      <c r="L65" s="60"/>
      <c r="M65" s="60"/>
      <c r="N65" s="60"/>
      <c r="O65" s="44">
        <f>K65+M65+N65</f>
        <v>0</v>
      </c>
      <c r="P65" s="60"/>
      <c r="Q65" s="60"/>
      <c r="R65" s="60"/>
      <c r="S65" s="43">
        <f t="shared" si="15"/>
        <v>0</v>
      </c>
      <c r="T65" s="60"/>
      <c r="U65" s="60"/>
      <c r="V65" s="60"/>
      <c r="W65" s="63">
        <f t="shared" si="18"/>
        <v>0</v>
      </c>
    </row>
    <row r="66" spans="2:23" s="37" customFormat="1" hidden="1">
      <c r="B66" s="60" t="s">
        <v>98</v>
      </c>
      <c r="C66" s="60"/>
      <c r="D66" s="60"/>
      <c r="E66" s="60"/>
      <c r="F66" s="60"/>
      <c r="G66" s="60"/>
      <c r="H66" s="60"/>
      <c r="I66" s="60"/>
      <c r="J66" s="60"/>
      <c r="K66" s="43"/>
      <c r="L66" s="60"/>
      <c r="M66" s="60"/>
      <c r="N66" s="60"/>
      <c r="O66" s="44"/>
      <c r="P66" s="60"/>
      <c r="Q66" s="60"/>
      <c r="R66" s="60"/>
      <c r="S66" s="43">
        <f t="shared" si="15"/>
        <v>0</v>
      </c>
      <c r="T66" s="60"/>
      <c r="U66" s="60"/>
      <c r="V66" s="60"/>
      <c r="W66" s="63">
        <f t="shared" si="18"/>
        <v>0</v>
      </c>
    </row>
    <row r="67" spans="2:23" hidden="1">
      <c r="B67" s="5" t="s">
        <v>167</v>
      </c>
      <c r="C67" s="6"/>
      <c r="D67" s="6"/>
      <c r="E67" s="7"/>
      <c r="F67" s="15"/>
      <c r="G67" s="6"/>
      <c r="H67" s="6"/>
      <c r="I67" s="6"/>
      <c r="J67" s="6">
        <v>95000</v>
      </c>
      <c r="K67" s="43">
        <f t="shared" si="16"/>
        <v>95000</v>
      </c>
      <c r="L67" s="6"/>
      <c r="M67" s="6"/>
      <c r="N67" s="6"/>
      <c r="O67" s="44">
        <f>K67+M67+N67</f>
        <v>95000</v>
      </c>
      <c r="P67" s="6"/>
      <c r="Q67" s="6"/>
      <c r="R67" s="6"/>
      <c r="S67" s="43">
        <f t="shared" si="15"/>
        <v>95000</v>
      </c>
      <c r="T67" s="6"/>
      <c r="U67" s="6"/>
      <c r="V67" s="6"/>
      <c r="W67" s="63">
        <f t="shared" si="18"/>
        <v>95000</v>
      </c>
    </row>
    <row r="68" spans="2:23" hidden="1">
      <c r="B68" s="5"/>
      <c r="C68" s="6"/>
      <c r="D68" s="6"/>
      <c r="E68" s="6"/>
      <c r="F68" s="6"/>
      <c r="G68" s="6"/>
      <c r="H68" s="6"/>
      <c r="I68" s="6"/>
      <c r="J68" s="6"/>
      <c r="K68" s="43">
        <f t="shared" si="16"/>
        <v>0</v>
      </c>
      <c r="L68" s="6"/>
      <c r="M68" s="6"/>
      <c r="N68" s="6"/>
      <c r="O68" s="44">
        <f>K68+M68+N68+L68</f>
        <v>0</v>
      </c>
      <c r="P68" s="6"/>
      <c r="Q68" s="6"/>
      <c r="R68" s="6"/>
      <c r="S68" s="43">
        <f t="shared" si="15"/>
        <v>0</v>
      </c>
      <c r="T68" s="6"/>
      <c r="U68" s="6"/>
      <c r="V68" s="6"/>
      <c r="W68" s="63">
        <f t="shared" si="18"/>
        <v>0</v>
      </c>
    </row>
    <row r="69" spans="2:23" hidden="1">
      <c r="B69" s="5" t="s">
        <v>68</v>
      </c>
      <c r="C69" s="6"/>
      <c r="D69" s="6"/>
      <c r="E69" s="6"/>
      <c r="F69" s="6"/>
      <c r="G69" s="6"/>
      <c r="H69" s="6"/>
      <c r="I69" s="6"/>
      <c r="J69" s="6">
        <v>47334</v>
      </c>
      <c r="K69" s="43">
        <f t="shared" si="16"/>
        <v>47334</v>
      </c>
      <c r="L69" s="6">
        <v>38897097</v>
      </c>
      <c r="M69" s="6"/>
      <c r="N69" s="6"/>
      <c r="O69" s="44">
        <f>K69+M69+N69</f>
        <v>47334</v>
      </c>
      <c r="P69" s="6"/>
      <c r="Q69" s="6"/>
      <c r="R69" s="6"/>
      <c r="S69" s="43">
        <f t="shared" si="15"/>
        <v>47334</v>
      </c>
      <c r="T69" s="6"/>
      <c r="U69" s="6"/>
      <c r="V69" s="6"/>
      <c r="W69" s="63">
        <f t="shared" si="18"/>
        <v>47334</v>
      </c>
    </row>
    <row r="70" spans="2:23" hidden="1">
      <c r="B70" s="11" t="s">
        <v>95</v>
      </c>
      <c r="C70" s="12"/>
      <c r="D70" s="12"/>
      <c r="E70" s="12"/>
      <c r="F70" s="12"/>
      <c r="G70" s="13">
        <f t="shared" ref="G70:N70" si="19">G57+G54+G63</f>
        <v>9590932.0800000019</v>
      </c>
      <c r="H70" s="13">
        <f t="shared" si="19"/>
        <v>18448578.160000004</v>
      </c>
      <c r="I70" s="13">
        <f t="shared" si="19"/>
        <v>23095458.360000003</v>
      </c>
      <c r="J70" s="13">
        <f t="shared" si="19"/>
        <v>20040330.840000004</v>
      </c>
      <c r="K70" s="43">
        <f t="shared" si="19"/>
        <v>71175299.440000013</v>
      </c>
      <c r="L70" s="13">
        <f t="shared" si="19"/>
        <v>59187494.840000004</v>
      </c>
      <c r="M70" s="13">
        <f t="shared" si="19"/>
        <v>0</v>
      </c>
      <c r="N70" s="13">
        <f t="shared" si="19"/>
        <v>0</v>
      </c>
      <c r="O70" s="13">
        <f>O57+O54+O63+O55</f>
        <v>22650209</v>
      </c>
      <c r="P70" s="13">
        <f>P57+P54+P63</f>
        <v>0</v>
      </c>
      <c r="Q70" s="13">
        <f>Q57+Q54+Q63</f>
        <v>0</v>
      </c>
      <c r="R70" s="13">
        <f>R57+R54+R63</f>
        <v>0</v>
      </c>
      <c r="S70" s="43">
        <f t="shared" si="15"/>
        <v>22650209</v>
      </c>
      <c r="T70" s="13">
        <f>T57+T54+T63</f>
        <v>0</v>
      </c>
      <c r="U70" s="13">
        <f>U57+U54+U63</f>
        <v>0</v>
      </c>
      <c r="V70" s="13">
        <f>V57+V54+V63</f>
        <v>0</v>
      </c>
      <c r="W70" s="63">
        <f t="shared" si="18"/>
        <v>22650209</v>
      </c>
    </row>
    <row r="71" spans="2:23" hidden="1">
      <c r="B71" s="5"/>
      <c r="C71" s="6"/>
      <c r="D71" s="6"/>
      <c r="E71" s="6"/>
      <c r="F71" s="6"/>
      <c r="G71" s="6"/>
      <c r="H71" s="6"/>
      <c r="I71" s="6"/>
      <c r="J71" s="6"/>
      <c r="K71" s="43"/>
      <c r="L71" s="6"/>
      <c r="M71" s="6"/>
      <c r="N71" s="6" t="s">
        <v>96</v>
      </c>
      <c r="O71" s="6">
        <v>2386491</v>
      </c>
      <c r="P71" s="6"/>
      <c r="Q71" s="6"/>
      <c r="R71" s="6"/>
      <c r="S71" s="43"/>
      <c r="T71" s="6"/>
      <c r="U71" s="6"/>
      <c r="V71" s="6"/>
      <c r="W71" s="6"/>
    </row>
    <row r="72" spans="2:23">
      <c r="O72" s="62"/>
    </row>
    <row r="73" spans="2:23">
      <c r="B73" s="11" t="s">
        <v>177</v>
      </c>
      <c r="C73" s="6"/>
      <c r="D73" s="6"/>
      <c r="E73" s="6"/>
      <c r="F73" s="6"/>
      <c r="G73" s="6"/>
      <c r="H73" s="6"/>
      <c r="I73" s="6"/>
      <c r="J73" s="6"/>
      <c r="K73" s="63">
        <f>SUM(K74:K77)</f>
        <v>301637</v>
      </c>
      <c r="L73" s="6"/>
      <c r="M73" s="6"/>
      <c r="N73" s="6"/>
      <c r="O73" s="12">
        <f>SUM(O74:O77)</f>
        <v>3094080</v>
      </c>
      <c r="P73" s="6"/>
      <c r="Q73" s="6"/>
      <c r="R73" s="6"/>
      <c r="S73" s="63">
        <f>SUM(S74:S77)</f>
        <v>3280098</v>
      </c>
      <c r="T73" s="6"/>
      <c r="U73" s="6"/>
      <c r="V73" s="6"/>
      <c r="W73" s="6"/>
    </row>
    <row r="74" spans="2:23">
      <c r="B74" s="5" t="s">
        <v>168</v>
      </c>
      <c r="C74" s="6"/>
      <c r="D74" s="6"/>
      <c r="E74" s="6"/>
      <c r="F74" s="13">
        <v>3000</v>
      </c>
      <c r="G74" s="13">
        <f>G55</f>
        <v>0</v>
      </c>
      <c r="H74" s="13">
        <v>643</v>
      </c>
      <c r="I74" s="6"/>
      <c r="J74" s="6"/>
      <c r="K74" s="43">
        <f>SUM(G74:J74)</f>
        <v>643</v>
      </c>
      <c r="L74" s="6">
        <v>643</v>
      </c>
      <c r="M74" s="6"/>
      <c r="N74" s="6"/>
      <c r="O74" s="44">
        <f>K74+M74+N74+L74</f>
        <v>1286</v>
      </c>
      <c r="P74" s="6">
        <v>643</v>
      </c>
      <c r="Q74" s="6"/>
      <c r="R74" s="6"/>
      <c r="S74" s="43">
        <f>SUM(O74:R74)</f>
        <v>1929</v>
      </c>
      <c r="T74" s="6">
        <v>641</v>
      </c>
      <c r="U74" s="6"/>
      <c r="V74" s="6"/>
      <c r="W74" s="63">
        <f>SUM(S74:V74)</f>
        <v>2570</v>
      </c>
    </row>
    <row r="75" spans="2:23">
      <c r="B75" s="5" t="s">
        <v>171</v>
      </c>
      <c r="C75" s="6"/>
      <c r="D75" s="6"/>
      <c r="E75" s="6"/>
      <c r="F75" s="6"/>
      <c r="G75" s="6"/>
      <c r="H75" s="6">
        <v>205994</v>
      </c>
      <c r="I75" s="6"/>
      <c r="J75" s="6"/>
      <c r="K75" s="43">
        <f>SUM(G75:J75)</f>
        <v>205994</v>
      </c>
      <c r="L75" s="6"/>
      <c r="M75" s="6"/>
      <c r="N75" s="6"/>
      <c r="O75" s="44">
        <f>K75+M75+N75+L75</f>
        <v>205994</v>
      </c>
      <c r="P75" s="6"/>
      <c r="Q75" s="6"/>
      <c r="R75" s="6"/>
      <c r="S75" s="43">
        <f>SUM(O75:R75)</f>
        <v>205994</v>
      </c>
      <c r="T75" s="6"/>
      <c r="U75" s="6"/>
      <c r="V75" s="6"/>
      <c r="W75" s="63">
        <f>S75+T75+U75+V75</f>
        <v>205994</v>
      </c>
    </row>
    <row r="76" spans="2:23" s="37" customFormat="1">
      <c r="B76" s="60" t="s">
        <v>166</v>
      </c>
      <c r="C76" s="60"/>
      <c r="D76" s="60"/>
      <c r="E76" s="60"/>
      <c r="F76" s="60"/>
      <c r="G76" s="60"/>
      <c r="H76" s="60"/>
      <c r="I76" s="60"/>
      <c r="J76" s="60"/>
      <c r="K76" s="43"/>
      <c r="L76" s="60"/>
      <c r="M76" s="60"/>
      <c r="N76" s="60">
        <v>2791800</v>
      </c>
      <c r="O76" s="44">
        <f>K76+M76+N76</f>
        <v>2791800</v>
      </c>
      <c r="P76" s="60"/>
      <c r="Q76" s="60"/>
      <c r="R76" s="60"/>
      <c r="S76" s="43">
        <f>SUM(O76:R76)</f>
        <v>2791800</v>
      </c>
      <c r="T76" s="60"/>
      <c r="U76" s="60"/>
      <c r="V76" s="60"/>
      <c r="W76" s="63">
        <f>S76+T76+U76+V76</f>
        <v>2791800</v>
      </c>
    </row>
    <row r="77" spans="2:23">
      <c r="B77" s="5" t="s">
        <v>167</v>
      </c>
      <c r="C77" s="6"/>
      <c r="D77" s="6"/>
      <c r="E77" s="7"/>
      <c r="F77" s="15"/>
      <c r="G77" s="6"/>
      <c r="H77" s="6"/>
      <c r="I77" s="6"/>
      <c r="J77" s="6">
        <v>95000</v>
      </c>
      <c r="K77" s="43">
        <f>SUM(G77:J77)</f>
        <v>95000</v>
      </c>
      <c r="L77" s="6"/>
      <c r="M77" s="6"/>
      <c r="N77" s="6"/>
      <c r="O77" s="44">
        <f>K77+M77+N77</f>
        <v>95000</v>
      </c>
      <c r="P77" s="6"/>
      <c r="Q77" s="6"/>
      <c r="R77" s="6">
        <v>185375</v>
      </c>
      <c r="S77" s="43">
        <f>SUM(O77:R77)</f>
        <v>280375</v>
      </c>
      <c r="T77" s="6"/>
      <c r="U77" s="6"/>
      <c r="V77" s="6"/>
      <c r="W77" s="63">
        <f>S77+T77+U77+V77</f>
        <v>280375</v>
      </c>
    </row>
    <row r="81" spans="2:23">
      <c r="B81" s="96" t="s">
        <v>172</v>
      </c>
    </row>
    <row r="82" spans="2:23">
      <c r="B82" s="5" t="s">
        <v>173</v>
      </c>
      <c r="C82" s="6"/>
      <c r="D82" s="6"/>
      <c r="E82" s="6"/>
      <c r="F82" s="6"/>
      <c r="G82" s="6"/>
      <c r="H82" s="6"/>
      <c r="I82" s="6">
        <v>302370</v>
      </c>
      <c r="J82" s="6">
        <v>204343</v>
      </c>
      <c r="K82" s="53">
        <f>SUM(G82:J82)</f>
        <v>506713</v>
      </c>
      <c r="L82" s="6">
        <v>187960</v>
      </c>
      <c r="M82" s="6">
        <v>186182</v>
      </c>
      <c r="N82" s="6">
        <v>187071</v>
      </c>
      <c r="O82" s="97">
        <f>K82+M82+N82+L82</f>
        <v>1067926</v>
      </c>
      <c r="P82" s="6">
        <v>183261</v>
      </c>
      <c r="Q82" s="6">
        <v>182753</v>
      </c>
      <c r="R82" s="6">
        <v>183642</v>
      </c>
      <c r="S82" s="53">
        <f>SUM(O82:R82)</f>
        <v>1617582</v>
      </c>
      <c r="T82" s="6">
        <v>175641</v>
      </c>
      <c r="U82" s="6"/>
      <c r="V82" s="6"/>
      <c r="W82" s="63">
        <f>S82+T82+U82+V82</f>
        <v>1793223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7"/>
  <sheetViews>
    <sheetView workbookViewId="0">
      <selection activeCell="J88" sqref="J88"/>
    </sheetView>
  </sheetViews>
  <sheetFormatPr defaultRowHeight="15"/>
  <cols>
    <col min="1" max="1" width="4.7109375" style="1" customWidth="1"/>
    <col min="2" max="2" width="8.7109375" style="1" customWidth="1"/>
    <col min="3" max="3" width="45.1406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2.71093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0.710937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>
        <v>921</v>
      </c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1" t="s">
        <v>112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2533212</v>
      </c>
      <c r="J4" s="34">
        <f>J5+J14</f>
        <v>4172585.2416666667</v>
      </c>
      <c r="K4" s="34">
        <f>K5+K14</f>
        <v>4569755.2416666672</v>
      </c>
      <c r="L4" s="34">
        <f>I4+J4+K4</f>
        <v>11275552.483333334</v>
      </c>
      <c r="M4" s="31"/>
      <c r="N4" s="34">
        <v>2533212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6"/>
      <c r="N5" s="27">
        <f>M5/12</f>
        <v>0</v>
      </c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/>
      <c r="N14" s="6">
        <f>L14*5%</f>
        <v>0</v>
      </c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6"/>
      <c r="N16" s="26">
        <f>N18+N31</f>
        <v>0</v>
      </c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6"/>
      <c r="N18" s="25">
        <f>N21+N24+N28</f>
        <v>0</v>
      </c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1598155</v>
      </c>
      <c r="J19" s="31"/>
      <c r="K19" s="31"/>
      <c r="L19" s="31"/>
      <c r="M19" s="31"/>
      <c r="N19" s="31">
        <v>1598155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194133</v>
      </c>
      <c r="J27" s="31"/>
      <c r="K27" s="31"/>
      <c r="L27" s="31"/>
      <c r="M27" s="31"/>
      <c r="N27" s="31">
        <v>194133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953341</v>
      </c>
      <c r="J42" s="27">
        <f>H42*0.08</f>
        <v>2191128.7200000002</v>
      </c>
      <c r="K42" s="27">
        <f>H42*0.13</f>
        <v>3560584.17</v>
      </c>
      <c r="L42" s="6"/>
      <c r="M42" s="31"/>
      <c r="N42" s="34">
        <v>953341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387763</v>
      </c>
      <c r="J43" s="31">
        <f>J44+J45</f>
        <v>268310.40000000002</v>
      </c>
      <c r="K43" s="31">
        <f>K44+K45</f>
        <v>436004.4</v>
      </c>
      <c r="L43" s="31"/>
      <c r="M43" s="31"/>
      <c r="N43" s="31">
        <v>387763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73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132194</v>
      </c>
      <c r="J45" s="27">
        <f>H45*0.08</f>
        <v>268310.40000000002</v>
      </c>
      <c r="K45" s="27">
        <f>H45*0.13</f>
        <v>436004.4</v>
      </c>
      <c r="L45" s="6"/>
      <c r="M45" s="31"/>
      <c r="N45" s="31">
        <v>132194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>I4+I19+I27+I42+I43+I45</f>
        <v>5798798</v>
      </c>
      <c r="J47" s="27">
        <f>J4+J16+J42+J45</f>
        <v>12246724.361666668</v>
      </c>
      <c r="K47" s="27">
        <f>K4+K16+K42+K45</f>
        <v>12576843.811666667</v>
      </c>
      <c r="L47" s="6"/>
      <c r="M47" s="6"/>
      <c r="N47" s="27">
        <f>N4+N19+N27+N42+N43+N45</f>
        <v>5798798</v>
      </c>
    </row>
    <row r="48" spans="1:14">
      <c r="B48" s="35"/>
      <c r="C48" s="11" t="s">
        <v>57</v>
      </c>
      <c r="D48" s="6"/>
      <c r="E48" s="6"/>
      <c r="F48" s="6"/>
      <c r="G48" s="13">
        <f>G47-G35</f>
        <v>131379747.90000001</v>
      </c>
      <c r="H48" s="13">
        <f>H47-H35</f>
        <v>137803747.90000001</v>
      </c>
      <c r="I48" s="13">
        <f>I47-I35</f>
        <v>5798798</v>
      </c>
      <c r="J48" s="13">
        <f>J47-J35</f>
        <v>12246724.361666668</v>
      </c>
      <c r="K48" s="13">
        <f>K47-K35</f>
        <v>12576843.811666667</v>
      </c>
      <c r="L48" s="6"/>
      <c r="M48" s="12"/>
      <c r="N48" s="13">
        <f>N47-N35</f>
        <v>5798798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/>
      <c r="J50" s="6">
        <v>538253</v>
      </c>
      <c r="K50" s="6">
        <v>353187</v>
      </c>
      <c r="L50" s="6"/>
      <c r="M50" s="6"/>
      <c r="N50" s="6"/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5798798</v>
      </c>
      <c r="J51" s="29">
        <f>J48+J50</f>
        <v>12784977.361666668</v>
      </c>
      <c r="K51" s="29">
        <f>K48+K50</f>
        <v>12930030.811666667</v>
      </c>
      <c r="L51" s="28"/>
      <c r="M51" s="28">
        <f>M48+M50</f>
        <v>0</v>
      </c>
      <c r="N51" s="28">
        <f>N48+N50</f>
        <v>5798798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0">SUM(I54:I56)</f>
        <v>3792133</v>
      </c>
      <c r="J53" s="21">
        <f t="shared" si="0"/>
        <v>0</v>
      </c>
      <c r="K53" s="21">
        <f t="shared" si="0"/>
        <v>0</v>
      </c>
      <c r="L53" s="21">
        <f t="shared" si="0"/>
        <v>0</v>
      </c>
      <c r="M53" s="21">
        <f t="shared" si="0"/>
        <v>3792133</v>
      </c>
      <c r="N53" s="21">
        <f t="shared" si="0"/>
        <v>0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828459</v>
      </c>
      <c r="J54" s="6"/>
      <c r="K54" s="6"/>
      <c r="L54" s="6"/>
      <c r="M54" s="21">
        <f>I54</f>
        <v>828459</v>
      </c>
      <c r="N54" s="6"/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970650</v>
      </c>
      <c r="J55" s="6"/>
      <c r="K55" s="6"/>
      <c r="L55" s="6"/>
      <c r="M55" s="21">
        <f>I55</f>
        <v>970650</v>
      </c>
      <c r="N55" s="6"/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1993024</v>
      </c>
      <c r="J56" s="6"/>
      <c r="K56" s="6"/>
      <c r="L56" s="6"/>
      <c r="M56" s="21">
        <f>I56</f>
        <v>1993024</v>
      </c>
      <c r="N56" s="6"/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1">SUM(I60:I62)</f>
        <v>0</v>
      </c>
      <c r="J59" s="75">
        <f t="shared" si="1"/>
        <v>0</v>
      </c>
      <c r="K59" s="75">
        <f t="shared" si="1"/>
        <v>0</v>
      </c>
      <c r="L59" s="75">
        <f t="shared" si="1"/>
        <v>0</v>
      </c>
      <c r="M59" s="75">
        <f t="shared" si="1"/>
        <v>0</v>
      </c>
      <c r="N59" s="75">
        <f t="shared" si="1"/>
        <v>0</v>
      </c>
    </row>
    <row r="60" spans="2:14">
      <c r="B60" s="76" t="s">
        <v>146</v>
      </c>
      <c r="C60" s="5" t="s">
        <v>76</v>
      </c>
      <c r="D60" s="6"/>
      <c r="E60" s="6"/>
      <c r="F60" s="7"/>
      <c r="G60" s="15">
        <v>495000</v>
      </c>
      <c r="H60" s="6"/>
      <c r="I60" s="21"/>
      <c r="J60" s="6"/>
      <c r="K60" s="6"/>
      <c r="L60" s="6"/>
      <c r="M60" s="6"/>
      <c r="N60" s="6"/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2">SUM(I64:I66)</f>
        <v>0</v>
      </c>
      <c r="J63" s="75">
        <f t="shared" si="2"/>
        <v>0</v>
      </c>
      <c r="K63" s="75">
        <f t="shared" si="2"/>
        <v>0</v>
      </c>
      <c r="L63" s="75">
        <f t="shared" si="2"/>
        <v>0</v>
      </c>
      <c r="M63" s="75">
        <f t="shared" si="2"/>
        <v>0</v>
      </c>
      <c r="N63" s="75">
        <f t="shared" si="2"/>
        <v>0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/>
      <c r="N64" s="6"/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3">I51+I53+I59+I63</f>
        <v>9590931</v>
      </c>
      <c r="J67" s="13">
        <f t="shared" si="3"/>
        <v>12784977.361666668</v>
      </c>
      <c r="K67" s="13">
        <f t="shared" si="3"/>
        <v>12930030.811666667</v>
      </c>
      <c r="L67" s="13">
        <f t="shared" si="3"/>
        <v>0</v>
      </c>
      <c r="M67" s="13">
        <f t="shared" si="3"/>
        <v>3792133</v>
      </c>
      <c r="N67" s="13">
        <f t="shared" si="3"/>
        <v>5798798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7"/>
  <sheetViews>
    <sheetView topLeftCell="A41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710937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2.71093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3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56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1">
        <v>5066425</v>
      </c>
      <c r="N4" s="31"/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6"/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/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6"/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6"/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1"/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582400</v>
      </c>
      <c r="N27" s="31"/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>
        <v>1906682</v>
      </c>
      <c r="N42" s="31"/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775526</v>
      </c>
      <c r="J43" s="31">
        <f>J44+J45</f>
        <v>268310.40000000002</v>
      </c>
      <c r="K43" s="31">
        <f>K44+K45</f>
        <v>436004.4</v>
      </c>
      <c r="L43" s="31"/>
      <c r="M43" s="31">
        <v>591431</v>
      </c>
      <c r="N43" s="31">
        <f>I43-M43</f>
        <v>184095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1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13389886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12941402</v>
      </c>
      <c r="N47" s="27">
        <f t="shared" si="0"/>
        <v>448484</v>
      </c>
    </row>
    <row r="48" spans="1:14">
      <c r="B48" s="35"/>
      <c r="C48" s="11" t="s">
        <v>57</v>
      </c>
      <c r="D48" s="6"/>
      <c r="E48" s="6"/>
      <c r="F48" s="6"/>
      <c r="G48" s="13">
        <f>G47-G35</f>
        <v>131379747.90000001</v>
      </c>
      <c r="H48" s="13">
        <f>H47-H35</f>
        <v>137803747.90000001</v>
      </c>
      <c r="I48" s="13">
        <f>I4+I19+I27+I42+I43+I45</f>
        <v>13389886</v>
      </c>
      <c r="J48" s="13">
        <f>J4+J19+J27+J42+J43+J45</f>
        <v>6900334.7616666676</v>
      </c>
      <c r="K48" s="13">
        <f>K4+K19+K27+K42+K43+K45</f>
        <v>9002348.2116666678</v>
      </c>
      <c r="L48" s="13">
        <f>L4+L19+L27+L42+L43+L45</f>
        <v>13808765.483333334</v>
      </c>
      <c r="M48" s="13">
        <f>M4+M19+M27+M42+M43+M45</f>
        <v>12941402</v>
      </c>
      <c r="N48" s="13">
        <f>N47-N35</f>
        <v>448484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205994</v>
      </c>
      <c r="J50" s="6">
        <v>538253</v>
      </c>
      <c r="K50" s="6">
        <v>353187</v>
      </c>
      <c r="L50" s="6"/>
      <c r="M50" s="6"/>
      <c r="N50" s="6">
        <f>I50-M50</f>
        <v>205994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 t="shared" ref="I51:N51" si="1">I48+I50</f>
        <v>13595880</v>
      </c>
      <c r="J51" s="29">
        <f t="shared" si="1"/>
        <v>7438587.7616666676</v>
      </c>
      <c r="K51" s="29">
        <f t="shared" si="1"/>
        <v>9355535.2116666678</v>
      </c>
      <c r="L51" s="29">
        <f t="shared" si="1"/>
        <v>13808765.483333334</v>
      </c>
      <c r="M51" s="29">
        <f t="shared" si="1"/>
        <v>12941402</v>
      </c>
      <c r="N51" s="29">
        <f t="shared" si="1"/>
        <v>654478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4882051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4882051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751645</v>
      </c>
      <c r="J54" s="6"/>
      <c r="K54" s="6"/>
      <c r="L54" s="6"/>
      <c r="M54" s="21"/>
      <c r="N54" s="21">
        <v>751645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1441830</v>
      </c>
      <c r="J55" s="6"/>
      <c r="K55" s="6"/>
      <c r="L55" s="6"/>
      <c r="M55" s="21"/>
      <c r="N55" s="21">
        <v>1441830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2688576</v>
      </c>
      <c r="J56" s="6"/>
      <c r="K56" s="6"/>
      <c r="L56" s="6"/>
      <c r="M56" s="21"/>
      <c r="N56" s="21">
        <v>2688576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0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0</v>
      </c>
    </row>
    <row r="60" spans="2:14">
      <c r="B60" s="76" t="s">
        <v>146</v>
      </c>
      <c r="C60" s="5" t="s">
        <v>76</v>
      </c>
      <c r="D60" s="6"/>
      <c r="E60" s="6"/>
      <c r="F60" s="7"/>
      <c r="G60" s="15">
        <v>495000</v>
      </c>
      <c r="H60" s="6"/>
      <c r="I60" s="21"/>
      <c r="J60" s="6"/>
      <c r="K60" s="6"/>
      <c r="L60" s="6"/>
      <c r="M60" s="6"/>
      <c r="N60" s="6"/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647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0</v>
      </c>
      <c r="N63" s="75">
        <f t="shared" si="4"/>
        <v>647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>
        <v>647</v>
      </c>
      <c r="J64" s="6"/>
      <c r="K64" s="6"/>
      <c r="L64" s="6"/>
      <c r="M64" s="6"/>
      <c r="N64" s="6">
        <v>647</v>
      </c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18478578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13808765.483333334</v>
      </c>
      <c r="M67" s="13">
        <f t="shared" si="5"/>
        <v>12941402</v>
      </c>
      <c r="N67" s="13">
        <f t="shared" si="5"/>
        <v>5537176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7"/>
  <sheetViews>
    <sheetView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1406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2.71093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58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582400</v>
      </c>
      <c r="N27" s="34">
        <f>I27-M27</f>
        <v>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4">
        <v>141487</v>
      </c>
      <c r="N42" s="34">
        <f>I42-M42</f>
        <v>1765195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5926741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5926741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18541101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10584776</v>
      </c>
      <c r="N47" s="27">
        <f t="shared" si="0"/>
        <v>7956325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18541101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10584776</v>
      </c>
      <c r="N48" s="13">
        <f t="shared" si="1"/>
        <v>7956325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302370</v>
      </c>
      <c r="J50" s="6">
        <v>538253</v>
      </c>
      <c r="K50" s="6">
        <v>353187</v>
      </c>
      <c r="L50" s="6"/>
      <c r="M50" s="6"/>
      <c r="N50" s="6">
        <v>198755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18843471</v>
      </c>
      <c r="J51" s="29">
        <f>J48+J50</f>
        <v>7438587.7616666676</v>
      </c>
      <c r="K51" s="29">
        <f>K48+K50</f>
        <v>9355535.2116666678</v>
      </c>
      <c r="L51" s="28"/>
      <c r="M51" s="28">
        <f>M48+M50</f>
        <v>10584776</v>
      </c>
      <c r="N51" s="29">
        <f>N48+N50</f>
        <v>8155080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4251988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4251988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882392</v>
      </c>
      <c r="J54" s="6"/>
      <c r="K54" s="6"/>
      <c r="L54" s="6"/>
      <c r="M54" s="21"/>
      <c r="N54" s="21">
        <v>882392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1195740</v>
      </c>
      <c r="J55" s="6"/>
      <c r="K55" s="6"/>
      <c r="L55" s="6"/>
      <c r="M55" s="21"/>
      <c r="N55" s="21">
        <v>1195740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2173856</v>
      </c>
      <c r="J56" s="6"/>
      <c r="K56" s="6"/>
      <c r="L56" s="6"/>
      <c r="M56" s="21"/>
      <c r="N56" s="21">
        <v>2173856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0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0</v>
      </c>
    </row>
    <row r="60" spans="2:14">
      <c r="B60" s="76" t="s">
        <v>146</v>
      </c>
      <c r="C60" s="5" t="s">
        <v>76</v>
      </c>
      <c r="D60" s="6"/>
      <c r="E60" s="6"/>
      <c r="F60" s="7"/>
      <c r="G60" s="15">
        <v>495000</v>
      </c>
      <c r="H60" s="6"/>
      <c r="I60" s="21"/>
      <c r="J60" s="6"/>
      <c r="K60" s="6"/>
      <c r="L60" s="6"/>
      <c r="M60" s="6"/>
      <c r="N60" s="6"/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0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0</v>
      </c>
      <c r="N63" s="75">
        <f t="shared" si="4"/>
        <v>0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/>
      <c r="N64" s="6"/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23095459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0</v>
      </c>
      <c r="M67" s="13">
        <f t="shared" si="5"/>
        <v>10584776</v>
      </c>
      <c r="N67" s="13">
        <f t="shared" si="5"/>
        <v>12407068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topLeftCell="A47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59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232338</v>
      </c>
      <c r="N27" s="34">
        <f>I27-M27</f>
        <v>350062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/>
      <c r="N42" s="34">
        <f>I42-M42</f>
        <v>1906682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10093227</v>
      </c>
      <c r="N47" s="27">
        <f t="shared" si="0"/>
        <v>5357145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10093227</v>
      </c>
      <c r="N48" s="13">
        <f t="shared" si="1"/>
        <v>5357145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204343</v>
      </c>
      <c r="J50" s="6">
        <v>538253</v>
      </c>
      <c r="K50" s="6">
        <v>353187</v>
      </c>
      <c r="L50" s="6"/>
      <c r="M50" s="6"/>
      <c r="N50" s="6">
        <v>204343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15654715</v>
      </c>
      <c r="J51" s="29">
        <f>J48+J50</f>
        <v>7438587.7616666676</v>
      </c>
      <c r="K51" s="29">
        <f>K48+K50</f>
        <v>9355535.2116666678</v>
      </c>
      <c r="L51" s="28"/>
      <c r="M51" s="28">
        <f>M48+M50</f>
        <v>10093227</v>
      </c>
      <c r="N51" s="28">
        <f>N48+N50</f>
        <v>5561488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4243282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4243282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882392</v>
      </c>
      <c r="J54" s="6"/>
      <c r="K54" s="6"/>
      <c r="L54" s="6"/>
      <c r="M54" s="21"/>
      <c r="N54" s="21">
        <v>882392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1284570</v>
      </c>
      <c r="J55" s="6"/>
      <c r="K55" s="6"/>
      <c r="L55" s="6"/>
      <c r="M55" s="21"/>
      <c r="N55" s="21">
        <v>1284570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2076320</v>
      </c>
      <c r="J56" s="6"/>
      <c r="K56" s="6"/>
      <c r="L56" s="6"/>
      <c r="M56" s="21"/>
      <c r="N56" s="21">
        <v>2076320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142334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142334</v>
      </c>
    </row>
    <row r="60" spans="2:14">
      <c r="B60" s="76" t="s">
        <v>146</v>
      </c>
      <c r="C60" s="5" t="s">
        <v>76</v>
      </c>
      <c r="D60" s="6"/>
      <c r="E60" s="6"/>
      <c r="F60" s="7"/>
      <c r="G60" s="15">
        <v>495000</v>
      </c>
      <c r="H60" s="6"/>
      <c r="I60" s="21">
        <v>47334</v>
      </c>
      <c r="J60" s="6"/>
      <c r="K60" s="6"/>
      <c r="L60" s="6"/>
      <c r="M60" s="6"/>
      <c r="N60" s="6">
        <v>47334</v>
      </c>
    </row>
    <row r="61" spans="2:14">
      <c r="B61" s="6">
        <v>91153</v>
      </c>
      <c r="C61" s="5" t="s">
        <v>160</v>
      </c>
      <c r="D61" s="6"/>
      <c r="E61" s="6"/>
      <c r="F61" s="7"/>
      <c r="G61" s="15"/>
      <c r="H61" s="6"/>
      <c r="I61" s="21">
        <v>95000</v>
      </c>
      <c r="J61" s="6"/>
      <c r="K61" s="6"/>
      <c r="L61" s="6"/>
      <c r="M61" s="6"/>
      <c r="N61" s="6">
        <v>95000</v>
      </c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0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0</v>
      </c>
      <c r="N63" s="75">
        <f t="shared" si="4"/>
        <v>0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/>
      <c r="N64" s="6"/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20040331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0</v>
      </c>
      <c r="M67" s="13">
        <f t="shared" si="5"/>
        <v>10093227</v>
      </c>
      <c r="N67" s="13">
        <f t="shared" si="5"/>
        <v>9947104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7"/>
  <sheetViews>
    <sheetView topLeftCell="A47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147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/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146610</v>
      </c>
      <c r="N27" s="34">
        <f>I27-M27</f>
        <v>435790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/>
      <c r="N42" s="34">
        <f>I42-M42</f>
        <v>1906682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10007499</v>
      </c>
      <c r="N47" s="27">
        <f t="shared" si="0"/>
        <v>5442873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10007499</v>
      </c>
      <c r="N48" s="13">
        <f t="shared" si="1"/>
        <v>5442873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187960</v>
      </c>
      <c r="J50" s="6">
        <v>538253</v>
      </c>
      <c r="K50" s="6">
        <v>353187</v>
      </c>
      <c r="L50" s="6"/>
      <c r="M50" s="6"/>
      <c r="N50" s="6">
        <v>187960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15638332</v>
      </c>
      <c r="J51" s="29">
        <f>J48+J50</f>
        <v>7438587.7616666676</v>
      </c>
      <c r="K51" s="29">
        <f>K48+K50</f>
        <v>9355535.2116666678</v>
      </c>
      <c r="L51" s="28"/>
      <c r="M51" s="28">
        <f>M48+M50</f>
        <v>10007499</v>
      </c>
      <c r="N51" s="28">
        <f>N48+N50</f>
        <v>5630833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4651423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4651423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905477</v>
      </c>
      <c r="J54" s="6"/>
      <c r="K54" s="6"/>
      <c r="L54" s="6"/>
      <c r="M54" s="21"/>
      <c r="N54" s="21">
        <f>I54-M54</f>
        <v>905477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1188090</v>
      </c>
      <c r="J55" s="6"/>
      <c r="K55" s="6"/>
      <c r="L55" s="6"/>
      <c r="M55" s="21"/>
      <c r="N55" s="21">
        <f>I55-M55</f>
        <v>1188090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2557856</v>
      </c>
      <c r="J56" s="6"/>
      <c r="K56" s="6"/>
      <c r="L56" s="6"/>
      <c r="M56" s="21"/>
      <c r="N56" s="21">
        <f>I56-M56</f>
        <v>2557856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0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38897098</v>
      </c>
    </row>
    <row r="60" spans="2:14">
      <c r="B60" s="76" t="s">
        <v>146</v>
      </c>
      <c r="C60" s="5" t="s">
        <v>158</v>
      </c>
      <c r="D60" s="6"/>
      <c r="E60" s="6"/>
      <c r="F60" s="7"/>
      <c r="G60" s="15">
        <v>495000</v>
      </c>
      <c r="H60" s="6"/>
      <c r="I60" s="21"/>
      <c r="J60" s="6"/>
      <c r="K60" s="6"/>
      <c r="L60" s="6"/>
      <c r="M60" s="6"/>
      <c r="N60" s="6">
        <v>38897098</v>
      </c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0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643</v>
      </c>
      <c r="N63" s="75">
        <f t="shared" si="4"/>
        <v>643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>
        <v>643</v>
      </c>
      <c r="N64" s="6">
        <v>643</v>
      </c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20289755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0</v>
      </c>
      <c r="M67" s="13">
        <f t="shared" si="5"/>
        <v>10008142</v>
      </c>
      <c r="N67" s="13">
        <f t="shared" si="5"/>
        <v>49179997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7"/>
  <sheetViews>
    <sheetView topLeftCell="A47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150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4794464</v>
      </c>
      <c r="N19" s="34">
        <f>I19-M19</f>
        <v>0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>
        <v>65833</v>
      </c>
      <c r="N27" s="34">
        <f>I27-M27</f>
        <v>516567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/>
      <c r="N42" s="34">
        <f>I42-M42</f>
        <v>1906682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9926722</v>
      </c>
      <c r="N47" s="27">
        <f t="shared" si="0"/>
        <v>5523650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9926722</v>
      </c>
      <c r="N48" s="13">
        <f t="shared" si="1"/>
        <v>5523650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186182</v>
      </c>
      <c r="J50" s="6">
        <v>538253</v>
      </c>
      <c r="K50" s="6">
        <v>353187</v>
      </c>
      <c r="L50" s="6"/>
      <c r="M50" s="6"/>
      <c r="N50" s="6">
        <v>186182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15636554</v>
      </c>
      <c r="J51" s="29">
        <f>J48+J50</f>
        <v>7438587.7616666676</v>
      </c>
      <c r="K51" s="29">
        <f>K48+K50</f>
        <v>9355535.2116666678</v>
      </c>
      <c r="L51" s="28"/>
      <c r="M51" s="28">
        <f>M48+M50</f>
        <v>9926722</v>
      </c>
      <c r="N51" s="28">
        <f>N48+N50</f>
        <v>5709832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5102292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5102292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856228</v>
      </c>
      <c r="J54" s="6"/>
      <c r="K54" s="6"/>
      <c r="L54" s="6"/>
      <c r="M54" s="21"/>
      <c r="N54" s="21">
        <f>I54-M54</f>
        <v>856228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1210320</v>
      </c>
      <c r="J55" s="6"/>
      <c r="K55" s="6"/>
      <c r="L55" s="6"/>
      <c r="M55" s="21"/>
      <c r="N55" s="21">
        <f>I55-M55</f>
        <v>1210320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3035744</v>
      </c>
      <c r="J56" s="6"/>
      <c r="K56" s="6"/>
      <c r="L56" s="6"/>
      <c r="M56" s="21"/>
      <c r="N56" s="21">
        <f>I56-M56</f>
        <v>3035744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630000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630000</v>
      </c>
    </row>
    <row r="60" spans="2:14">
      <c r="B60" s="76" t="s">
        <v>146</v>
      </c>
      <c r="C60" s="5" t="s">
        <v>159</v>
      </c>
      <c r="D60" s="6"/>
      <c r="E60" s="6"/>
      <c r="F60" s="7"/>
      <c r="G60" s="15">
        <v>495000</v>
      </c>
      <c r="H60" s="6"/>
      <c r="I60" s="21">
        <v>630000</v>
      </c>
      <c r="J60" s="6"/>
      <c r="K60" s="6"/>
      <c r="L60" s="6"/>
      <c r="M60" s="6"/>
      <c r="N60" s="6">
        <v>630000</v>
      </c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0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0</v>
      </c>
      <c r="N63" s="75">
        <f t="shared" si="4"/>
        <v>0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/>
      <c r="N64" s="6"/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21368846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0</v>
      </c>
      <c r="M67" s="13">
        <f t="shared" si="5"/>
        <v>9926722</v>
      </c>
      <c r="N67" s="13">
        <f t="shared" si="5"/>
        <v>11442124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7"/>
  <sheetViews>
    <sheetView topLeftCell="A30" workbookViewId="0">
      <selection activeCell="J88" sqref="J88"/>
    </sheetView>
  </sheetViews>
  <sheetFormatPr defaultRowHeight="15"/>
  <cols>
    <col min="1" max="1" width="4.7109375" style="1" customWidth="1"/>
    <col min="2" max="2" width="9.5703125" style="1" customWidth="1"/>
    <col min="3" max="3" width="42.5703125" style="2" customWidth="1"/>
    <col min="4" max="4" width="8.28515625" style="1" hidden="1" customWidth="1"/>
    <col min="5" max="5" width="5" style="1" hidden="1" customWidth="1"/>
    <col min="6" max="6" width="9.28515625" style="1" hidden="1" customWidth="1"/>
    <col min="7" max="7" width="15.28515625" style="1" hidden="1" customWidth="1"/>
    <col min="8" max="8" width="13.140625" style="1" hidden="1" customWidth="1"/>
    <col min="9" max="9" width="11.85546875" style="1" customWidth="1"/>
    <col min="10" max="10" width="11.7109375" style="1" hidden="1" customWidth="1"/>
    <col min="11" max="11" width="11.85546875" style="1" hidden="1" customWidth="1"/>
    <col min="12" max="12" width="12.7109375" style="1" hidden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5.5" customHeight="1">
      <c r="A1" s="1" t="s">
        <v>18</v>
      </c>
      <c r="C1" s="113" t="s">
        <v>107</v>
      </c>
      <c r="D1" s="114"/>
      <c r="E1" s="114"/>
      <c r="F1" s="114"/>
      <c r="G1" s="114"/>
    </row>
    <row r="2" spans="1:14" ht="38.25" customHeight="1">
      <c r="B2" s="6"/>
      <c r="C2" s="3" t="s">
        <v>0</v>
      </c>
      <c r="D2" s="4" t="s">
        <v>11</v>
      </c>
      <c r="E2" s="4" t="s">
        <v>12</v>
      </c>
      <c r="F2" s="4" t="s">
        <v>13</v>
      </c>
      <c r="G2" s="4" t="s">
        <v>15</v>
      </c>
      <c r="H2" s="6" t="s">
        <v>55</v>
      </c>
      <c r="I2" s="12" t="s">
        <v>151</v>
      </c>
      <c r="J2" s="6" t="s">
        <v>58</v>
      </c>
      <c r="K2" s="6" t="s">
        <v>59</v>
      </c>
      <c r="L2" s="6" t="s">
        <v>60</v>
      </c>
      <c r="M2" s="6" t="s">
        <v>64</v>
      </c>
      <c r="N2" s="6" t="s">
        <v>65</v>
      </c>
    </row>
    <row r="3" spans="1:14">
      <c r="B3" s="35"/>
      <c r="C3" s="5"/>
      <c r="D3" s="6"/>
      <c r="E3" s="6"/>
      <c r="F3" s="6"/>
      <c r="G3" s="6"/>
      <c r="H3" s="6"/>
      <c r="I3" s="6" t="s">
        <v>63</v>
      </c>
      <c r="J3" s="6"/>
      <c r="K3" s="6"/>
      <c r="L3" s="6"/>
      <c r="M3" s="6"/>
      <c r="N3" s="6"/>
    </row>
    <row r="4" spans="1:14" ht="30">
      <c r="A4" s="16" t="s">
        <v>19</v>
      </c>
      <c r="B4" s="76" t="s">
        <v>113</v>
      </c>
      <c r="C4" s="32" t="s">
        <v>44</v>
      </c>
      <c r="D4" s="31"/>
      <c r="E4" s="31"/>
      <c r="F4" s="33"/>
      <c r="G4" s="33">
        <f>G7+G8+G13+G14</f>
        <v>50388758.899999999</v>
      </c>
      <c r="H4" s="33"/>
      <c r="I4" s="34">
        <v>5066425</v>
      </c>
      <c r="J4" s="34">
        <f>J5+J14</f>
        <v>4172585.2416666667</v>
      </c>
      <c r="K4" s="34">
        <f>K5+K14</f>
        <v>4569755.2416666672</v>
      </c>
      <c r="L4" s="34">
        <f>I4+J4+K4</f>
        <v>13808765.483333334</v>
      </c>
      <c r="M4" s="34">
        <v>5066425</v>
      </c>
      <c r="N4" s="34">
        <f>I4-M4</f>
        <v>0</v>
      </c>
    </row>
    <row r="5" spans="1:14" ht="30" hidden="1">
      <c r="A5" s="19"/>
      <c r="B5" s="76" t="s">
        <v>114</v>
      </c>
      <c r="C5" s="18" t="s">
        <v>50</v>
      </c>
      <c r="D5" s="6"/>
      <c r="E5" s="6"/>
      <c r="F5" s="7"/>
      <c r="G5" s="24">
        <f>G7+G9+G10+G11+G12+G13</f>
        <v>42445358.899999999</v>
      </c>
      <c r="H5" s="7">
        <f>G7+G9+G10+G11+G12+G13</f>
        <v>42445358.899999999</v>
      </c>
      <c r="I5" s="27">
        <f>H5/12</f>
        <v>3537113.2416666667</v>
      </c>
      <c r="J5" s="27">
        <f>H5/12</f>
        <v>3537113.2416666667</v>
      </c>
      <c r="K5" s="27">
        <f>H5/12</f>
        <v>3537113.2416666667</v>
      </c>
      <c r="L5" s="27">
        <f>I5+J5+K5</f>
        <v>10611339.725</v>
      </c>
      <c r="M5" s="27">
        <f>L5/12</f>
        <v>884278.31041666667</v>
      </c>
      <c r="N5" s="6"/>
    </row>
    <row r="6" spans="1:14" ht="30" hidden="1">
      <c r="A6" s="19">
        <v>1</v>
      </c>
      <c r="B6" s="76" t="s">
        <v>115</v>
      </c>
      <c r="C6" s="5" t="s">
        <v>43</v>
      </c>
      <c r="D6" s="6"/>
      <c r="E6" s="6"/>
      <c r="F6" s="7"/>
      <c r="G6" s="15"/>
      <c r="H6" s="6"/>
      <c r="I6" s="6"/>
      <c r="J6" s="6"/>
      <c r="K6" s="6"/>
      <c r="L6" s="6"/>
      <c r="M6" s="6"/>
      <c r="N6" s="6"/>
    </row>
    <row r="7" spans="1:14" ht="30" hidden="1">
      <c r="A7" s="1" t="s">
        <v>20</v>
      </c>
      <c r="B7" s="76" t="s">
        <v>116</v>
      </c>
      <c r="C7" s="20" t="s">
        <v>1</v>
      </c>
      <c r="D7" s="6">
        <v>7.85</v>
      </c>
      <c r="E7" s="6" t="s">
        <v>2</v>
      </c>
      <c r="F7" s="7">
        <v>4580000</v>
      </c>
      <c r="G7" s="21">
        <f>D7*F7</f>
        <v>35953000</v>
      </c>
      <c r="H7" s="6"/>
      <c r="I7" s="6"/>
      <c r="J7" s="6"/>
      <c r="K7" s="6"/>
      <c r="L7" s="6"/>
      <c r="M7" s="6"/>
      <c r="N7" s="6"/>
    </row>
    <row r="8" spans="1:14" ht="30" hidden="1">
      <c r="A8" s="1" t="s">
        <v>21</v>
      </c>
      <c r="B8" s="76" t="s">
        <v>117</v>
      </c>
      <c r="C8" s="23" t="s">
        <v>23</v>
      </c>
      <c r="D8" s="6"/>
      <c r="E8" s="6"/>
      <c r="F8" s="7"/>
      <c r="G8" s="21">
        <f>G9+G10+G11+G12</f>
        <v>16207658.899999999</v>
      </c>
      <c r="H8" s="6"/>
      <c r="I8" s="6"/>
      <c r="J8" s="6"/>
      <c r="K8" s="6"/>
      <c r="L8" s="6"/>
      <c r="M8" s="6"/>
      <c r="N8" s="6"/>
    </row>
    <row r="9" spans="1:14" ht="30" hidden="1">
      <c r="A9" s="1" t="s">
        <v>24</v>
      </c>
      <c r="B9" s="76" t="s">
        <v>118</v>
      </c>
      <c r="C9" s="9" t="s">
        <v>25</v>
      </c>
      <c r="D9" s="6">
        <v>274.89999999999998</v>
      </c>
      <c r="E9" s="6" t="s">
        <v>3</v>
      </c>
      <c r="F9" s="7">
        <v>22261</v>
      </c>
      <c r="G9" s="7">
        <f>D9*F9</f>
        <v>6119548.8999999994</v>
      </c>
      <c r="H9" s="6"/>
      <c r="I9" s="6"/>
      <c r="J9" s="6"/>
      <c r="K9" s="6"/>
      <c r="L9" s="6"/>
      <c r="M9" s="6"/>
      <c r="N9" s="6"/>
    </row>
    <row r="10" spans="1:14" ht="18" hidden="1" customHeight="1">
      <c r="A10" s="1" t="s">
        <v>22</v>
      </c>
      <c r="B10" s="76" t="s">
        <v>119</v>
      </c>
      <c r="C10" s="5" t="s">
        <v>16</v>
      </c>
      <c r="D10" s="6"/>
      <c r="E10" s="6"/>
      <c r="F10" s="7"/>
      <c r="G10" s="10">
        <v>6811923</v>
      </c>
      <c r="H10" s="6"/>
      <c r="I10" s="6"/>
      <c r="J10" s="6"/>
      <c r="K10" s="6"/>
      <c r="L10" s="6"/>
      <c r="M10" s="6"/>
      <c r="N10" s="6"/>
    </row>
    <row r="11" spans="1:14" ht="30" hidden="1">
      <c r="A11" s="1" t="s">
        <v>26</v>
      </c>
      <c r="B11" s="76" t="s">
        <v>120</v>
      </c>
      <c r="C11" s="5" t="s">
        <v>4</v>
      </c>
      <c r="D11" s="6"/>
      <c r="E11" s="6"/>
      <c r="F11" s="7"/>
      <c r="G11" s="7">
        <v>1132147</v>
      </c>
      <c r="H11" s="6"/>
      <c r="I11" s="6"/>
      <c r="J11" s="6"/>
      <c r="K11" s="6"/>
      <c r="L11" s="6"/>
      <c r="M11" s="6"/>
      <c r="N11" s="6"/>
    </row>
    <row r="12" spans="1:14" hidden="1">
      <c r="A12" s="1" t="s">
        <v>27</v>
      </c>
      <c r="B12" s="76" t="s">
        <v>121</v>
      </c>
      <c r="C12" s="5" t="s">
        <v>17</v>
      </c>
      <c r="D12" s="6"/>
      <c r="E12" s="6"/>
      <c r="F12" s="7"/>
      <c r="G12" s="7">
        <v>2144040</v>
      </c>
      <c r="H12" s="6"/>
      <c r="I12" s="6"/>
      <c r="J12" s="6"/>
      <c r="K12" s="6"/>
      <c r="L12" s="6"/>
      <c r="M12" s="6"/>
      <c r="N12" s="6"/>
    </row>
    <row r="13" spans="1:14" ht="30" hidden="1">
      <c r="A13" s="1" t="s">
        <v>28</v>
      </c>
      <c r="B13" s="76" t="s">
        <v>122</v>
      </c>
      <c r="C13" s="22" t="s">
        <v>5</v>
      </c>
      <c r="D13" s="6"/>
      <c r="E13" s="6"/>
      <c r="F13" s="7"/>
      <c r="G13" s="21">
        <v>-9715300</v>
      </c>
      <c r="H13" s="6"/>
      <c r="I13" s="6"/>
      <c r="J13" s="6"/>
      <c r="K13" s="6"/>
      <c r="L13" s="6"/>
      <c r="M13" s="6"/>
      <c r="N13" s="6"/>
    </row>
    <row r="14" spans="1:14" ht="30" hidden="1">
      <c r="A14" s="1" t="s">
        <v>29</v>
      </c>
      <c r="B14" s="76" t="s">
        <v>123</v>
      </c>
      <c r="C14" s="20" t="s">
        <v>6</v>
      </c>
      <c r="D14" s="6">
        <v>2942</v>
      </c>
      <c r="E14" s="6" t="s">
        <v>2</v>
      </c>
      <c r="F14" s="7">
        <v>2700</v>
      </c>
      <c r="G14" s="21">
        <f>D14*F14</f>
        <v>7943400</v>
      </c>
      <c r="H14" s="7">
        <f>G14</f>
        <v>7943400</v>
      </c>
      <c r="I14" s="6">
        <f>G14*5%</f>
        <v>397170</v>
      </c>
      <c r="J14" s="6">
        <f>H14*0.08</f>
        <v>635472</v>
      </c>
      <c r="K14" s="6">
        <f>H14*0.13</f>
        <v>1032642</v>
      </c>
      <c r="L14" s="6"/>
      <c r="M14" s="6">
        <f>K14*5%</f>
        <v>51632.100000000006</v>
      </c>
      <c r="N14" s="6"/>
    </row>
    <row r="15" spans="1:14">
      <c r="B15" s="76"/>
      <c r="C15" s="5"/>
      <c r="D15" s="6"/>
      <c r="E15" s="6"/>
      <c r="F15" s="7"/>
      <c r="G15" s="15"/>
      <c r="H15" s="6"/>
      <c r="I15" s="6"/>
      <c r="J15" s="6"/>
      <c r="K15" s="6"/>
      <c r="L15" s="6"/>
      <c r="M15" s="6"/>
      <c r="N15" s="6"/>
    </row>
    <row r="16" spans="1:14" ht="30" hidden="1">
      <c r="A16" s="1" t="s">
        <v>46</v>
      </c>
      <c r="B16" s="76" t="s">
        <v>124</v>
      </c>
      <c r="C16" s="17" t="s">
        <v>45</v>
      </c>
      <c r="D16" s="6"/>
      <c r="E16" s="6"/>
      <c r="F16" s="7"/>
      <c r="G16" s="14">
        <f>G18+G31</f>
        <v>50248000</v>
      </c>
      <c r="H16" s="6"/>
      <c r="I16" s="26">
        <f>I18+I31</f>
        <v>0</v>
      </c>
      <c r="J16" s="26">
        <f>J18+J31</f>
        <v>5614700</v>
      </c>
      <c r="K16" s="26">
        <f>K18+K31</f>
        <v>4010500</v>
      </c>
      <c r="L16" s="6"/>
      <c r="M16" s="26">
        <f>M18+M31</f>
        <v>0</v>
      </c>
      <c r="N16" s="6"/>
    </row>
    <row r="17" spans="1:14" hidden="1">
      <c r="B17" s="76" t="s">
        <v>125</v>
      </c>
      <c r="C17" s="18"/>
      <c r="D17" s="6"/>
      <c r="E17" s="6"/>
      <c r="F17" s="7"/>
      <c r="G17" s="15"/>
      <c r="H17" s="6"/>
      <c r="I17" s="6"/>
      <c r="J17" s="6"/>
      <c r="K17" s="6"/>
      <c r="L17" s="6"/>
      <c r="M17" s="6"/>
      <c r="N17" s="6"/>
    </row>
    <row r="18" spans="1:14" hidden="1">
      <c r="A18" s="19"/>
      <c r="B18" s="76" t="s">
        <v>126</v>
      </c>
      <c r="C18" s="20" t="s">
        <v>42</v>
      </c>
      <c r="D18" s="6"/>
      <c r="E18" s="6"/>
      <c r="F18" s="7"/>
      <c r="G18" s="21">
        <f>G19+G27</f>
        <v>50248000</v>
      </c>
      <c r="H18" s="6"/>
      <c r="I18" s="25">
        <f>I21+I24+I28</f>
        <v>0</v>
      </c>
      <c r="J18" s="25">
        <f>J21+J24+J28</f>
        <v>5614700</v>
      </c>
      <c r="K18" s="25">
        <f>K21+K24+K28</f>
        <v>4010500</v>
      </c>
      <c r="L18" s="6"/>
      <c r="M18" s="25">
        <f>M21+M24+M28</f>
        <v>0</v>
      </c>
      <c r="N18" s="6"/>
    </row>
    <row r="19" spans="1:14" ht="45">
      <c r="A19" s="1" t="s">
        <v>30</v>
      </c>
      <c r="B19" s="76" t="s">
        <v>123</v>
      </c>
      <c r="C19" s="32" t="s">
        <v>41</v>
      </c>
      <c r="D19" s="31"/>
      <c r="E19" s="31"/>
      <c r="F19" s="33"/>
      <c r="G19" s="33">
        <v>43120000</v>
      </c>
      <c r="H19" s="31"/>
      <c r="I19" s="31">
        <v>4794464</v>
      </c>
      <c r="J19" s="31"/>
      <c r="K19" s="31"/>
      <c r="L19" s="31"/>
      <c r="M19" s="31">
        <v>4350527</v>
      </c>
      <c r="N19" s="34">
        <f>I19-M19</f>
        <v>443937</v>
      </c>
    </row>
    <row r="20" spans="1:14" hidden="1">
      <c r="B20" s="76" t="s">
        <v>127</v>
      </c>
      <c r="C20" s="5" t="s">
        <v>53</v>
      </c>
      <c r="D20" s="6"/>
      <c r="E20" s="6"/>
      <c r="F20" s="7">
        <v>236000</v>
      </c>
      <c r="G20" s="7">
        <f>G21+G22</f>
        <v>31152000</v>
      </c>
      <c r="H20" s="6"/>
      <c r="I20" s="6"/>
      <c r="J20" s="6"/>
      <c r="K20" s="6"/>
      <c r="L20" s="6"/>
      <c r="M20" s="6"/>
      <c r="N20" s="6"/>
    </row>
    <row r="21" spans="1:14" hidden="1">
      <c r="B21" s="76" t="s">
        <v>128</v>
      </c>
      <c r="C21" s="5" t="s">
        <v>51</v>
      </c>
      <c r="D21" s="6">
        <v>11</v>
      </c>
      <c r="E21" s="6" t="s">
        <v>2</v>
      </c>
      <c r="F21" s="7"/>
      <c r="G21" s="7">
        <f>D21*F20*12/12*8</f>
        <v>20768000</v>
      </c>
      <c r="H21" s="7">
        <f>G21</f>
        <v>20768000</v>
      </c>
      <c r="I21" s="6"/>
      <c r="J21" s="6">
        <f>H21*0.175</f>
        <v>3634400</v>
      </c>
      <c r="K21" s="6">
        <f>H21*0.125</f>
        <v>2596000</v>
      </c>
      <c r="L21" s="6"/>
      <c r="M21" s="6"/>
      <c r="N21" s="6"/>
    </row>
    <row r="22" spans="1:14" hidden="1">
      <c r="B22" s="76" t="s">
        <v>129</v>
      </c>
      <c r="C22" s="5" t="s">
        <v>52</v>
      </c>
      <c r="D22" s="6">
        <v>11</v>
      </c>
      <c r="E22" s="6" t="s">
        <v>2</v>
      </c>
      <c r="F22" s="7"/>
      <c r="G22" s="7">
        <f>D22*F20*12/12*4</f>
        <v>10384000</v>
      </c>
      <c r="H22" s="6"/>
      <c r="I22" s="6"/>
      <c r="J22" s="6"/>
      <c r="K22" s="6"/>
      <c r="L22" s="6"/>
      <c r="M22" s="6"/>
      <c r="N22" s="6"/>
    </row>
    <row r="23" spans="1:14" hidden="1">
      <c r="B23" s="76" t="s">
        <v>130</v>
      </c>
      <c r="C23" s="5" t="s">
        <v>54</v>
      </c>
      <c r="D23" s="6"/>
      <c r="E23" s="6"/>
      <c r="F23" s="7"/>
      <c r="G23" s="7"/>
      <c r="H23" s="7">
        <f>G24</f>
        <v>6528000</v>
      </c>
      <c r="I23" s="6"/>
      <c r="J23" s="6"/>
      <c r="K23" s="6"/>
      <c r="L23" s="6"/>
      <c r="M23" s="6"/>
      <c r="N23" s="6"/>
    </row>
    <row r="24" spans="1:14" hidden="1">
      <c r="B24" s="76" t="s">
        <v>131</v>
      </c>
      <c r="C24" s="5" t="s">
        <v>51</v>
      </c>
      <c r="D24" s="6">
        <v>6</v>
      </c>
      <c r="E24" s="6" t="s">
        <v>2</v>
      </c>
      <c r="F24" s="7"/>
      <c r="G24" s="7">
        <v>6528000</v>
      </c>
      <c r="H24" s="6"/>
      <c r="I24" s="6"/>
      <c r="J24" s="6">
        <f>G24*0.175</f>
        <v>1142400</v>
      </c>
      <c r="K24" s="6">
        <f>H23*0.125</f>
        <v>816000</v>
      </c>
      <c r="L24" s="6"/>
      <c r="M24" s="6"/>
      <c r="N24" s="6"/>
    </row>
    <row r="25" spans="1:14" hidden="1">
      <c r="B25" s="76" t="s">
        <v>132</v>
      </c>
      <c r="C25" s="5" t="s">
        <v>52</v>
      </c>
      <c r="D25" s="6">
        <v>10</v>
      </c>
      <c r="E25" s="6" t="s">
        <v>2</v>
      </c>
      <c r="F25" s="7"/>
      <c r="G25" s="7">
        <v>5440000</v>
      </c>
      <c r="H25" s="6"/>
      <c r="I25" s="6"/>
      <c r="J25" s="6"/>
      <c r="K25" s="6"/>
      <c r="L25" s="6"/>
      <c r="M25" s="6"/>
      <c r="N25" s="6"/>
    </row>
    <row r="26" spans="1:14">
      <c r="B26" s="76"/>
      <c r="C26" s="5"/>
      <c r="D26" s="6"/>
      <c r="E26" s="6"/>
      <c r="F26" s="7"/>
      <c r="G26" s="7"/>
      <c r="H26" s="6"/>
      <c r="I26" s="6"/>
      <c r="J26" s="6"/>
      <c r="K26" s="6"/>
      <c r="L26" s="6"/>
      <c r="M26" s="6"/>
      <c r="N26" s="6"/>
    </row>
    <row r="27" spans="1:14">
      <c r="A27" s="1" t="s">
        <v>47</v>
      </c>
      <c r="B27" s="76" t="s">
        <v>123</v>
      </c>
      <c r="C27" s="32" t="s">
        <v>7</v>
      </c>
      <c r="D27" s="31">
        <v>133</v>
      </c>
      <c r="E27" s="31" t="s">
        <v>2</v>
      </c>
      <c r="F27" s="33">
        <v>54000</v>
      </c>
      <c r="G27" s="33">
        <f>G28+G29</f>
        <v>7128000</v>
      </c>
      <c r="H27" s="31"/>
      <c r="I27" s="31">
        <v>582400</v>
      </c>
      <c r="J27" s="31"/>
      <c r="K27" s="31"/>
      <c r="L27" s="31"/>
      <c r="M27" s="31"/>
      <c r="N27" s="34">
        <f>I27-M27</f>
        <v>582400</v>
      </c>
    </row>
    <row r="28" spans="1:14" hidden="1">
      <c r="B28" s="76" t="s">
        <v>133</v>
      </c>
      <c r="C28" s="5" t="s">
        <v>51</v>
      </c>
      <c r="D28" s="6">
        <v>133</v>
      </c>
      <c r="E28" s="6"/>
      <c r="F28" s="7"/>
      <c r="G28" s="7">
        <f>D28*F27/12*8</f>
        <v>4788000</v>
      </c>
      <c r="H28" s="7">
        <f>G28</f>
        <v>4788000</v>
      </c>
      <c r="I28" s="6"/>
      <c r="J28" s="6">
        <f>H28*0.175</f>
        <v>837900</v>
      </c>
      <c r="K28" s="6">
        <f>H28*0.125</f>
        <v>598500</v>
      </c>
      <c r="L28" s="6"/>
      <c r="M28" s="6"/>
      <c r="N28" s="6"/>
    </row>
    <row r="29" spans="1:14" hidden="1">
      <c r="B29" s="76" t="s">
        <v>134</v>
      </c>
      <c r="C29" s="5" t="s">
        <v>52</v>
      </c>
      <c r="D29" s="6">
        <v>130</v>
      </c>
      <c r="E29" s="6"/>
      <c r="F29" s="7"/>
      <c r="G29" s="7">
        <f>D29*F27/12*4</f>
        <v>2340000</v>
      </c>
      <c r="H29" s="6"/>
      <c r="I29" s="6"/>
      <c r="J29" s="6"/>
      <c r="K29" s="6"/>
      <c r="L29" s="6"/>
      <c r="M29" s="6"/>
      <c r="N29" s="6"/>
    </row>
    <row r="30" spans="1:14">
      <c r="B30" s="76"/>
      <c r="C30" s="5"/>
      <c r="D30" s="6"/>
      <c r="E30" s="6"/>
      <c r="F30" s="7"/>
      <c r="G30" s="7"/>
      <c r="H30" s="6"/>
      <c r="I30" s="6"/>
      <c r="J30" s="6"/>
      <c r="K30" s="6"/>
      <c r="L30" s="6"/>
      <c r="M30" s="6"/>
      <c r="N30" s="6"/>
    </row>
    <row r="31" spans="1:14">
      <c r="B31" s="76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</row>
    <row r="32" spans="1:14" hidden="1">
      <c r="A32" s="1" t="s">
        <v>48</v>
      </c>
      <c r="B32" s="76" t="s">
        <v>135</v>
      </c>
      <c r="C32" s="5" t="s">
        <v>8</v>
      </c>
      <c r="D32" s="6">
        <v>97</v>
      </c>
      <c r="E32" s="6" t="s">
        <v>2</v>
      </c>
      <c r="F32" s="7">
        <v>102000</v>
      </c>
      <c r="G32" s="10">
        <f>D32*F32</f>
        <v>9894000</v>
      </c>
      <c r="H32" s="7">
        <f>G32</f>
        <v>9894000</v>
      </c>
      <c r="I32" s="6"/>
      <c r="J32" s="6">
        <f>H32*0.08</f>
        <v>791520</v>
      </c>
      <c r="K32" s="6">
        <f>H32*0.13</f>
        <v>1286220</v>
      </c>
      <c r="L32" s="6"/>
      <c r="M32" s="6"/>
      <c r="N32" s="6"/>
    </row>
    <row r="33" spans="1:14" hidden="1">
      <c r="A33" s="1" t="s">
        <v>48</v>
      </c>
      <c r="B33" s="76" t="s">
        <v>136</v>
      </c>
      <c r="C33" s="5" t="s">
        <v>31</v>
      </c>
      <c r="D33" s="6">
        <v>191</v>
      </c>
      <c r="E33" s="6" t="s">
        <v>2</v>
      </c>
      <c r="F33" s="7">
        <v>102000</v>
      </c>
      <c r="G33" s="10">
        <f>D33*F33</f>
        <v>19482000</v>
      </c>
      <c r="H33" s="7">
        <f>G33</f>
        <v>19482000</v>
      </c>
      <c r="I33" s="6"/>
      <c r="J33" s="6">
        <f>H33*0.08</f>
        <v>1558560</v>
      </c>
      <c r="K33" s="6">
        <f>H33*0.13</f>
        <v>2532660</v>
      </c>
      <c r="L33" s="6"/>
      <c r="M33" s="6"/>
      <c r="N33" s="6"/>
    </row>
    <row r="34" spans="1:14" ht="30" hidden="1">
      <c r="A34" s="1" t="s">
        <v>32</v>
      </c>
      <c r="B34" s="76" t="s">
        <v>137</v>
      </c>
      <c r="C34" s="17" t="s">
        <v>33</v>
      </c>
      <c r="D34" s="6"/>
      <c r="E34" s="6"/>
      <c r="F34" s="7"/>
      <c r="G34" s="14">
        <f>G35+G42</f>
        <v>93999109</v>
      </c>
      <c r="H34" s="6"/>
      <c r="I34" s="6"/>
      <c r="J34" s="6"/>
      <c r="K34" s="6"/>
      <c r="L34" s="6"/>
      <c r="M34" s="6"/>
      <c r="N34" s="6"/>
    </row>
    <row r="35" spans="1:14" ht="30" hidden="1">
      <c r="A35" s="1">
        <v>1</v>
      </c>
      <c r="B35" s="76" t="s">
        <v>138</v>
      </c>
      <c r="C35" s="20" t="s">
        <v>34</v>
      </c>
      <c r="D35" s="6"/>
      <c r="E35" s="6"/>
      <c r="F35" s="7"/>
      <c r="G35" s="21">
        <f>SUM(G36:G40)</f>
        <v>66610000</v>
      </c>
      <c r="H35" s="6"/>
      <c r="I35" s="6"/>
      <c r="J35" s="6"/>
      <c r="K35" s="6"/>
      <c r="L35" s="6"/>
      <c r="M35" s="6"/>
      <c r="N35" s="6"/>
    </row>
    <row r="36" spans="1:14" hidden="1">
      <c r="B36" s="76" t="s">
        <v>139</v>
      </c>
      <c r="C36" s="5" t="s">
        <v>36</v>
      </c>
      <c r="D36" s="6"/>
      <c r="E36" s="6"/>
      <c r="F36" s="7"/>
      <c r="G36" s="15">
        <v>10282000</v>
      </c>
      <c r="H36" s="6"/>
      <c r="I36" s="6"/>
      <c r="J36" s="6"/>
      <c r="K36" s="6"/>
      <c r="L36" s="6"/>
      <c r="M36" s="6"/>
      <c r="N36" s="6"/>
    </row>
    <row r="37" spans="1:14" hidden="1">
      <c r="B37" s="76" t="s">
        <v>140</v>
      </c>
      <c r="C37" s="5" t="s">
        <v>37</v>
      </c>
      <c r="D37" s="6"/>
      <c r="E37" s="6"/>
      <c r="F37" s="7"/>
      <c r="G37" s="15">
        <v>11933000</v>
      </c>
      <c r="H37" s="6"/>
      <c r="I37" s="6"/>
      <c r="J37" s="6"/>
      <c r="K37" s="6"/>
      <c r="L37" s="6"/>
      <c r="M37" s="6"/>
      <c r="N37" s="6"/>
    </row>
    <row r="38" spans="1:14" hidden="1">
      <c r="B38" s="76" t="s">
        <v>141</v>
      </c>
      <c r="C38" s="5" t="s">
        <v>38</v>
      </c>
      <c r="D38" s="6"/>
      <c r="E38" s="6"/>
      <c r="F38" s="7"/>
      <c r="G38" s="15">
        <v>43773000</v>
      </c>
      <c r="H38" s="6"/>
      <c r="I38" s="6"/>
      <c r="J38" s="6"/>
      <c r="K38" s="6"/>
      <c r="L38" s="6"/>
      <c r="M38" s="6"/>
      <c r="N38" s="6"/>
    </row>
    <row r="39" spans="1:14" hidden="1">
      <c r="B39" s="76" t="s">
        <v>142</v>
      </c>
      <c r="C39" s="5" t="s">
        <v>39</v>
      </c>
      <c r="D39" s="6"/>
      <c r="E39" s="6"/>
      <c r="F39" s="7"/>
      <c r="G39" s="15">
        <v>127000</v>
      </c>
      <c r="H39" s="6"/>
      <c r="I39" s="6"/>
      <c r="J39" s="6"/>
      <c r="K39" s="6"/>
      <c r="L39" s="6"/>
      <c r="M39" s="6"/>
      <c r="N39" s="6"/>
    </row>
    <row r="40" spans="1:14" hidden="1">
      <c r="B40" s="76" t="s">
        <v>143</v>
      </c>
      <c r="C40" s="5" t="s">
        <v>40</v>
      </c>
      <c r="D40" s="6"/>
      <c r="E40" s="6"/>
      <c r="F40" s="7"/>
      <c r="G40" s="15">
        <v>495000</v>
      </c>
      <c r="H40" s="6"/>
      <c r="I40" s="6"/>
      <c r="J40" s="6"/>
      <c r="K40" s="6"/>
      <c r="L40" s="6"/>
      <c r="M40" s="6"/>
      <c r="N40" s="6"/>
    </row>
    <row r="41" spans="1:14">
      <c r="B41" s="76"/>
      <c r="C41" s="5"/>
      <c r="D41" s="6"/>
      <c r="E41" s="6"/>
      <c r="F41" s="7"/>
      <c r="G41" s="15"/>
      <c r="H41" s="6"/>
      <c r="I41" s="6"/>
      <c r="J41" s="6"/>
      <c r="K41" s="6"/>
      <c r="L41" s="6"/>
      <c r="M41" s="6"/>
      <c r="N41" s="6"/>
    </row>
    <row r="42" spans="1:14" ht="30">
      <c r="A42" s="1">
        <v>2</v>
      </c>
      <c r="B42" s="76" t="s">
        <v>131</v>
      </c>
      <c r="C42" s="32" t="s">
        <v>9</v>
      </c>
      <c r="D42" s="31"/>
      <c r="E42" s="31"/>
      <c r="F42" s="33"/>
      <c r="G42" s="33">
        <v>27389109</v>
      </c>
      <c r="H42" s="33">
        <f>G42</f>
        <v>27389109</v>
      </c>
      <c r="I42" s="34">
        <v>1906682</v>
      </c>
      <c r="J42" s="27">
        <f>H42*0.08</f>
        <v>2191128.7200000002</v>
      </c>
      <c r="K42" s="27">
        <f>H42*0.13</f>
        <v>3560584.17</v>
      </c>
      <c r="L42" s="6"/>
      <c r="M42" s="31"/>
      <c r="N42" s="34">
        <f>I42-M42</f>
        <v>1906682</v>
      </c>
    </row>
    <row r="43" spans="1:14" ht="30">
      <c r="B43" s="76" t="s">
        <v>131</v>
      </c>
      <c r="C43" s="32" t="s">
        <v>49</v>
      </c>
      <c r="D43" s="31"/>
      <c r="E43" s="31"/>
      <c r="F43" s="33"/>
      <c r="G43" s="33">
        <f>SUM(G44:G45)</f>
        <v>3353880</v>
      </c>
      <c r="H43" s="31"/>
      <c r="I43" s="31">
        <v>2836012</v>
      </c>
      <c r="J43" s="31">
        <f>J44+J45</f>
        <v>268310.40000000002</v>
      </c>
      <c r="K43" s="31">
        <f>K44+K45</f>
        <v>436004.4</v>
      </c>
      <c r="L43" s="31"/>
      <c r="M43" s="31"/>
      <c r="N43" s="34">
        <f>I43-M43</f>
        <v>2836012</v>
      </c>
    </row>
    <row r="44" spans="1:14">
      <c r="B44" s="76"/>
      <c r="C44" s="60"/>
      <c r="D44" s="35"/>
      <c r="E44" s="35"/>
      <c r="F44" s="10"/>
      <c r="G44" s="10"/>
      <c r="H44" s="10"/>
      <c r="I44" s="73"/>
      <c r="J44" s="73"/>
      <c r="K44" s="73"/>
      <c r="L44" s="35"/>
      <c r="M44" s="35"/>
      <c r="N44" s="35"/>
    </row>
    <row r="45" spans="1:14" ht="30">
      <c r="A45" s="1" t="s">
        <v>35</v>
      </c>
      <c r="B45" s="76" t="s">
        <v>137</v>
      </c>
      <c r="C45" s="32" t="s">
        <v>10</v>
      </c>
      <c r="D45" s="31">
        <v>2942</v>
      </c>
      <c r="E45" s="31" t="s">
        <v>2</v>
      </c>
      <c r="F45" s="33">
        <v>1140</v>
      </c>
      <c r="G45" s="33">
        <f>D45*F45</f>
        <v>3353880</v>
      </c>
      <c r="H45" s="33">
        <f>G45</f>
        <v>3353880</v>
      </c>
      <c r="I45" s="31">
        <v>264389</v>
      </c>
      <c r="J45" s="27">
        <f>H45*0.08</f>
        <v>268310.40000000002</v>
      </c>
      <c r="K45" s="27">
        <f>H45*0.13</f>
        <v>436004.4</v>
      </c>
      <c r="L45" s="6"/>
      <c r="M45" s="31"/>
      <c r="N45" s="34">
        <f>I45-M45</f>
        <v>264389</v>
      </c>
    </row>
    <row r="46" spans="1:14">
      <c r="B46" s="35"/>
      <c r="C46" s="5"/>
      <c r="D46" s="6"/>
      <c r="E46" s="6"/>
      <c r="F46" s="7"/>
      <c r="G46" s="10"/>
      <c r="H46" s="6"/>
      <c r="I46" s="6"/>
      <c r="J46" s="6"/>
      <c r="K46" s="6"/>
      <c r="L46" s="6"/>
      <c r="M46" s="6"/>
      <c r="N46" s="6"/>
    </row>
    <row r="47" spans="1:14">
      <c r="B47" s="35"/>
      <c r="C47" s="11" t="s">
        <v>14</v>
      </c>
      <c r="D47" s="12"/>
      <c r="E47" s="12"/>
      <c r="F47" s="12"/>
      <c r="G47" s="13">
        <f>G4+G16+G34+G45</f>
        <v>197989747.90000001</v>
      </c>
      <c r="H47" s="7">
        <f>H5+H14+H21+H23+H32+H33+H42+H45</f>
        <v>137803747.90000001</v>
      </c>
      <c r="I47" s="27">
        <f t="shared" ref="I47:N47" si="0">I4+I19+I27+I42+I43+I45</f>
        <v>15450372</v>
      </c>
      <c r="J47" s="27">
        <f t="shared" si="0"/>
        <v>6900334.7616666676</v>
      </c>
      <c r="K47" s="27">
        <f t="shared" si="0"/>
        <v>9002348.2116666678</v>
      </c>
      <c r="L47" s="27">
        <f t="shared" si="0"/>
        <v>13808765.483333334</v>
      </c>
      <c r="M47" s="27">
        <f t="shared" si="0"/>
        <v>9416952</v>
      </c>
      <c r="N47" s="27">
        <f t="shared" si="0"/>
        <v>6033420</v>
      </c>
    </row>
    <row r="48" spans="1:14">
      <c r="B48" s="35"/>
      <c r="C48" s="11" t="s">
        <v>57</v>
      </c>
      <c r="D48" s="6"/>
      <c r="E48" s="6"/>
      <c r="F48" s="6"/>
      <c r="G48" s="13">
        <f t="shared" ref="G48:N48" si="1">G47-G35</f>
        <v>131379747.90000001</v>
      </c>
      <c r="H48" s="13">
        <f t="shared" si="1"/>
        <v>137803747.90000001</v>
      </c>
      <c r="I48" s="13">
        <f t="shared" si="1"/>
        <v>15450372</v>
      </c>
      <c r="J48" s="13">
        <f t="shared" si="1"/>
        <v>6900334.7616666676</v>
      </c>
      <c r="K48" s="13">
        <f t="shared" si="1"/>
        <v>9002348.2116666678</v>
      </c>
      <c r="L48" s="13">
        <f t="shared" si="1"/>
        <v>13808765.483333334</v>
      </c>
      <c r="M48" s="13">
        <f t="shared" si="1"/>
        <v>9416952</v>
      </c>
      <c r="N48" s="13">
        <f t="shared" si="1"/>
        <v>6033420</v>
      </c>
    </row>
    <row r="49" spans="2:14">
      <c r="B49" s="35"/>
      <c r="C49" s="5"/>
      <c r="D49" s="6"/>
      <c r="E49" s="6"/>
      <c r="F49" s="6"/>
      <c r="G49" s="13">
        <f>G35</f>
        <v>66610000</v>
      </c>
      <c r="H49" s="13">
        <f>H35</f>
        <v>0</v>
      </c>
      <c r="I49" s="13"/>
      <c r="J49" s="6"/>
      <c r="K49" s="6"/>
      <c r="L49" s="6"/>
      <c r="M49" s="6"/>
      <c r="N49" s="6"/>
    </row>
    <row r="50" spans="2:14">
      <c r="B50" s="76" t="s">
        <v>144</v>
      </c>
      <c r="C50" s="32" t="s">
        <v>61</v>
      </c>
      <c r="D50" s="31"/>
      <c r="E50" s="31"/>
      <c r="F50" s="31"/>
      <c r="G50" s="31"/>
      <c r="H50" s="31"/>
      <c r="I50" s="31">
        <v>187071</v>
      </c>
      <c r="J50" s="6">
        <v>538253</v>
      </c>
      <c r="K50" s="6">
        <v>353187</v>
      </c>
      <c r="L50" s="6"/>
      <c r="M50" s="6"/>
      <c r="N50" s="6">
        <f>I50-M50</f>
        <v>187071</v>
      </c>
    </row>
    <row r="51" spans="2:14">
      <c r="B51" s="35"/>
      <c r="C51" s="30" t="s">
        <v>62</v>
      </c>
      <c r="D51" s="31"/>
      <c r="E51" s="31"/>
      <c r="F51" s="31"/>
      <c r="G51" s="28"/>
      <c r="H51" s="28"/>
      <c r="I51" s="29">
        <f>I48+I50</f>
        <v>15637443</v>
      </c>
      <c r="J51" s="29">
        <f>J48+J50</f>
        <v>7438587.7616666676</v>
      </c>
      <c r="K51" s="29">
        <f>K48+K50</f>
        <v>9355535.2116666678</v>
      </c>
      <c r="L51" s="28"/>
      <c r="M51" s="28">
        <f>M48+M50</f>
        <v>9416952</v>
      </c>
      <c r="N51" s="28">
        <f>N48+N50</f>
        <v>6220491</v>
      </c>
    </row>
    <row r="52" spans="2:14">
      <c r="C52" s="38"/>
      <c r="D52" s="39"/>
      <c r="E52" s="39"/>
      <c r="F52" s="39"/>
      <c r="G52" s="39"/>
      <c r="H52" s="39"/>
      <c r="I52" s="39" t="s">
        <v>63</v>
      </c>
      <c r="J52" s="39">
        <v>183669</v>
      </c>
      <c r="K52" s="39"/>
      <c r="L52" s="39"/>
      <c r="M52" s="39" t="s">
        <v>69</v>
      </c>
      <c r="N52" s="39" t="s">
        <v>78</v>
      </c>
    </row>
    <row r="53" spans="2:14" ht="30">
      <c r="B53" s="6"/>
      <c r="C53" s="20" t="s">
        <v>66</v>
      </c>
      <c r="D53" s="6"/>
      <c r="E53" s="6"/>
      <c r="F53" s="7"/>
      <c r="G53" s="21">
        <f>SUM(G54:G60)</f>
        <v>66610000</v>
      </c>
      <c r="H53" s="6"/>
      <c r="I53" s="21">
        <f t="shared" ref="I53:N53" si="2">SUM(I54:I56)</f>
        <v>5676576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/>
      <c r="N53" s="21">
        <f t="shared" si="2"/>
        <v>4243282</v>
      </c>
    </row>
    <row r="54" spans="2:14">
      <c r="B54" s="76" t="s">
        <v>145</v>
      </c>
      <c r="C54" s="5" t="s">
        <v>36</v>
      </c>
      <c r="D54" s="6"/>
      <c r="E54" s="6"/>
      <c r="F54" s="7"/>
      <c r="G54" s="15">
        <v>10282000</v>
      </c>
      <c r="H54" s="6"/>
      <c r="I54" s="21">
        <v>709128</v>
      </c>
      <c r="J54" s="6"/>
      <c r="K54" s="6"/>
      <c r="L54" s="6"/>
      <c r="M54" s="21"/>
      <c r="N54" s="21">
        <v>882392</v>
      </c>
    </row>
    <row r="55" spans="2:14">
      <c r="B55" s="76" t="s">
        <v>145</v>
      </c>
      <c r="C55" s="5" t="s">
        <v>37</v>
      </c>
      <c r="D55" s="6"/>
      <c r="E55" s="6"/>
      <c r="F55" s="7"/>
      <c r="G55" s="15">
        <v>11933000</v>
      </c>
      <c r="H55" s="6"/>
      <c r="I55" s="21">
        <v>1299960</v>
      </c>
      <c r="J55" s="6"/>
      <c r="K55" s="6"/>
      <c r="L55" s="6"/>
      <c r="M55" s="21"/>
      <c r="N55" s="21">
        <v>1284570</v>
      </c>
    </row>
    <row r="56" spans="2:14">
      <c r="B56" s="76" t="s">
        <v>145</v>
      </c>
      <c r="C56" s="5" t="s">
        <v>38</v>
      </c>
      <c r="D56" s="6"/>
      <c r="E56" s="6"/>
      <c r="F56" s="7"/>
      <c r="G56" s="15">
        <v>43773000</v>
      </c>
      <c r="H56" s="6"/>
      <c r="I56" s="21">
        <v>3667488</v>
      </c>
      <c r="J56" s="6"/>
      <c r="K56" s="6"/>
      <c r="L56" s="6"/>
      <c r="M56" s="21"/>
      <c r="N56" s="21">
        <v>2076320</v>
      </c>
    </row>
    <row r="57" spans="2:14">
      <c r="B57" s="6"/>
      <c r="C57" s="5"/>
      <c r="D57" s="6"/>
      <c r="E57" s="6"/>
      <c r="F57" s="7"/>
      <c r="G57" s="15"/>
      <c r="H57" s="6"/>
      <c r="I57" s="21"/>
      <c r="J57" s="6"/>
      <c r="K57" s="6"/>
      <c r="L57" s="6"/>
      <c r="M57" s="21"/>
      <c r="N57" s="6"/>
    </row>
    <row r="58" spans="2:14">
      <c r="B58" s="6"/>
      <c r="C58" s="5"/>
      <c r="D58" s="6"/>
      <c r="E58" s="6"/>
      <c r="F58" s="7"/>
      <c r="G58" s="15"/>
      <c r="H58" s="6"/>
      <c r="I58" s="21"/>
      <c r="J58" s="6"/>
      <c r="K58" s="6"/>
      <c r="L58" s="6"/>
      <c r="M58" s="21"/>
      <c r="N58" s="6"/>
    </row>
    <row r="59" spans="2:14">
      <c r="B59" s="6"/>
      <c r="C59" s="74" t="s">
        <v>110</v>
      </c>
      <c r="D59" s="36"/>
      <c r="E59" s="36"/>
      <c r="F59" s="75"/>
      <c r="G59" s="75">
        <v>127000</v>
      </c>
      <c r="H59" s="36"/>
      <c r="I59" s="75">
        <f t="shared" ref="I59:N59" si="3">SUM(I60:I62)</f>
        <v>2791800</v>
      </c>
      <c r="J59" s="75">
        <f t="shared" si="3"/>
        <v>0</v>
      </c>
      <c r="K59" s="75">
        <f t="shared" si="3"/>
        <v>0</v>
      </c>
      <c r="L59" s="75">
        <f t="shared" si="3"/>
        <v>0</v>
      </c>
      <c r="M59" s="75">
        <f t="shared" si="3"/>
        <v>0</v>
      </c>
      <c r="N59" s="75">
        <f t="shared" si="3"/>
        <v>2791800</v>
      </c>
    </row>
    <row r="60" spans="2:14">
      <c r="B60" s="76" t="s">
        <v>146</v>
      </c>
      <c r="C60" s="5" t="s">
        <v>161</v>
      </c>
      <c r="D60" s="6"/>
      <c r="E60" s="6"/>
      <c r="F60" s="7"/>
      <c r="G60" s="15">
        <v>495000</v>
      </c>
      <c r="H60" s="6"/>
      <c r="I60" s="21">
        <v>2791800</v>
      </c>
      <c r="J60" s="6"/>
      <c r="K60" s="6"/>
      <c r="L60" s="6"/>
      <c r="M60" s="6"/>
      <c r="N60" s="6">
        <v>2791800</v>
      </c>
    </row>
    <row r="61" spans="2:14">
      <c r="B61" s="6"/>
      <c r="C61" s="5"/>
      <c r="D61" s="6"/>
      <c r="E61" s="6"/>
      <c r="F61" s="7"/>
      <c r="G61" s="15"/>
      <c r="H61" s="6"/>
      <c r="I61" s="21"/>
      <c r="J61" s="6"/>
      <c r="K61" s="6"/>
      <c r="L61" s="6"/>
      <c r="M61" s="6"/>
      <c r="N61" s="6"/>
    </row>
    <row r="62" spans="2:14">
      <c r="B62" s="6"/>
      <c r="C62" s="5"/>
      <c r="D62" s="6"/>
      <c r="E62" s="6"/>
      <c r="F62" s="7"/>
      <c r="G62" s="15"/>
      <c r="H62" s="6"/>
      <c r="I62" s="21"/>
      <c r="J62" s="6"/>
      <c r="K62" s="6"/>
      <c r="L62" s="6"/>
      <c r="M62" s="6"/>
      <c r="N62" s="6"/>
    </row>
    <row r="63" spans="2:14">
      <c r="B63" s="6"/>
      <c r="C63" s="74" t="s">
        <v>111</v>
      </c>
      <c r="D63" s="36"/>
      <c r="E63" s="36"/>
      <c r="F63" s="36"/>
      <c r="G63" s="36"/>
      <c r="H63" s="36"/>
      <c r="I63" s="75">
        <f t="shared" ref="I63:N63" si="4">SUM(I64:I66)</f>
        <v>0</v>
      </c>
      <c r="J63" s="75">
        <f t="shared" si="4"/>
        <v>0</v>
      </c>
      <c r="K63" s="75">
        <f t="shared" si="4"/>
        <v>0</v>
      </c>
      <c r="L63" s="75">
        <f t="shared" si="4"/>
        <v>0</v>
      </c>
      <c r="M63" s="75">
        <f t="shared" si="4"/>
        <v>0</v>
      </c>
      <c r="N63" s="75">
        <f t="shared" si="4"/>
        <v>643</v>
      </c>
    </row>
    <row r="64" spans="2:14">
      <c r="B64" s="76"/>
      <c r="C64" s="5" t="s">
        <v>74</v>
      </c>
      <c r="D64" s="6"/>
      <c r="E64" s="6"/>
      <c r="F64" s="6"/>
      <c r="G64" s="6"/>
      <c r="H64" s="6"/>
      <c r="I64" s="21"/>
      <c r="J64" s="6"/>
      <c r="K64" s="6"/>
      <c r="L64" s="6"/>
      <c r="M64" s="6"/>
      <c r="N64" s="6">
        <v>643</v>
      </c>
    </row>
    <row r="65" spans="2:14">
      <c r="B65" s="6"/>
      <c r="C65" s="5"/>
      <c r="D65" s="6"/>
      <c r="E65" s="6"/>
      <c r="F65" s="6"/>
      <c r="G65" s="6"/>
      <c r="H65" s="6"/>
      <c r="I65" s="21"/>
      <c r="J65" s="6"/>
      <c r="K65" s="6"/>
      <c r="L65" s="6"/>
      <c r="M65" s="6"/>
      <c r="N65" s="6"/>
    </row>
    <row r="66" spans="2:14"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>
      <c r="B67" s="6"/>
      <c r="C67" s="11" t="s">
        <v>77</v>
      </c>
      <c r="D67" s="12"/>
      <c r="E67" s="12"/>
      <c r="F67" s="12"/>
      <c r="G67" s="12"/>
      <c r="H67" s="12"/>
      <c r="I67" s="13">
        <f t="shared" ref="I67:N67" si="5">I51+I53+I59+I63</f>
        <v>24105819</v>
      </c>
      <c r="J67" s="13">
        <f t="shared" si="5"/>
        <v>7438587.7616666676</v>
      </c>
      <c r="K67" s="13">
        <f t="shared" si="5"/>
        <v>9355535.2116666678</v>
      </c>
      <c r="L67" s="13">
        <f t="shared" si="5"/>
        <v>0</v>
      </c>
      <c r="M67" s="13">
        <f t="shared" si="5"/>
        <v>9416952</v>
      </c>
      <c r="N67" s="13">
        <f t="shared" si="5"/>
        <v>13256216</v>
      </c>
    </row>
  </sheetData>
  <mergeCells count="1">
    <mergeCell ref="C1:G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2</vt:i4>
      </vt:variant>
    </vt:vector>
  </HeadingPairs>
  <TitlesOfParts>
    <vt:vector size="15" baseType="lpstr">
      <vt:lpstr>várható támog.</vt:lpstr>
      <vt:lpstr>központ.ei.</vt:lpstr>
      <vt:lpstr>január 2.előleg</vt:lpstr>
      <vt:lpstr>január</vt:lpstr>
      <vt:lpstr>február</vt:lpstr>
      <vt:lpstr>március</vt:lpstr>
      <vt:lpstr>április </vt:lpstr>
      <vt:lpstr>május</vt:lpstr>
      <vt:lpstr>junius</vt:lpstr>
      <vt:lpstr>július</vt:lpstr>
      <vt:lpstr>augusztus</vt:lpstr>
      <vt:lpstr>szeptember</vt:lpstr>
      <vt:lpstr>október</vt:lpstr>
      <vt:lpstr>központ.ei.!Nyomtatási_cím</vt:lpstr>
      <vt:lpstr>'várható támog.'!Nyomtatási_cím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Juhászné</cp:lastModifiedBy>
  <cp:lastPrinted>2015-02-21T13:44:24Z</cp:lastPrinted>
  <dcterms:created xsi:type="dcterms:W3CDTF">2012-10-29T21:17:56Z</dcterms:created>
  <dcterms:modified xsi:type="dcterms:W3CDTF">2015-02-23T07:38:14Z</dcterms:modified>
</cp:coreProperties>
</file>